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PRESUPUESTO_SERVIDOR\INFORME EJECUCIÓN 2021\PAGINA WEB\"/>
    </mc:Choice>
  </mc:AlternateContent>
  <bookViews>
    <workbookView xWindow="0" yWindow="0" windowWidth="28800" windowHeight="12000" tabRatio="876" activeTab="1"/>
  </bookViews>
  <sheets>
    <sheet name="Ingresos" sheetId="9" r:id="rId1"/>
    <sheet name="Funcionamiento" sheetId="24" r:id="rId2"/>
    <sheet name="Inversiones" sheetId="60" r:id="rId3"/>
  </sheets>
  <externalReferences>
    <externalReference r:id="rId4"/>
  </externalReferences>
  <definedNames>
    <definedName name="a">"$#REF!.$CP$1"</definedName>
    <definedName name="_xlnm.Print_Area" localSheetId="0">Ingresos!$A$3:$I$31</definedName>
    <definedName name="Excel_BuiltIn_Print_Area_12_1">"$#REF!.$A$1:$L$197"</definedName>
    <definedName name="Excel_BuiltIn_Print_Area_12_1_1">"$#REF!.$B$10:$L$205"</definedName>
    <definedName name="Excel_BuiltIn_Print_Area_12_1_1_1">"$#REF!.$B$10:$L$206"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8_1">[1]INGRESOS!$A$6:$I$39</definedName>
    <definedName name="Excel_BuiltIn_Print_Area_8_1_1">[1]INGRESOS!$A$6:$I$40</definedName>
    <definedName name="Excel_BuiltIn_Print_Area_9_1">#REF!</definedName>
    <definedName name="Excel_BuiltIn_Print_Titles_11">#REF!</definedName>
    <definedName name="Excel_BuiltIn_Print_Titles_12_1">"$#REF!.$A$1:$B$65535;$#REF!.$A$1:$IV$7"</definedName>
    <definedName name="Excel_BuiltIn_Print_Titles_7">#REF!</definedName>
    <definedName name="Excel_BuiltIn_Print_Titles_7_1">"$cuadro_A_1.$#REF!$#REF!:$#REF!$#REF!"</definedName>
    <definedName name="Excel_BuiltIn_Print_Titles_8_1">[1]INGRESOS!$A$1:$IV$5</definedName>
    <definedName name="_xlnm.Print_Titles" localSheetId="1">Funcionamiento!$4:$11</definedName>
  </definedNames>
  <calcPr calcId="162913"/>
</workbook>
</file>

<file path=xl/calcChain.xml><?xml version="1.0" encoding="utf-8"?>
<calcChain xmlns="http://schemas.openxmlformats.org/spreadsheetml/2006/main">
  <c r="G20" i="9" l="1"/>
  <c r="F11" i="9" l="1"/>
  <c r="G16" i="9"/>
  <c r="J29" i="9"/>
  <c r="J25" i="9"/>
  <c r="J23" i="9"/>
  <c r="J21" i="9"/>
  <c r="J19" i="9"/>
  <c r="G21" i="60" l="1"/>
  <c r="I21" i="60" s="1"/>
  <c r="G20" i="60"/>
  <c r="G19" i="60"/>
  <c r="I20" i="60"/>
  <c r="N179" i="24"/>
  <c r="D177" i="24"/>
  <c r="I169" i="24"/>
  <c r="G163" i="24"/>
  <c r="N89" i="24"/>
  <c r="N139" i="24"/>
  <c r="N115" i="24"/>
  <c r="N122" i="24"/>
  <c r="N147" i="24"/>
  <c r="N146" i="24"/>
  <c r="H146" i="24" s="1"/>
  <c r="N140" i="24"/>
  <c r="N138" i="24"/>
  <c r="N80" i="24"/>
  <c r="N61" i="24"/>
  <c r="N85" i="24"/>
  <c r="N84" i="24"/>
  <c r="H84" i="24"/>
  <c r="H81" i="24"/>
  <c r="N65" i="24"/>
  <c r="N62" i="24"/>
  <c r="N57" i="24"/>
  <c r="N58" i="24"/>
  <c r="D49" i="24"/>
  <c r="N27" i="24"/>
  <c r="H19" i="24" l="1"/>
  <c r="F24" i="9" l="1"/>
  <c r="F22" i="9" s="1"/>
  <c r="G22" i="9" s="1"/>
  <c r="F9" i="9" l="1"/>
  <c r="G9" i="60"/>
  <c r="I9" i="60" s="1"/>
  <c r="G8" i="60"/>
  <c r="D21" i="60"/>
  <c r="D20" i="60"/>
  <c r="I19" i="60"/>
  <c r="D19" i="60"/>
  <c r="H18" i="60"/>
  <c r="F18" i="60"/>
  <c r="G18" i="60" s="1"/>
  <c r="E18" i="60"/>
  <c r="B18" i="60"/>
  <c r="G17" i="60"/>
  <c r="I17" i="60" s="1"/>
  <c r="D17" i="60"/>
  <c r="I16" i="60"/>
  <c r="D16" i="60"/>
  <c r="J16" i="60" s="1"/>
  <c r="G15" i="60"/>
  <c r="I15" i="60" s="1"/>
  <c r="D15" i="60"/>
  <c r="G14" i="60"/>
  <c r="D14" i="60"/>
  <c r="K13" i="60"/>
  <c r="I13" i="60"/>
  <c r="D13" i="60"/>
  <c r="J13" i="60" s="1"/>
  <c r="H12" i="60"/>
  <c r="F12" i="60"/>
  <c r="E12" i="60"/>
  <c r="C12" i="60"/>
  <c r="B12" i="60"/>
  <c r="G11" i="60"/>
  <c r="K11" i="60" s="1"/>
  <c r="D11" i="60"/>
  <c r="G10" i="60"/>
  <c r="K10" i="60" s="1"/>
  <c r="D10" i="60"/>
  <c r="D9" i="60"/>
  <c r="D8" i="60"/>
  <c r="H7" i="60"/>
  <c r="H22" i="60" s="1"/>
  <c r="F7" i="60"/>
  <c r="E7" i="60"/>
  <c r="C7" i="60"/>
  <c r="C22" i="60" s="1"/>
  <c r="B7" i="60"/>
  <c r="B22" i="60" s="1"/>
  <c r="K18" i="60" l="1"/>
  <c r="D12" i="60"/>
  <c r="D18" i="60"/>
  <c r="J10" i="60"/>
  <c r="G7" i="60"/>
  <c r="J17" i="60"/>
  <c r="G12" i="60"/>
  <c r="K12" i="60" s="1"/>
  <c r="J11" i="60"/>
  <c r="J9" i="60"/>
  <c r="K9" i="60"/>
  <c r="E22" i="60"/>
  <c r="J19" i="60"/>
  <c r="F22" i="60"/>
  <c r="G22" i="60" s="1"/>
  <c r="I10" i="60"/>
  <c r="J18" i="60"/>
  <c r="D7" i="60"/>
  <c r="J8" i="60"/>
  <c r="J15" i="60"/>
  <c r="K19" i="60"/>
  <c r="I18" i="60"/>
  <c r="K8" i="60"/>
  <c r="K15" i="60"/>
  <c r="J12" i="60"/>
  <c r="D22" i="60"/>
  <c r="I11" i="60"/>
  <c r="I8" i="60"/>
  <c r="K7" i="60" l="1"/>
  <c r="K22" i="60"/>
  <c r="J7" i="60"/>
  <c r="I12" i="60"/>
  <c r="I7" i="60"/>
  <c r="J22" i="60"/>
  <c r="I22" i="60"/>
  <c r="F196" i="24"/>
  <c r="I178" i="24"/>
  <c r="I150" i="24"/>
  <c r="F150" i="24"/>
  <c r="G169" i="24"/>
  <c r="H173" i="24"/>
  <c r="L173" i="24" s="1"/>
  <c r="H172" i="24"/>
  <c r="L172" i="24" s="1"/>
  <c r="H171" i="24"/>
  <c r="L171" i="24" s="1"/>
  <c r="H170" i="24"/>
  <c r="L170" i="24" s="1"/>
  <c r="H164" i="24"/>
  <c r="L152" i="24"/>
  <c r="J152" i="24"/>
  <c r="I139" i="24"/>
  <c r="F129" i="24"/>
  <c r="G90" i="24"/>
  <c r="I45" i="24"/>
  <c r="I61" i="24"/>
  <c r="F45" i="24"/>
  <c r="H87" i="24"/>
  <c r="H86" i="24"/>
  <c r="H85" i="24"/>
  <c r="H51" i="24"/>
  <c r="I38" i="24"/>
  <c r="F17" i="24"/>
  <c r="D150" i="24"/>
  <c r="E152" i="24"/>
  <c r="K152" i="24" s="1"/>
  <c r="D73" i="24"/>
  <c r="D69" i="24"/>
  <c r="D61" i="24"/>
  <c r="D45" i="24"/>
  <c r="E52" i="24"/>
  <c r="L84" i="24" l="1"/>
  <c r="L81" i="24"/>
  <c r="L51" i="24"/>
  <c r="L164" i="24" l="1"/>
  <c r="E187" i="24"/>
  <c r="G150" i="24"/>
  <c r="I123" i="24"/>
  <c r="F99" i="24"/>
  <c r="F93" i="24"/>
  <c r="D115" i="24"/>
  <c r="G93" i="24"/>
  <c r="H198" i="24"/>
  <c r="D185" i="24"/>
  <c r="I176" i="24"/>
  <c r="F169" i="24"/>
  <c r="D169" i="24"/>
  <c r="J173" i="24"/>
  <c r="J172" i="24"/>
  <c r="J171" i="24"/>
  <c r="J170" i="24"/>
  <c r="H174" i="24"/>
  <c r="E170" i="24"/>
  <c r="K170" i="24" s="1"/>
  <c r="E173" i="24"/>
  <c r="K173" i="24" s="1"/>
  <c r="E172" i="24"/>
  <c r="K172" i="24" s="1"/>
  <c r="E171" i="24"/>
  <c r="K171" i="24" s="1"/>
  <c r="J164" i="24"/>
  <c r="F163" i="24"/>
  <c r="D163" i="24"/>
  <c r="E164" i="24"/>
  <c r="K164" i="24" s="1"/>
  <c r="D139" i="24"/>
  <c r="E143" i="24"/>
  <c r="H143" i="24"/>
  <c r="J143" i="24" s="1"/>
  <c r="E107" i="24"/>
  <c r="H106" i="24"/>
  <c r="E94" i="24"/>
  <c r="F90" i="24"/>
  <c r="I80" i="24"/>
  <c r="H83" i="24"/>
  <c r="L83" i="24" s="1"/>
  <c r="F54" i="24"/>
  <c r="G54" i="24"/>
  <c r="G45" i="24"/>
  <c r="E51" i="24"/>
  <c r="I30" i="24"/>
  <c r="J174" i="24" l="1"/>
  <c r="H169" i="24"/>
  <c r="F149" i="24"/>
  <c r="D183" i="24"/>
  <c r="L174" i="24"/>
  <c r="L143" i="24"/>
  <c r="G149" i="24"/>
  <c r="J83" i="24"/>
  <c r="E163" i="24"/>
  <c r="K143" i="24"/>
  <c r="E15" i="24" l="1"/>
  <c r="E174" i="24"/>
  <c r="K174" i="24" s="1"/>
  <c r="H112" i="24"/>
  <c r="G80" i="24"/>
  <c r="H80" i="24" s="1"/>
  <c r="D71" i="24"/>
  <c r="G66" i="24"/>
  <c r="E81" i="24"/>
  <c r="E87" i="24"/>
  <c r="E86" i="24"/>
  <c r="E84" i="24"/>
  <c r="E83" i="24"/>
  <c r="K83" i="24" s="1"/>
  <c r="L80" i="24" l="1"/>
  <c r="E24" i="9"/>
  <c r="E11" i="9" l="1"/>
  <c r="D24" i="9" l="1"/>
  <c r="D22" i="9" s="1"/>
  <c r="D11" i="9"/>
  <c r="D9" i="9" l="1"/>
  <c r="G19" i="9" l="1"/>
  <c r="J198" i="24" l="1"/>
  <c r="D66" i="24"/>
  <c r="E194" i="24"/>
  <c r="E85" i="24"/>
  <c r="E82" i="24"/>
  <c r="H82" i="24"/>
  <c r="L82" i="24" s="1"/>
  <c r="C80" i="24"/>
  <c r="H195" i="24"/>
  <c r="H194" i="24"/>
  <c r="H193" i="24"/>
  <c r="H191" i="24"/>
  <c r="H190" i="24"/>
  <c r="H188" i="24"/>
  <c r="L188" i="24" s="1"/>
  <c r="H187" i="24"/>
  <c r="L187" i="24" s="1"/>
  <c r="H186" i="24"/>
  <c r="L186" i="24" s="1"/>
  <c r="H184" i="24"/>
  <c r="L184" i="24" s="1"/>
  <c r="H182" i="24"/>
  <c r="H177" i="24"/>
  <c r="H138" i="24"/>
  <c r="H137" i="24"/>
  <c r="H136" i="24"/>
  <c r="L136" i="24" s="1"/>
  <c r="H135" i="24"/>
  <c r="H134" i="24"/>
  <c r="H133" i="24"/>
  <c r="H132" i="24"/>
  <c r="H131" i="24"/>
  <c r="H130" i="24"/>
  <c r="H128" i="24"/>
  <c r="H127" i="24"/>
  <c r="H126" i="24"/>
  <c r="H125" i="24"/>
  <c r="H124" i="24"/>
  <c r="H122" i="24"/>
  <c r="H121" i="24"/>
  <c r="H120" i="24"/>
  <c r="H119" i="24"/>
  <c r="H118" i="24"/>
  <c r="H117" i="24"/>
  <c r="H116" i="24"/>
  <c r="H114" i="24"/>
  <c r="H113" i="24"/>
  <c r="H111" i="24"/>
  <c r="H110" i="24"/>
  <c r="H108" i="24"/>
  <c r="H107" i="24"/>
  <c r="H104" i="24"/>
  <c r="H103" i="24"/>
  <c r="H102" i="24"/>
  <c r="H101" i="24"/>
  <c r="H100" i="24"/>
  <c r="H98" i="24"/>
  <c r="H97" i="24"/>
  <c r="H96" i="24"/>
  <c r="H95" i="24"/>
  <c r="H94" i="24"/>
  <c r="H92" i="24"/>
  <c r="H91" i="24"/>
  <c r="H79" i="24"/>
  <c r="L79" i="24" s="1"/>
  <c r="H78" i="24"/>
  <c r="L78" i="24" s="1"/>
  <c r="H77" i="24"/>
  <c r="L77" i="24" s="1"/>
  <c r="H76" i="24"/>
  <c r="L76" i="24" s="1"/>
  <c r="H75" i="24"/>
  <c r="L75" i="24" s="1"/>
  <c r="H74" i="24"/>
  <c r="L74" i="24" s="1"/>
  <c r="H72" i="24"/>
  <c r="L72" i="24" s="1"/>
  <c r="H70" i="24"/>
  <c r="L70" i="24" s="1"/>
  <c r="H69" i="24"/>
  <c r="L69" i="24" s="1"/>
  <c r="H68" i="24"/>
  <c r="L68" i="24" s="1"/>
  <c r="H67" i="24"/>
  <c r="L67" i="24" s="1"/>
  <c r="H65" i="24"/>
  <c r="L65" i="24" s="1"/>
  <c r="H64" i="24"/>
  <c r="L64" i="24" s="1"/>
  <c r="H63" i="24"/>
  <c r="L63" i="24" s="1"/>
  <c r="L62" i="24"/>
  <c r="H60" i="24"/>
  <c r="L60" i="24" s="1"/>
  <c r="H59" i="24"/>
  <c r="L59" i="24" s="1"/>
  <c r="H58" i="24"/>
  <c r="L58" i="24" s="1"/>
  <c r="H56" i="24"/>
  <c r="L56" i="24" s="1"/>
  <c r="H55" i="24"/>
  <c r="L55" i="24" s="1"/>
  <c r="H53" i="24"/>
  <c r="L53" i="24" s="1"/>
  <c r="H50" i="24"/>
  <c r="L50" i="24" s="1"/>
  <c r="H49" i="24"/>
  <c r="L49" i="24" s="1"/>
  <c r="H48" i="24"/>
  <c r="L48" i="24" s="1"/>
  <c r="H47" i="24"/>
  <c r="L47" i="24" s="1"/>
  <c r="H46" i="24"/>
  <c r="L46" i="24" s="1"/>
  <c r="H44" i="24"/>
  <c r="L44" i="24" s="1"/>
  <c r="H43" i="24"/>
  <c r="L43" i="24" s="1"/>
  <c r="H42" i="24"/>
  <c r="L42" i="24" s="1"/>
  <c r="H41" i="24"/>
  <c r="L41" i="24" s="1"/>
  <c r="H40" i="24"/>
  <c r="L40" i="24" s="1"/>
  <c r="H39" i="24"/>
  <c r="L39" i="24" s="1"/>
  <c r="L85" i="24" l="1"/>
  <c r="E80" i="24"/>
  <c r="J82" i="24"/>
  <c r="K85" i="24"/>
  <c r="K82" i="24"/>
  <c r="J85" i="24"/>
  <c r="J80" i="24" l="1"/>
  <c r="K80" i="24"/>
  <c r="G25" i="9" l="1"/>
  <c r="G23" i="9"/>
  <c r="G21" i="9"/>
  <c r="C66" i="24" l="1"/>
  <c r="F66" i="24"/>
  <c r="F71" i="24"/>
  <c r="C71" i="24"/>
  <c r="C57" i="24" l="1"/>
  <c r="D13" i="24"/>
  <c r="D17" i="24"/>
  <c r="D23" i="24"/>
  <c r="D28" i="24"/>
  <c r="D30" i="24"/>
  <c r="D38" i="24"/>
  <c r="D54" i="24"/>
  <c r="D57" i="24"/>
  <c r="D90" i="24"/>
  <c r="D93" i="24"/>
  <c r="D99" i="24"/>
  <c r="D105" i="24"/>
  <c r="D109" i="24"/>
  <c r="D123" i="24"/>
  <c r="D129" i="24"/>
  <c r="D176" i="24"/>
  <c r="D178" i="24"/>
  <c r="D181" i="24"/>
  <c r="D189" i="24"/>
  <c r="D192" i="24"/>
  <c r="D196" i="24"/>
  <c r="E14" i="24"/>
  <c r="E16" i="24"/>
  <c r="E18" i="24"/>
  <c r="E19" i="24"/>
  <c r="E20" i="24"/>
  <c r="E21" i="24"/>
  <c r="E22" i="24"/>
  <c r="E24" i="24"/>
  <c r="E25" i="24"/>
  <c r="E26" i="24"/>
  <c r="E27" i="24"/>
  <c r="E29" i="24"/>
  <c r="E31" i="24"/>
  <c r="E32" i="24"/>
  <c r="E33" i="24"/>
  <c r="E34" i="24"/>
  <c r="E35" i="24"/>
  <c r="E39" i="24"/>
  <c r="E40" i="24"/>
  <c r="E41" i="24"/>
  <c r="E42" i="24"/>
  <c r="E43" i="24"/>
  <c r="E44" i="24"/>
  <c r="E46" i="24"/>
  <c r="E47" i="24"/>
  <c r="E48" i="24"/>
  <c r="E49" i="24"/>
  <c r="E50" i="24"/>
  <c r="E53" i="24"/>
  <c r="E55" i="24"/>
  <c r="E56" i="24"/>
  <c r="E58" i="24"/>
  <c r="E59" i="24"/>
  <c r="E60" i="24"/>
  <c r="E62" i="24"/>
  <c r="E63" i="24"/>
  <c r="E64" i="24"/>
  <c r="E65" i="24"/>
  <c r="E67" i="24"/>
  <c r="E68" i="24"/>
  <c r="E69" i="24"/>
  <c r="E70" i="24"/>
  <c r="E72" i="24"/>
  <c r="E74" i="24"/>
  <c r="E75" i="24"/>
  <c r="E76" i="24"/>
  <c r="E77" i="24"/>
  <c r="E78" i="24"/>
  <c r="E79" i="24"/>
  <c r="E91" i="24"/>
  <c r="E92" i="24"/>
  <c r="E95" i="24"/>
  <c r="E96" i="24"/>
  <c r="E97" i="24"/>
  <c r="E98" i="24"/>
  <c r="E100" i="24"/>
  <c r="E101" i="24"/>
  <c r="E102" i="24"/>
  <c r="E103" i="24"/>
  <c r="E104" i="24"/>
  <c r="D89" i="24" l="1"/>
  <c r="D180" i="24"/>
  <c r="D37" i="24"/>
  <c r="E66" i="24"/>
  <c r="D12" i="24"/>
  <c r="D175" i="24"/>
  <c r="E28" i="24"/>
  <c r="E13" i="24"/>
  <c r="C11" i="9"/>
  <c r="H150" i="24" l="1"/>
  <c r="H151" i="24"/>
  <c r="L151" i="24" s="1"/>
  <c r="H153" i="24"/>
  <c r="L153" i="24" s="1"/>
  <c r="H154" i="24"/>
  <c r="L154" i="24" s="1"/>
  <c r="H155" i="24"/>
  <c r="L155" i="24" s="1"/>
  <c r="H156" i="24"/>
  <c r="L156" i="24" s="1"/>
  <c r="H157" i="24"/>
  <c r="L157" i="24" s="1"/>
  <c r="H158" i="24"/>
  <c r="H159" i="24"/>
  <c r="L159" i="24" s="1"/>
  <c r="H160" i="24"/>
  <c r="L160" i="24" s="1"/>
  <c r="H161" i="24"/>
  <c r="L161" i="24" s="1"/>
  <c r="H162" i="24"/>
  <c r="H163" i="24"/>
  <c r="H165" i="24"/>
  <c r="H166" i="24"/>
  <c r="H167" i="24"/>
  <c r="H168" i="24"/>
  <c r="L168" i="24" l="1"/>
  <c r="L163" i="24"/>
  <c r="L150" i="24"/>
  <c r="L167" i="24"/>
  <c r="H35" i="24"/>
  <c r="L35" i="24" s="1"/>
  <c r="H34" i="24"/>
  <c r="L34" i="24" s="1"/>
  <c r="H33" i="24"/>
  <c r="L33" i="24" s="1"/>
  <c r="H32" i="24"/>
  <c r="L32" i="24" s="1"/>
  <c r="H31" i="24"/>
  <c r="L31" i="24" s="1"/>
  <c r="H29" i="24"/>
  <c r="L29" i="24" s="1"/>
  <c r="K29" i="24" l="1"/>
  <c r="E167" i="24"/>
  <c r="E188" i="24" l="1"/>
  <c r="H90" i="24" l="1"/>
  <c r="J177" i="24" l="1"/>
  <c r="J134" i="24"/>
  <c r="J132" i="24"/>
  <c r="J128" i="24"/>
  <c r="J127" i="24"/>
  <c r="J122" i="24"/>
  <c r="J120" i="24"/>
  <c r="J119" i="24"/>
  <c r="J118" i="24"/>
  <c r="J117" i="24"/>
  <c r="J42" i="24"/>
  <c r="J29" i="24"/>
  <c r="J168" i="24" l="1"/>
  <c r="J167" i="24"/>
  <c r="J166" i="24"/>
  <c r="J165" i="24"/>
  <c r="J163" i="24"/>
  <c r="J162" i="24"/>
  <c r="J108" i="24"/>
  <c r="J107" i="24"/>
  <c r="J106" i="24"/>
  <c r="J104" i="24"/>
  <c r="J103" i="24"/>
  <c r="J102" i="24"/>
  <c r="J101" i="24"/>
  <c r="J100" i="24"/>
  <c r="J98" i="24"/>
  <c r="J97" i="24"/>
  <c r="J96" i="24"/>
  <c r="J95" i="24"/>
  <c r="J94" i="24"/>
  <c r="J92" i="24"/>
  <c r="F115" i="24"/>
  <c r="J169" i="24" l="1"/>
  <c r="J91" i="24"/>
  <c r="G115" i="24" l="1"/>
  <c r="J130" i="24"/>
  <c r="J70" i="24"/>
  <c r="J62" i="24"/>
  <c r="J44" i="24"/>
  <c r="J43" i="24"/>
  <c r="J39" i="24"/>
  <c r="J33" i="24"/>
  <c r="H22" i="24"/>
  <c r="H21" i="24"/>
  <c r="K21" i="24" s="1"/>
  <c r="H18" i="24"/>
  <c r="J18" i="24" s="1"/>
  <c r="H16" i="24"/>
  <c r="H197" i="24"/>
  <c r="J197" i="24" s="1"/>
  <c r="J195" i="24"/>
  <c r="J194" i="24"/>
  <c r="J193" i="24"/>
  <c r="J188" i="24"/>
  <c r="J187" i="24"/>
  <c r="J186" i="24"/>
  <c r="J185" i="24"/>
  <c r="J184" i="24"/>
  <c r="H179" i="24"/>
  <c r="L179" i="24" s="1"/>
  <c r="J161" i="24"/>
  <c r="J160" i="24"/>
  <c r="J159" i="24"/>
  <c r="J158" i="24"/>
  <c r="J157" i="24"/>
  <c r="J156" i="24"/>
  <c r="J155" i="24"/>
  <c r="J154" i="24"/>
  <c r="J153" i="24"/>
  <c r="J151" i="24"/>
  <c r="H148" i="24"/>
  <c r="H147" i="24"/>
  <c r="H145" i="24"/>
  <c r="H144" i="24"/>
  <c r="H142" i="24"/>
  <c r="H141" i="24"/>
  <c r="H140" i="24"/>
  <c r="J140" i="24" s="1"/>
  <c r="J138" i="24"/>
  <c r="J137" i="24"/>
  <c r="J136" i="24"/>
  <c r="J135" i="24"/>
  <c r="J133" i="24"/>
  <c r="J131" i="24"/>
  <c r="J126" i="24"/>
  <c r="J125" i="24"/>
  <c r="J124" i="24"/>
  <c r="J121" i="24"/>
  <c r="J116" i="24"/>
  <c r="J114" i="24"/>
  <c r="J113" i="24"/>
  <c r="J112" i="24"/>
  <c r="J111" i="24"/>
  <c r="J110" i="24"/>
  <c r="J79" i="24"/>
  <c r="J78" i="24"/>
  <c r="J77" i="24"/>
  <c r="J76" i="24"/>
  <c r="J75" i="24"/>
  <c r="J74" i="24"/>
  <c r="J72" i="24"/>
  <c r="J69" i="24"/>
  <c r="J68" i="24"/>
  <c r="J67" i="24"/>
  <c r="J65" i="24"/>
  <c r="J64" i="24"/>
  <c r="J63" i="24"/>
  <c r="J60" i="24"/>
  <c r="J59" i="24"/>
  <c r="J58" i="24"/>
  <c r="J56" i="24"/>
  <c r="J55" i="24"/>
  <c r="J53" i="24"/>
  <c r="J50" i="24"/>
  <c r="J49" i="24"/>
  <c r="J48" i="24"/>
  <c r="J47" i="24"/>
  <c r="J46" i="24"/>
  <c r="J40" i="24"/>
  <c r="J35" i="24"/>
  <c r="J34" i="24"/>
  <c r="J32" i="24"/>
  <c r="J31" i="24"/>
  <c r="H27" i="24"/>
  <c r="J27" i="24" s="1"/>
  <c r="H26" i="24"/>
  <c r="J26" i="24" s="1"/>
  <c r="H25" i="24"/>
  <c r="J25" i="24" s="1"/>
  <c r="H24" i="24"/>
  <c r="J24" i="24" s="1"/>
  <c r="J19" i="24"/>
  <c r="H15" i="24"/>
  <c r="H14" i="24"/>
  <c r="L22" i="24" l="1"/>
  <c r="J141" i="24"/>
  <c r="L141" i="24"/>
  <c r="J146" i="24"/>
  <c r="L146" i="24"/>
  <c r="J142" i="24"/>
  <c r="L142" i="24"/>
  <c r="J147" i="24"/>
  <c r="L147" i="24"/>
  <c r="J144" i="24"/>
  <c r="L144" i="24"/>
  <c r="J148" i="24"/>
  <c r="L148" i="24"/>
  <c r="J145" i="24"/>
  <c r="L145" i="24"/>
  <c r="H115" i="24"/>
  <c r="J15" i="24"/>
  <c r="J21" i="24"/>
  <c r="J14" i="24"/>
  <c r="J16" i="24"/>
  <c r="J150" i="24"/>
  <c r="H149" i="24"/>
  <c r="J190" i="24"/>
  <c r="H178" i="24"/>
  <c r="J179" i="24"/>
  <c r="J191" i="24"/>
  <c r="H181" i="24"/>
  <c r="J182" i="24"/>
  <c r="J22" i="24"/>
  <c r="H20" i="24"/>
  <c r="H17" i="24" s="1"/>
  <c r="J41" i="24"/>
  <c r="H23" i="24"/>
  <c r="H13" i="24"/>
  <c r="J115" i="24" l="1"/>
  <c r="J20" i="24"/>
  <c r="J90" i="24" l="1"/>
  <c r="E161" i="24" l="1"/>
  <c r="H66" i="24" l="1"/>
  <c r="L66" i="24" s="1"/>
  <c r="K161" i="24"/>
  <c r="E22" i="9" l="1"/>
  <c r="F61" i="24"/>
  <c r="G57" i="24"/>
  <c r="I71" i="24"/>
  <c r="H22" i="9" l="1"/>
  <c r="I22" i="9"/>
  <c r="H57" i="24"/>
  <c r="E9" i="9"/>
  <c r="G61" i="24" l="1"/>
  <c r="F192" i="24"/>
  <c r="H61" i="24" l="1"/>
  <c r="L61" i="24" s="1"/>
  <c r="K65" i="24"/>
  <c r="J61" i="24" l="1"/>
  <c r="F183" i="24"/>
  <c r="C183" i="24"/>
  <c r="F178" i="24"/>
  <c r="L178" i="24" s="1"/>
  <c r="F139" i="24"/>
  <c r="J178" i="24" l="1"/>
  <c r="F38" i="24"/>
  <c r="K28" i="24" l="1"/>
  <c r="G28" i="24"/>
  <c r="F28" i="24"/>
  <c r="C28" i="24"/>
  <c r="H28" i="24" l="1"/>
  <c r="L28" i="24" l="1"/>
  <c r="J28" i="24"/>
  <c r="F181" i="24"/>
  <c r="F189" i="24"/>
  <c r="F176" i="24"/>
  <c r="J149" i="24"/>
  <c r="F109" i="24"/>
  <c r="F105" i="24"/>
  <c r="G129" i="24"/>
  <c r="F123" i="24"/>
  <c r="G123" i="24"/>
  <c r="G105" i="24"/>
  <c r="G99" i="24"/>
  <c r="F73" i="24"/>
  <c r="G73" i="24"/>
  <c r="F57" i="24"/>
  <c r="F30" i="24"/>
  <c r="F23" i="24"/>
  <c r="F13" i="24"/>
  <c r="J13" i="24" s="1"/>
  <c r="L57" i="24" l="1"/>
  <c r="F37" i="24"/>
  <c r="F89" i="24"/>
  <c r="F12" i="24"/>
  <c r="J57" i="24"/>
  <c r="H73" i="24"/>
  <c r="L73" i="24" s="1"/>
  <c r="H105" i="24"/>
  <c r="H99" i="24"/>
  <c r="H129" i="24"/>
  <c r="H123" i="24"/>
  <c r="F180" i="24"/>
  <c r="H93" i="24"/>
  <c r="J23" i="24"/>
  <c r="J17" i="24"/>
  <c r="J181" i="24"/>
  <c r="J66" i="24"/>
  <c r="F175" i="24"/>
  <c r="F199" i="24" l="1"/>
  <c r="J105" i="24"/>
  <c r="J129" i="24"/>
  <c r="J99" i="24"/>
  <c r="J123" i="24"/>
  <c r="J73" i="24"/>
  <c r="J93" i="24"/>
  <c r="I192" i="24" l="1"/>
  <c r="I196" i="24"/>
  <c r="E185" i="24" l="1"/>
  <c r="K185" i="24" l="1"/>
  <c r="E142" i="24"/>
  <c r="K142" i="24" l="1"/>
  <c r="E145" i="24" l="1"/>
  <c r="K145" i="24" s="1"/>
  <c r="E141" i="24" l="1"/>
  <c r="K141" i="24" s="1"/>
  <c r="E116" i="24" l="1"/>
  <c r="C115" i="24" l="1"/>
  <c r="G192" i="24" l="1"/>
  <c r="G196" i="24"/>
  <c r="H192" i="24" l="1"/>
  <c r="H196" i="24"/>
  <c r="J192" i="24"/>
  <c r="J196" i="24" l="1"/>
  <c r="C24" i="9" l="1"/>
  <c r="C22" i="9" s="1"/>
  <c r="L102" i="24"/>
  <c r="L137" i="24"/>
  <c r="L134" i="24"/>
  <c r="L121" i="24"/>
  <c r="K41" i="24"/>
  <c r="K95" i="24"/>
  <c r="K91" i="24"/>
  <c r="L127" i="24"/>
  <c r="L117" i="24"/>
  <c r="L113" i="24"/>
  <c r="L111" i="24"/>
  <c r="C13" i="24"/>
  <c r="G13" i="24"/>
  <c r="I13" i="24"/>
  <c r="C17" i="24"/>
  <c r="E17" i="24" s="1"/>
  <c r="G17" i="24"/>
  <c r="I17" i="24"/>
  <c r="C23" i="24"/>
  <c r="E23" i="24" s="1"/>
  <c r="G23" i="24"/>
  <c r="I23" i="24"/>
  <c r="K24" i="24"/>
  <c r="K25" i="24"/>
  <c r="C30" i="24"/>
  <c r="E30" i="24" s="1"/>
  <c r="G30" i="24"/>
  <c r="K35" i="24"/>
  <c r="C38" i="24"/>
  <c r="G38" i="24"/>
  <c r="C45" i="24"/>
  <c r="E45" i="24" s="1"/>
  <c r="C54" i="24"/>
  <c r="E54" i="24" s="1"/>
  <c r="I54" i="24"/>
  <c r="K55" i="24"/>
  <c r="K56" i="24"/>
  <c r="E57" i="24"/>
  <c r="I57" i="24"/>
  <c r="K58" i="24"/>
  <c r="C61" i="24"/>
  <c r="E61" i="24" s="1"/>
  <c r="K62" i="24"/>
  <c r="I66" i="24"/>
  <c r="G71" i="24"/>
  <c r="C73" i="24"/>
  <c r="E73" i="24" s="1"/>
  <c r="I73" i="24"/>
  <c r="C90" i="24"/>
  <c r="E90" i="24" s="1"/>
  <c r="I90" i="24"/>
  <c r="L91" i="24"/>
  <c r="C93" i="24"/>
  <c r="E93" i="24" s="1"/>
  <c r="I93" i="24"/>
  <c r="L95" i="24"/>
  <c r="C99" i="24"/>
  <c r="E99" i="24" s="1"/>
  <c r="I99" i="24"/>
  <c r="L103" i="24"/>
  <c r="C105" i="24"/>
  <c r="I105" i="24"/>
  <c r="E106" i="24"/>
  <c r="E108" i="24"/>
  <c r="C109" i="24"/>
  <c r="G109" i="24"/>
  <c r="I109" i="24"/>
  <c r="E110" i="24"/>
  <c r="L110" i="24"/>
  <c r="E111" i="24"/>
  <c r="E112" i="24"/>
  <c r="E113" i="24"/>
  <c r="E114" i="24"/>
  <c r="K114" i="24" s="1"/>
  <c r="I115" i="24"/>
  <c r="E117" i="24"/>
  <c r="K117" i="24" s="1"/>
  <c r="E118" i="24"/>
  <c r="E119" i="24"/>
  <c r="K119" i="24" s="1"/>
  <c r="E120" i="24"/>
  <c r="K120" i="24" s="1"/>
  <c r="E121" i="24"/>
  <c r="K121" i="24" s="1"/>
  <c r="E122" i="24"/>
  <c r="K122" i="24" s="1"/>
  <c r="L122" i="24"/>
  <c r="C123" i="24"/>
  <c r="E124" i="24"/>
  <c r="E125" i="24"/>
  <c r="L125" i="24"/>
  <c r="E126" i="24"/>
  <c r="E127" i="24"/>
  <c r="K127" i="24" s="1"/>
  <c r="E128" i="24"/>
  <c r="C129" i="24"/>
  <c r="I129" i="24"/>
  <c r="E130" i="24"/>
  <c r="E131" i="24"/>
  <c r="E132" i="24"/>
  <c r="E133" i="24"/>
  <c r="K133" i="24" s="1"/>
  <c r="E134" i="24"/>
  <c r="E135" i="24"/>
  <c r="K135" i="24" s="1"/>
  <c r="E136" i="24"/>
  <c r="K136" i="24" s="1"/>
  <c r="E137" i="24"/>
  <c r="K137" i="24" s="1"/>
  <c r="E138" i="24"/>
  <c r="L138" i="24"/>
  <c r="C139" i="24"/>
  <c r="G139" i="24"/>
  <c r="E140" i="24"/>
  <c r="E144" i="24"/>
  <c r="K144" i="24" s="1"/>
  <c r="E146" i="24"/>
  <c r="K146" i="24" s="1"/>
  <c r="E147" i="24"/>
  <c r="E148" i="24"/>
  <c r="C150" i="24"/>
  <c r="E151" i="24"/>
  <c r="K151" i="24" s="1"/>
  <c r="E153" i="24"/>
  <c r="E154" i="24"/>
  <c r="E155" i="24"/>
  <c r="K155" i="24" s="1"/>
  <c r="E156" i="24"/>
  <c r="E157" i="24"/>
  <c r="C158" i="24"/>
  <c r="E159" i="24"/>
  <c r="E160" i="24"/>
  <c r="E162" i="24"/>
  <c r="E166" i="24"/>
  <c r="E168" i="24"/>
  <c r="E169" i="24"/>
  <c r="C176" i="24"/>
  <c r="C175" i="24" s="1"/>
  <c r="G176" i="24"/>
  <c r="E177" i="24"/>
  <c r="L177" i="24"/>
  <c r="C178" i="24"/>
  <c r="G178" i="24"/>
  <c r="E179" i="24"/>
  <c r="C181" i="24"/>
  <c r="G181" i="24"/>
  <c r="I181" i="24"/>
  <c r="E182" i="24"/>
  <c r="G183" i="24"/>
  <c r="I183" i="24"/>
  <c r="E184" i="24"/>
  <c r="E183" i="24" s="1"/>
  <c r="E186" i="24"/>
  <c r="C189" i="24"/>
  <c r="G189" i="24"/>
  <c r="I189" i="24"/>
  <c r="E190" i="24"/>
  <c r="E191" i="24"/>
  <c r="C192" i="24"/>
  <c r="E193" i="24"/>
  <c r="E195" i="24"/>
  <c r="C196" i="24"/>
  <c r="E197" i="24"/>
  <c r="E198" i="24"/>
  <c r="K198" i="24" s="1"/>
  <c r="L169" i="24"/>
  <c r="L119" i="24"/>
  <c r="L26" i="24"/>
  <c r="L120" i="24"/>
  <c r="L114" i="24"/>
  <c r="I37" i="24" l="1"/>
  <c r="I12" i="24"/>
  <c r="H139" i="24"/>
  <c r="L139" i="24" s="1"/>
  <c r="G89" i="24"/>
  <c r="G37" i="24"/>
  <c r="C180" i="24"/>
  <c r="E180" i="24" s="1"/>
  <c r="G12" i="24"/>
  <c r="H109" i="24"/>
  <c r="H45" i="24"/>
  <c r="L45" i="24" s="1"/>
  <c r="H54" i="24"/>
  <c r="L54" i="24" s="1"/>
  <c r="H176" i="24"/>
  <c r="H189" i="24"/>
  <c r="J189" i="24" s="1"/>
  <c r="I180" i="24"/>
  <c r="K138" i="24"/>
  <c r="H38" i="24"/>
  <c r="H183" i="24"/>
  <c r="J183" i="24" s="1"/>
  <c r="G180" i="24"/>
  <c r="H30" i="24"/>
  <c r="H12" i="24" s="1"/>
  <c r="C37" i="24"/>
  <c r="H71" i="24"/>
  <c r="L71" i="24" s="1"/>
  <c r="E38" i="24"/>
  <c r="E71" i="24"/>
  <c r="L194" i="24"/>
  <c r="L191" i="24"/>
  <c r="L197" i="24"/>
  <c r="L198" i="24"/>
  <c r="L196" i="24"/>
  <c r="L106" i="24"/>
  <c r="L108" i="24"/>
  <c r="L98" i="24"/>
  <c r="L21" i="24"/>
  <c r="L20" i="24"/>
  <c r="L18" i="24"/>
  <c r="I175" i="24"/>
  <c r="E129" i="24"/>
  <c r="L94" i="24"/>
  <c r="K15" i="24"/>
  <c r="L15" i="24"/>
  <c r="L14" i="24"/>
  <c r="K14" i="24"/>
  <c r="K92" i="24"/>
  <c r="K75" i="24"/>
  <c r="L92" i="24"/>
  <c r="K104" i="24"/>
  <c r="K187" i="24"/>
  <c r="L104" i="24"/>
  <c r="K20" i="24"/>
  <c r="K197" i="24"/>
  <c r="K64" i="24"/>
  <c r="K186" i="24"/>
  <c r="L195" i="24"/>
  <c r="L100" i="24"/>
  <c r="K19" i="24"/>
  <c r="E181" i="24"/>
  <c r="K67" i="24"/>
  <c r="E192" i="24"/>
  <c r="E139" i="24"/>
  <c r="K79" i="24"/>
  <c r="C9" i="9"/>
  <c r="C12" i="24"/>
  <c r="E12" i="24" s="1"/>
  <c r="E178" i="24"/>
  <c r="G175" i="24"/>
  <c r="E176" i="24"/>
  <c r="E123" i="24"/>
  <c r="C89" i="24"/>
  <c r="K76" i="24"/>
  <c r="L193" i="24"/>
  <c r="K182" i="24"/>
  <c r="L116" i="24"/>
  <c r="E189" i="24"/>
  <c r="E175" i="24"/>
  <c r="K169" i="24"/>
  <c r="K162" i="24"/>
  <c r="K160" i="24"/>
  <c r="K148" i="24"/>
  <c r="K140" i="24"/>
  <c r="E105" i="24"/>
  <c r="K107" i="24"/>
  <c r="K39" i="24"/>
  <c r="K194" i="24"/>
  <c r="K167" i="24"/>
  <c r="K177" i="24"/>
  <c r="L126" i="24"/>
  <c r="K126" i="24"/>
  <c r="K63" i="24"/>
  <c r="K166" i="24"/>
  <c r="K165" i="24"/>
  <c r="K159" i="24"/>
  <c r="K113" i="24"/>
  <c r="K60" i="24"/>
  <c r="K154" i="24"/>
  <c r="K153" i="24"/>
  <c r="K191" i="24"/>
  <c r="K163" i="24"/>
  <c r="K132" i="24"/>
  <c r="L132" i="24"/>
  <c r="K108" i="24"/>
  <c r="K100" i="24"/>
  <c r="L96" i="24"/>
  <c r="K50" i="24"/>
  <c r="K26" i="24"/>
  <c r="L24" i="24"/>
  <c r="K195" i="24"/>
  <c r="L182" i="24"/>
  <c r="K156" i="24"/>
  <c r="L135" i="24"/>
  <c r="L124" i="24"/>
  <c r="K157" i="24"/>
  <c r="K125" i="24"/>
  <c r="L140" i="24"/>
  <c r="L133" i="24"/>
  <c r="K147" i="24"/>
  <c r="K124" i="24"/>
  <c r="K97" i="24"/>
  <c r="K103" i="24"/>
  <c r="K96" i="24"/>
  <c r="L97" i="24"/>
  <c r="K110" i="24"/>
  <c r="K32" i="24"/>
  <c r="K188" i="24"/>
  <c r="K78" i="24"/>
  <c r="K74" i="24"/>
  <c r="L131" i="24"/>
  <c r="K131" i="24"/>
  <c r="L123" i="24"/>
  <c r="K128" i="24"/>
  <c r="L128" i="24"/>
  <c r="I89" i="24"/>
  <c r="K111" i="24"/>
  <c r="K106" i="24"/>
  <c r="K94" i="24"/>
  <c r="K72" i="24"/>
  <c r="K59" i="24"/>
  <c r="K49" i="24"/>
  <c r="K48" i="24"/>
  <c r="K47" i="24"/>
  <c r="K46" i="24"/>
  <c r="K43" i="24"/>
  <c r="K34" i="24"/>
  <c r="L25" i="24"/>
  <c r="L19" i="24"/>
  <c r="K179" i="24"/>
  <c r="K193" i="24"/>
  <c r="K190" i="24"/>
  <c r="K184" i="24"/>
  <c r="K168" i="24"/>
  <c r="K134" i="24"/>
  <c r="K116" i="24"/>
  <c r="K102" i="24"/>
  <c r="K112" i="24"/>
  <c r="L112" i="24"/>
  <c r="K98" i="24"/>
  <c r="K53" i="24"/>
  <c r="K70" i="24"/>
  <c r="K77" i="24"/>
  <c r="K31" i="24"/>
  <c r="K16" i="24"/>
  <c r="K44" i="24"/>
  <c r="K33" i="24"/>
  <c r="L16" i="24"/>
  <c r="L27" i="24"/>
  <c r="K40" i="24"/>
  <c r="K27" i="24"/>
  <c r="E196" i="24"/>
  <c r="E115" i="24"/>
  <c r="K69" i="24"/>
  <c r="L101" i="24"/>
  <c r="K101" i="24"/>
  <c r="E158" i="24"/>
  <c r="C149" i="24"/>
  <c r="L130" i="24"/>
  <c r="L118" i="24"/>
  <c r="K118" i="24"/>
  <c r="K68" i="24"/>
  <c r="K42" i="24"/>
  <c r="K18" i="24"/>
  <c r="K130" i="24"/>
  <c r="E109" i="24"/>
  <c r="L107" i="24"/>
  <c r="G199" i="24" l="1"/>
  <c r="L38" i="24"/>
  <c r="H37" i="24"/>
  <c r="L30" i="24"/>
  <c r="J139" i="24"/>
  <c r="J54" i="24"/>
  <c r="H175" i="24"/>
  <c r="C199" i="24"/>
  <c r="H89" i="24"/>
  <c r="J109" i="24"/>
  <c r="H180" i="24"/>
  <c r="L109" i="24"/>
  <c r="K54" i="24"/>
  <c r="J45" i="24"/>
  <c r="K176" i="24"/>
  <c r="L176" i="24"/>
  <c r="K196" i="24"/>
  <c r="J38" i="24"/>
  <c r="J176" i="24"/>
  <c r="J30" i="24"/>
  <c r="E37" i="24"/>
  <c r="E89" i="24"/>
  <c r="J71" i="24"/>
  <c r="L183" i="24"/>
  <c r="L181" i="24"/>
  <c r="L189" i="24"/>
  <c r="L13" i="24"/>
  <c r="L17" i="24"/>
  <c r="K23" i="24"/>
  <c r="K178" i="24"/>
  <c r="K139" i="24"/>
  <c r="K38" i="24"/>
  <c r="L99" i="24"/>
  <c r="K181" i="24"/>
  <c r="K189" i="24"/>
  <c r="L192" i="24"/>
  <c r="K99" i="24"/>
  <c r="K192" i="24"/>
  <c r="K57" i="24"/>
  <c r="K61" i="24"/>
  <c r="K66" i="24"/>
  <c r="K123" i="24"/>
  <c r="K115" i="24"/>
  <c r="L115" i="24"/>
  <c r="K13" i="24"/>
  <c r="K17" i="24"/>
  <c r="K73" i="24"/>
  <c r="K183" i="24"/>
  <c r="K93" i="24"/>
  <c r="L93" i="24"/>
  <c r="K71" i="24"/>
  <c r="K45" i="24"/>
  <c r="K30" i="24"/>
  <c r="L23" i="24"/>
  <c r="L105" i="24"/>
  <c r="K105" i="24"/>
  <c r="K109" i="24"/>
  <c r="K158" i="24"/>
  <c r="L90" i="24"/>
  <c r="K90" i="24"/>
  <c r="L129" i="24"/>
  <c r="K129" i="24"/>
  <c r="J89" i="24" l="1"/>
  <c r="L175" i="24"/>
  <c r="J175" i="24"/>
  <c r="K175" i="24"/>
  <c r="H199" i="24"/>
  <c r="J180" i="24"/>
  <c r="J37" i="24"/>
  <c r="K12" i="24"/>
  <c r="L37" i="24"/>
  <c r="K37" i="24"/>
  <c r="K180" i="24"/>
  <c r="L180" i="24"/>
  <c r="K89" i="24"/>
  <c r="L89" i="24"/>
  <c r="L149" i="24"/>
  <c r="H16" i="9" l="1"/>
  <c r="K22" i="24" l="1"/>
  <c r="J12" i="24" l="1"/>
  <c r="L12" i="24"/>
  <c r="J199" i="24" l="1"/>
  <c r="L199" i="24"/>
  <c r="E150" i="24" l="1"/>
  <c r="D149" i="24"/>
  <c r="D199" i="24" s="1"/>
  <c r="E149" i="24" l="1"/>
  <c r="K149" i="24" s="1"/>
  <c r="K150" i="24"/>
  <c r="E199" i="24" l="1"/>
  <c r="K199" i="24" l="1"/>
  <c r="J86" i="24" l="1"/>
  <c r="K86" i="24"/>
  <c r="L86" i="24"/>
  <c r="K87" i="24"/>
  <c r="J87" i="24"/>
  <c r="L87" i="24"/>
  <c r="I149" i="24"/>
  <c r="I199" i="24" s="1"/>
  <c r="J20" i="60"/>
  <c r="J21" i="60" l="1"/>
  <c r="H20" i="9"/>
  <c r="I20" i="9"/>
  <c r="G14" i="9" l="1"/>
  <c r="I14" i="9" s="1"/>
  <c r="H14" i="9" l="1"/>
  <c r="G13" i="9"/>
  <c r="H13" i="9" s="1"/>
  <c r="I13" i="9" l="1"/>
  <c r="G30" i="9"/>
  <c r="H30" i="9" s="1"/>
  <c r="I30" i="9" l="1"/>
  <c r="G15" i="9" l="1"/>
  <c r="I15" i="9" s="1"/>
  <c r="H15" i="9" l="1"/>
  <c r="G18" i="9"/>
  <c r="H18" i="9" s="1"/>
  <c r="I18" i="9" l="1"/>
  <c r="G28" i="9"/>
  <c r="I28" i="9" s="1"/>
  <c r="H28" i="9" l="1"/>
  <c r="G11" i="9" l="1"/>
  <c r="G9" i="9"/>
  <c r="H9" i="9" s="1"/>
  <c r="G17" i="9"/>
  <c r="I17" i="9" s="1"/>
  <c r="I11" i="9" l="1"/>
  <c r="H11" i="9"/>
  <c r="I9" i="9"/>
  <c r="H17" i="9"/>
  <c r="J24" i="9"/>
  <c r="G26" i="9"/>
  <c r="G24" i="9" s="1"/>
  <c r="H24" i="9" s="1"/>
  <c r="I24" i="9" l="1"/>
  <c r="I26" i="9"/>
</calcChain>
</file>

<file path=xl/sharedStrings.xml><?xml version="1.0" encoding="utf-8"?>
<sst xmlns="http://schemas.openxmlformats.org/spreadsheetml/2006/main" count="426" uniqueCount="366">
  <si>
    <t>DETALLE</t>
  </si>
  <si>
    <t>VARIACION</t>
  </si>
  <si>
    <t>ASIGNADO</t>
  </si>
  <si>
    <t>RELATIVA</t>
  </si>
  <si>
    <t xml:space="preserve"> </t>
  </si>
  <si>
    <t>MODIFICADO</t>
  </si>
  <si>
    <t>T   O   T   A   L</t>
  </si>
  <si>
    <t>INGRESOS PROPIOS</t>
  </si>
  <si>
    <t xml:space="preserve">   VENTA DE SERVICIOS</t>
  </si>
  <si>
    <t xml:space="preserve">   OTROS SER. AUTOGESTION</t>
  </si>
  <si>
    <t xml:space="preserve">   MATRICULA-DERECHOS</t>
  </si>
  <si>
    <t xml:space="preserve">   OTROS - BIBLIOTECA</t>
  </si>
  <si>
    <t xml:space="preserve">   TASAS</t>
  </si>
  <si>
    <t xml:space="preserve">   INGRESOS VARIOS</t>
  </si>
  <si>
    <t>APORTE ESTATAL</t>
  </si>
  <si>
    <t>SALDO</t>
  </si>
  <si>
    <t>ANUAL</t>
  </si>
  <si>
    <t>TOTAL</t>
  </si>
  <si>
    <t>PRESUPUESTO</t>
  </si>
  <si>
    <t>MENSUAL</t>
  </si>
  <si>
    <t xml:space="preserve">  CODIFICACION PRESUPUESTARIA</t>
  </si>
  <si>
    <t xml:space="preserve">           RECAUDACION</t>
  </si>
  <si>
    <t>ACUMULADA</t>
  </si>
  <si>
    <t xml:space="preserve"> 1.2.1.4.07</t>
  </si>
  <si>
    <t xml:space="preserve"> 1.2.1.4.99</t>
  </si>
  <si>
    <t>1.2.4.1.24</t>
  </si>
  <si>
    <t>1.2.4.1.99</t>
  </si>
  <si>
    <t>1.2.4.2.26</t>
  </si>
  <si>
    <t>1.2.6.0.99</t>
  </si>
  <si>
    <t>1.4.2.0.01</t>
  </si>
  <si>
    <t>2.4.2.0.01</t>
  </si>
  <si>
    <t>TRANSFERENCIAS CORRIENTES</t>
  </si>
  <si>
    <t>1.2.3.1.07</t>
  </si>
  <si>
    <t>APORTE LIBRE</t>
  </si>
  <si>
    <t>I.D.A.A.N.</t>
  </si>
  <si>
    <t>CONTRIBUCION A LA S.S.</t>
  </si>
  <si>
    <t>TRANSFERENCIAS DE CAPITAL</t>
  </si>
  <si>
    <t>2.3.2.1.07</t>
  </si>
  <si>
    <t>EJECUCIÓN</t>
  </si>
  <si>
    <t>PAGADO ACUMUL.</t>
  </si>
  <si>
    <t>LEY</t>
  </si>
  <si>
    <t>AJUSTE</t>
  </si>
  <si>
    <t>ACUMUL.</t>
  </si>
  <si>
    <t xml:space="preserve"> FECHA</t>
  </si>
  <si>
    <t>0</t>
  </si>
  <si>
    <t>SERVICIOS PERSONALES</t>
  </si>
  <si>
    <t>000</t>
  </si>
  <si>
    <t>SUELDOS FIJOS</t>
  </si>
  <si>
    <t>001</t>
  </si>
  <si>
    <t>002</t>
  </si>
  <si>
    <t>SUELDO PERSONAL TRANS.</t>
  </si>
  <si>
    <t>003</t>
  </si>
  <si>
    <t>CONTINGENTE</t>
  </si>
  <si>
    <t>010</t>
  </si>
  <si>
    <t xml:space="preserve">SOBRESUELDOS </t>
  </si>
  <si>
    <t>011</t>
  </si>
  <si>
    <t>SOBRESUELDO POR ANTIG.</t>
  </si>
  <si>
    <t>SOBRESUELDOS POR JEF.</t>
  </si>
  <si>
    <t>019</t>
  </si>
  <si>
    <t>OTROS SOBRESUELDOS</t>
  </si>
  <si>
    <t>030</t>
  </si>
  <si>
    <t>GASTOS DE REPRES.</t>
  </si>
  <si>
    <t>050</t>
  </si>
  <si>
    <t>XIII MES</t>
  </si>
  <si>
    <t>070</t>
  </si>
  <si>
    <t>CONTRIBUC. A LA S.S.</t>
  </si>
  <si>
    <t>071</t>
  </si>
  <si>
    <t>C.P. SEG. SOCIAL</t>
  </si>
  <si>
    <t>072</t>
  </si>
  <si>
    <t>C.P. SEG. EDUCATIVO</t>
  </si>
  <si>
    <t>073</t>
  </si>
  <si>
    <t>C.P. RIESGO PROF.</t>
  </si>
  <si>
    <t>074</t>
  </si>
  <si>
    <t>C.P. FDO COMPLEM.</t>
  </si>
  <si>
    <t>080</t>
  </si>
  <si>
    <t>OTROS SERV. PERSONALES</t>
  </si>
  <si>
    <t>090</t>
  </si>
  <si>
    <t>CR.REC.POR S. PERSONAL</t>
  </si>
  <si>
    <t>091</t>
  </si>
  <si>
    <t>CRED.REC.POR SUELDO</t>
  </si>
  <si>
    <t>092</t>
  </si>
  <si>
    <t>1</t>
  </si>
  <si>
    <t>SERV. NO PERSONALES</t>
  </si>
  <si>
    <t>ALQUILERES</t>
  </si>
  <si>
    <t>101</t>
  </si>
  <si>
    <t>DE EDIFICIOS</t>
  </si>
  <si>
    <t>102</t>
  </si>
  <si>
    <t>EQUIPO ELECTRONICO</t>
  </si>
  <si>
    <t>103</t>
  </si>
  <si>
    <t>EQUIPO DE OFICINA</t>
  </si>
  <si>
    <t>104</t>
  </si>
  <si>
    <t>ALQ. DE EQ. DE PROD.</t>
  </si>
  <si>
    <t>105</t>
  </si>
  <si>
    <t>ALQ. DE EQ. DE TRANSPORTE</t>
  </si>
  <si>
    <t>109</t>
  </si>
  <si>
    <t>OTROS ALQUILERES</t>
  </si>
  <si>
    <t>110</t>
  </si>
  <si>
    <t>SERVICIOS BASICOS</t>
  </si>
  <si>
    <t>111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</si>
  <si>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</si>
  <si>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</si>
  <si>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</si>
  <si>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</si>
  <si>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</si>
  <si>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</si>
  <si>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</si>
  <si>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</si>
  <si>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</si>
  <si>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120</t>
  </si>
  <si>
    <t>IMPRESOS Y ENCUADER.</t>
  </si>
  <si>
    <t>130</t>
  </si>
  <si>
    <t>INF.Y PUBLICIDAD</t>
  </si>
  <si>
    <t>131</t>
  </si>
  <si>
    <t>ANUNCIOS Y AVISOS</t>
  </si>
  <si>
    <t>140</t>
  </si>
  <si>
    <t>VIATICOS</t>
  </si>
  <si>
    <t>141</t>
  </si>
  <si>
    <t>DENTRO DEL PAIS</t>
  </si>
  <si>
    <t>142</t>
  </si>
  <si>
    <t>EN EL EXTERIOR</t>
  </si>
  <si>
    <t>A PERSONAS</t>
  </si>
  <si>
    <t>150</t>
  </si>
  <si>
    <t>TRANSPORTE</t>
  </si>
  <si>
    <t>151</t>
  </si>
  <si>
    <t>152</t>
  </si>
  <si>
    <t>DE OTRAS PERSONAS</t>
  </si>
  <si>
    <t>160</t>
  </si>
  <si>
    <t>S. COMERCIALES</t>
  </si>
  <si>
    <t>164</t>
  </si>
  <si>
    <t>GASTOS DE SEGURO</t>
  </si>
  <si>
    <t>SERVICIOS ADUANEROS</t>
  </si>
  <si>
    <t>169</t>
  </si>
  <si>
    <t>OTROS SERVICIOS</t>
  </si>
  <si>
    <t>172</t>
  </si>
  <si>
    <t>SERVICIOS ESPECIALES</t>
  </si>
  <si>
    <t>180</t>
  </si>
  <si>
    <t>MANTO Y REPARACION</t>
  </si>
  <si>
    <t>MANT. Y REPARACION  EDIF.</t>
  </si>
  <si>
    <t>182</t>
  </si>
  <si>
    <t>189</t>
  </si>
  <si>
    <t>OTROS MANTENIMIENTO</t>
  </si>
  <si>
    <t>2</t>
  </si>
  <si>
    <t>MATER.Y SUMINISTROS</t>
  </si>
  <si>
    <t>200</t>
  </si>
  <si>
    <t>ALIMENTOS Y BEBIDAS</t>
  </si>
  <si>
    <t>201</t>
  </si>
  <si>
    <t>PARA CONSUMO HUMANO</t>
  </si>
  <si>
    <t>203</t>
  </si>
  <si>
    <t>BEBIDAS</t>
  </si>
  <si>
    <t>210</t>
  </si>
  <si>
    <t>TEXTILES Y VESTUARIOS</t>
  </si>
  <si>
    <t>211</t>
  </si>
  <si>
    <t>ACABADO TEXTIL</t>
  </si>
  <si>
    <t>212</t>
  </si>
  <si>
    <t>CALZADOS</t>
  </si>
  <si>
    <t>213</t>
  </si>
  <si>
    <t>HILADOS Y TELAS</t>
  </si>
  <si>
    <t>214</t>
  </si>
  <si>
    <t>PRENDAS DE VESTIR</t>
  </si>
  <si>
    <t>219</t>
  </si>
  <si>
    <t>OTROS TEXTILES</t>
  </si>
  <si>
    <t>220</t>
  </si>
  <si>
    <t>COMBUSTIBLES Y LUB.</t>
  </si>
  <si>
    <t>221</t>
  </si>
  <si>
    <t>DIESEL</t>
  </si>
  <si>
    <t>223</t>
  </si>
  <si>
    <t>GASOLINA</t>
  </si>
  <si>
    <t>224</t>
  </si>
  <si>
    <t>LUBRICANTES</t>
  </si>
  <si>
    <t>OTROS COMBUSTIBLES</t>
  </si>
  <si>
    <t>230</t>
  </si>
  <si>
    <t>PROD. DE PAPEL</t>
  </si>
  <si>
    <t>231</t>
  </si>
  <si>
    <t>IMPRESOS</t>
  </si>
  <si>
    <t>232</t>
  </si>
  <si>
    <t>PAPELERIA</t>
  </si>
  <si>
    <t>239</t>
  </si>
  <si>
    <t>OTROS PROD. DE PAPEL</t>
  </si>
  <si>
    <t>240</t>
  </si>
  <si>
    <t>OTROS PROD. QUIMICOS</t>
  </si>
  <si>
    <t>241</t>
  </si>
  <si>
    <t>ABONOS Y FERTILIZANTES</t>
  </si>
  <si>
    <t>242</t>
  </si>
  <si>
    <t>INSECT. FUMIGANTES Y OTROS</t>
  </si>
  <si>
    <t>243</t>
  </si>
  <si>
    <t>PINTURAS</t>
  </si>
  <si>
    <t>244</t>
  </si>
  <si>
    <t>PRODUCTOS MEDICINALES</t>
  </si>
  <si>
    <t>249</t>
  </si>
  <si>
    <t>OTROS P. QUIMICOS</t>
  </si>
  <si>
    <t>250</t>
  </si>
  <si>
    <t>MAT. DE CONSTRUCCION</t>
  </si>
  <si>
    <t>252</t>
  </si>
  <si>
    <t>CEMENTO</t>
  </si>
  <si>
    <t>253</t>
  </si>
  <si>
    <t>MADERAS</t>
  </si>
  <si>
    <t>M. DE PLOMERIA</t>
  </si>
  <si>
    <t>255</t>
  </si>
  <si>
    <t>M. DE ELECTRICIDAD</t>
  </si>
  <si>
    <t>256</t>
  </si>
  <si>
    <t>M. METALICOS</t>
  </si>
  <si>
    <t>PIEDRA Y ARENA</t>
  </si>
  <si>
    <t>259</t>
  </si>
  <si>
    <t>OROS MATERIALES</t>
  </si>
  <si>
    <t>260</t>
  </si>
  <si>
    <t>PRODUCTOS VARIOS</t>
  </si>
  <si>
    <t>ARTICULOS PARA RECEPCION</t>
  </si>
  <si>
    <t>262</t>
  </si>
  <si>
    <t>HERRAM. E INST.</t>
  </si>
  <si>
    <t>265</t>
  </si>
  <si>
    <t>269</t>
  </si>
  <si>
    <t>OTROS P. VARIOS</t>
  </si>
  <si>
    <t>270</t>
  </si>
  <si>
    <t>UTILES DE M. DIVERSOS</t>
  </si>
  <si>
    <t>271</t>
  </si>
  <si>
    <t>UTILES DE COCINA Y COMEDOR</t>
  </si>
  <si>
    <t>272</t>
  </si>
  <si>
    <t>UTILES DEPORTIVOS</t>
  </si>
  <si>
    <t>273</t>
  </si>
  <si>
    <t>UTILES DE ASEO</t>
  </si>
  <si>
    <t>274</t>
  </si>
  <si>
    <t>UTILES DE LABORATORIOS</t>
  </si>
  <si>
    <t>275</t>
  </si>
  <si>
    <t>UTILES DE OFICINA</t>
  </si>
  <si>
    <t>INSTRUMENTOS MEDICOS</t>
  </si>
  <si>
    <t>ARTICULOS DE PROTESIS Y REHA.</t>
  </si>
  <si>
    <t>279</t>
  </si>
  <si>
    <t>OTROS U. Y MATERIALES</t>
  </si>
  <si>
    <t>280</t>
  </si>
  <si>
    <t>REPUESTOS</t>
  </si>
  <si>
    <t>CR.REC.POR MAT. Y SUM.</t>
  </si>
  <si>
    <t>CR.REC. POR ALIMENTOS</t>
  </si>
  <si>
    <t>CD.REC. COMB. Y LUB.</t>
  </si>
  <si>
    <t>CD.REC. PROD. VARIOS</t>
  </si>
  <si>
    <t>CRED.REC.UTILES Y MAT.</t>
  </si>
  <si>
    <t>3</t>
  </si>
  <si>
    <t>MAQUINARIA Y EQUIPO</t>
  </si>
  <si>
    <t>MAQ.Y EQ. DE PRODUCCION</t>
  </si>
  <si>
    <t>MAQ. Y EQ. TRANSPORTE</t>
  </si>
  <si>
    <t>EQUIPO DE LABORATORIO</t>
  </si>
  <si>
    <t>EQUIPO DE, LABORATORIO</t>
  </si>
  <si>
    <t>MOBILIARIO DE OFICINA</t>
  </si>
  <si>
    <t>MAQ. Y EQUIPOS VARIOS</t>
  </si>
  <si>
    <t>EQUIPO DE COMPUTACION</t>
  </si>
  <si>
    <t>INV. FINANCIERAS</t>
  </si>
  <si>
    <t>COMPRA DE EXISTENCIA</t>
  </si>
  <si>
    <t>OTRAS EXISTENCIAS</t>
  </si>
  <si>
    <t>CR. REC. INVERSIONES FIN.</t>
  </si>
  <si>
    <t>CR. REC.  COMPRA EXISTENCIA</t>
  </si>
  <si>
    <t>6</t>
  </si>
  <si>
    <t>600</t>
  </si>
  <si>
    <t>PENSIONES Y JUBILACIONES</t>
  </si>
  <si>
    <t>609</t>
  </si>
  <si>
    <t>610</t>
  </si>
  <si>
    <t>BECAS DE ESTUDIO</t>
  </si>
  <si>
    <t>ADIEST. Y ESTUDIOS</t>
  </si>
  <si>
    <t>660</t>
  </si>
  <si>
    <t>TRANSF. AL EXTERIOR</t>
  </si>
  <si>
    <t>CUOTA  ORG. CENTROAM.</t>
  </si>
  <si>
    <t>663</t>
  </si>
  <si>
    <t>CUOTA  ORG. INTERAM.</t>
  </si>
  <si>
    <t>664</t>
  </si>
  <si>
    <t>CUOTA A ORG. MUNDIALES</t>
  </si>
  <si>
    <t>TOTAL FUNCIONAMIENTO</t>
  </si>
  <si>
    <t>SALDO A LA FECHA</t>
  </si>
  <si>
    <t>163</t>
  </si>
  <si>
    <t>GASTOS JUDICIALES</t>
  </si>
  <si>
    <t>GAS</t>
  </si>
  <si>
    <t>PROGRAMA DE CONSTRUCCIONES</t>
  </si>
  <si>
    <t>CONSTRUCCION II FASE DEL PROYECTO DEL CAMPUS CENTRAL</t>
  </si>
  <si>
    <t>PROGRAMA DE MOBILIARIO</t>
  </si>
  <si>
    <t>PROGRAMAS-PROYECTOS</t>
  </si>
  <si>
    <t>099</t>
  </si>
  <si>
    <t>132</t>
  </si>
  <si>
    <t>PROMOCION Y PUBLICIDAD</t>
  </si>
  <si>
    <t>MANT. Y REPARACION MAQ. OTROS</t>
  </si>
  <si>
    <t>MANT. Y REPARACION  MOBILIARIOS</t>
  </si>
  <si>
    <t>MANT. Y REPARACION  OBRAS</t>
  </si>
  <si>
    <t>OTRAS MAQ. Y EQ. TRANSPORTE</t>
  </si>
  <si>
    <t>622</t>
  </si>
  <si>
    <t>BECAS UNIVERSITARIAS</t>
  </si>
  <si>
    <t>DONATIVOS A PERSONAS</t>
  </si>
  <si>
    <t>096</t>
  </si>
  <si>
    <t>CRED.REC.POR DECIMO III</t>
  </si>
  <si>
    <t>CRED. REC. POR TRANSF.COM</t>
  </si>
  <si>
    <t>MANT. DE EQUIPOS DE COMP.</t>
  </si>
  <si>
    <t xml:space="preserve">MAQ. Y EQUIPO DE TALLERES </t>
  </si>
  <si>
    <t>OTRAS TRANSFERENCIAS</t>
  </si>
  <si>
    <t>CONSULTORIAS Y SERV</t>
  </si>
  <si>
    <t>INDEMNIZ. POR RETIRO VOL.</t>
  </si>
  <si>
    <t>INDEMNIZ. ESPECIALES</t>
  </si>
  <si>
    <t>PRESUPUESTO MODIFICADO</t>
  </si>
  <si>
    <t>CRED.REC.POR REPUESTOS</t>
  </si>
  <si>
    <t>CR. REC.TRASNF. EXTERIOR</t>
  </si>
  <si>
    <t xml:space="preserve">COMPROMISO </t>
  </si>
  <si>
    <t>Maq. Y Equipo Industrial</t>
  </si>
  <si>
    <t>Maq. Y Equipo de Talleres y Almacenes</t>
  </si>
  <si>
    <t>FORTALECIMIENTO DE LA SEDE REGIONAL</t>
  </si>
  <si>
    <t>094</t>
  </si>
  <si>
    <t>CRED. REC. GASTOS E REPRES.</t>
  </si>
  <si>
    <t>CR.RECONOCIDO POR MAQ. Y EQ.</t>
  </si>
  <si>
    <t>MAT. Y EQUIPO DE SEGURIDAD</t>
  </si>
  <si>
    <t>MAQ. Y EQUIPO DE ENERGIA</t>
  </si>
  <si>
    <t>PAGADO</t>
  </si>
  <si>
    <t>FORTALECIMIENTO DE LA GESTIÓN DE PATENTES TECNOLÓGICAS</t>
  </si>
  <si>
    <t>CR. REC. BECAS DE ESTUDIO</t>
  </si>
  <si>
    <t>CD.REC. TEXTILES Y VESTUARIOS</t>
  </si>
  <si>
    <t>PRESUPUESTO  LEY</t>
  </si>
  <si>
    <t>MANTENIMIENTO PREVENTIVO Y CORRECTIVO DE LA INFRAESTRUCTURA FISICA Y PATRIMONIAL DE LA UTP A NIVEL NACIONAL.</t>
  </si>
  <si>
    <t>INVESTIGACION Y TRANSFERENCIA DE TECNOLOGÍA</t>
  </si>
  <si>
    <t>ESTUDIO DE CONSULTORIA PARA PROYECTOS DE ESTADO</t>
  </si>
  <si>
    <t>CD.REC.POR MATERIALES CONST.</t>
  </si>
  <si>
    <t>INDEMNIZACIONES LABORALES</t>
  </si>
  <si>
    <t>081</t>
  </si>
  <si>
    <t>GRATIFICACIÓN O AGUINALDO</t>
  </si>
  <si>
    <t>DESARROLLO DEL CENTRO DE ESTUDIOS MULTIDISCIPLINARIO EN CIENCIAS</t>
  </si>
  <si>
    <t>IMPLEMENTACIÓN DE BASE DE DATOS BIBLIOGRÁFICOS Y COLECCIONES</t>
  </si>
  <si>
    <t>HABILITACIÓN DEL LABORATORIO DE ANÁLISIS INDUSTRIALES Y CIENCIA</t>
  </si>
  <si>
    <t>HABILITACIÓN DE LABORATORIOS DE DOCENCIA PARA EL CENTRO DE ING</t>
  </si>
  <si>
    <t>CR.REC.PROD. QUIMICOS Y CONEXOS</t>
  </si>
  <si>
    <t>TRANSPORTE DE BIENES</t>
  </si>
  <si>
    <t>MAT. Y SUMINISTROS DE COMP.</t>
  </si>
  <si>
    <t>TRANSFERENCIAS CORR.</t>
  </si>
  <si>
    <t>ABOLUTA</t>
  </si>
  <si>
    <t>O/G</t>
  </si>
  <si>
    <t>7=1-4</t>
  </si>
  <si>
    <t>8=4/2*100</t>
  </si>
  <si>
    <t>EJECUCIÓN  PORCENTUAL</t>
  </si>
  <si>
    <t>6=2-7</t>
  </si>
  <si>
    <t>CUADRO-2  EJECUCION DE INGRESOS SEGÚN OBJETO</t>
  </si>
  <si>
    <t>SALDO ANUAL</t>
  </si>
  <si>
    <t>MEJORAMIENTO DEL CENTRO DE DATOS DE LA UTP</t>
  </si>
  <si>
    <t>CRED.REC. POR SERVICIOS NO PERS.</t>
  </si>
  <si>
    <t>CRED.REC.POR SERV. BÁSICOS</t>
  </si>
  <si>
    <t>CRED.REC.POR TRANSP. PERSONAS</t>
  </si>
  <si>
    <t>UNIVERSIDAD TECNOLÓGICA DE PANAMÁ</t>
  </si>
  <si>
    <t>DIRECCIÓN NACIONAL DE PRESUPUESTO</t>
  </si>
  <si>
    <t>UNIVERSIDAD TECNOLÓGICA DE PANAMA</t>
  </si>
  <si>
    <t xml:space="preserve">CUADRO A-6A. EJECUCION PRESUPUESTARIA  DE FUNCIONAMIENTO </t>
  </si>
  <si>
    <t>OTRAS PENSIONES Y JUBILACIONES</t>
  </si>
  <si>
    <t>MAQ. Y EQUIPO ACUEDUC. Y RIEGO</t>
  </si>
  <si>
    <t>CRE.REC.POR Cont. Seguridad Soc.</t>
  </si>
  <si>
    <t>CRED.REC.POR AlQUILERES</t>
  </si>
  <si>
    <t>CRED.REC.POR IMPRESIÓN Y ENC.</t>
  </si>
  <si>
    <t>CRED.REC.POR VIÁTICOS</t>
  </si>
  <si>
    <t>CRED.REC.POR SERV. COMERCIALES</t>
  </si>
  <si>
    <t>CRED.REC.POR MANTO. Y REPARAC.</t>
  </si>
  <si>
    <t>CR.RECONOCIDO   EQUIPO COMP.</t>
  </si>
  <si>
    <t>DIRECCIÓN NACIONAL DE PANAMA</t>
  </si>
  <si>
    <t>SERVICIO TRASMISION DATOS</t>
  </si>
  <si>
    <t>CD.REC. PRODUCTO DE PAPEL</t>
  </si>
  <si>
    <t>MAQ. Y EQUIPO CONSTRUCCIONES</t>
  </si>
  <si>
    <t>EQUIPO MÉDICO Y LABORATORIO</t>
  </si>
  <si>
    <t>CR.RECONOCIDO  EQ. EDUCACIONAL</t>
  </si>
  <si>
    <t>FORTALECIMIENTO  DE LA CIENCIA, TECNOLOGIA E INNOVACION</t>
  </si>
  <si>
    <t>MEJORAMIENTO LABORATORIOS FACULTADES Y CENTROS REGIONALES</t>
  </si>
  <si>
    <t>CUADRO A-9   EJECUCIÓN PRESUPUESTARIA DE INVERSIONES POR PROGRAMA</t>
  </si>
  <si>
    <t>CRED. REC. POR SOBRESURLDOS</t>
  </si>
  <si>
    <t>SERVICIO DE TELEFONÍA CELULAR</t>
  </si>
  <si>
    <t>MAQ. Y  EQUIPO  INDUSTRIAL</t>
  </si>
  <si>
    <t>MAQ. Y  EQUIPO  COMUNICACIONES</t>
  </si>
  <si>
    <t>SALDO EN CAJA  (CORRIENTE)</t>
  </si>
  <si>
    <t>SALDO EN CAJA (CAPITAL)</t>
  </si>
  <si>
    <t>% EJEC.</t>
  </si>
  <si>
    <t xml:space="preserve"> OBJETO DE GASTO: AL 30 DE JUNIO DE 2021</t>
  </si>
  <si>
    <t>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</si>
</sst>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€]#,##0.00\ ;[$€]\(#,##0.00\);[$€]\-#\ ;@\ "/>
    <numFmt numFmtId="165" formatCode="#,##0\ ;\(#,##0\)"/>
    <numFmt numFmtId="166" formatCode="0.0"/>
    <numFmt numFmtId="169" formatCode="0.00\ "/>
    <numFmt numFmtId="175" formatCode="0.00\ ;[Red]\-0.00\ "/>
  </numFmts>
  <fonts count="25" x14ac:knownFonts="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rgb="FF0000FF"/>
      <name val="Arial"/>
      <family val="2"/>
    </font>
    <font>
      <sz val="10"/>
      <color rgb="FF062948"/>
      <name val="Arial"/>
      <family val="2"/>
    </font>
    <font>
      <b/>
      <sz val="9"/>
      <color rgb="FF062948"/>
      <name val="Arial"/>
      <family val="2"/>
    </font>
    <font>
      <sz val="11"/>
      <color rgb="FF062948"/>
      <name val="Arial"/>
      <family val="2"/>
    </font>
    <font>
      <b/>
      <sz val="9"/>
      <color rgb="FF002060"/>
      <name val="Arial"/>
      <family val="2"/>
    </font>
    <font>
      <sz val="8"/>
      <color rgb="FF002060"/>
      <name val="Arial"/>
      <family val="2"/>
    </font>
    <font>
      <sz val="9"/>
      <color rgb="FF00206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Arial"/>
      <family val="2"/>
    </font>
    <font>
      <sz val="9"/>
      <name val="Arial"/>
      <family val="2"/>
    </font>
    <font>
      <sz val="10.5"/>
      <color rgb="FF062948"/>
      <name val="Arial Black"/>
      <family val="2"/>
    </font>
    <font>
      <sz val="10.5"/>
      <name val="Arial Black"/>
      <family val="2"/>
    </font>
    <font>
      <sz val="10.5"/>
      <color theme="4" tint="-0.499984740745262"/>
      <name val="Arial Black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rgb="FF0629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indexed="62"/>
      </bottom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/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theme="3" tint="-0.499984740745262"/>
      </bottom>
      <diagonal/>
    </border>
    <border>
      <left style="thin">
        <color theme="3" tint="-0.499984740745262"/>
      </left>
      <right/>
      <top/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/>
      <bottom style="thin">
        <color indexed="62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/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rgb="FF002060"/>
      </left>
      <right style="thin">
        <color indexed="62"/>
      </right>
      <top/>
      <bottom/>
      <diagonal/>
    </border>
    <border>
      <left/>
      <right style="thin">
        <color theme="3" tint="-0.499984740745262"/>
      </right>
      <top/>
      <bottom style="thin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2"/>
      </right>
      <top/>
      <bottom/>
      <diagonal/>
    </border>
    <border>
      <left style="thin">
        <color indexed="62"/>
      </left>
      <right/>
      <top/>
      <bottom/>
      <diagonal/>
    </border>
    <border>
      <left/>
      <right/>
      <top/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/>
      <bottom/>
      <diagonal/>
    </border>
    <border>
      <left style="thin">
        <color rgb="FF000066"/>
      </left>
      <right/>
      <top/>
      <bottom/>
      <diagonal/>
    </border>
    <border>
      <left style="thin">
        <color theme="3" tint="-0.499984740745262"/>
      </left>
      <right/>
      <top/>
      <bottom style="medium">
        <color rgb="FF000066"/>
      </bottom>
      <diagonal/>
    </border>
    <border>
      <left style="thin">
        <color rgb="FF000066"/>
      </left>
      <right style="thin">
        <color rgb="FF000066"/>
      </right>
      <top/>
      <bottom style="medium">
        <color rgb="FF000066"/>
      </bottom>
      <diagonal/>
    </border>
    <border>
      <left style="thin">
        <color rgb="FF000066"/>
      </left>
      <right/>
      <top/>
      <bottom style="medium">
        <color rgb="FF000066"/>
      </bottom>
      <diagonal/>
    </border>
    <border>
      <left/>
      <right/>
      <top style="medium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theme="3" tint="-0.499984740745262"/>
      </top>
      <bottom style="thin">
        <color indexed="62"/>
      </bottom>
      <diagonal/>
    </border>
    <border>
      <left style="thin">
        <color theme="3" tint="-0.499984740745262"/>
      </left>
      <right/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 style="thin">
        <color rgb="FF000066"/>
      </right>
      <top style="medium">
        <color theme="3" tint="-0.499984740745262"/>
      </top>
      <bottom style="thin">
        <color theme="3" tint="-0.499984740745262"/>
      </bottom>
      <diagonal/>
    </border>
    <border>
      <left style="thin">
        <color rgb="FF000066"/>
      </left>
      <right/>
      <top style="medium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indexed="62"/>
      </top>
      <bottom style="medium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medium">
        <color theme="3" tint="-0.499984740745262"/>
      </bottom>
      <diagonal/>
    </border>
    <border>
      <left style="thin">
        <color rgb="FF000066"/>
      </left>
      <right style="thin">
        <color rgb="FF000066"/>
      </right>
      <top/>
      <bottom style="medium">
        <color theme="3" tint="-0.499984740745262"/>
      </bottom>
      <diagonal/>
    </border>
    <border>
      <left style="thin">
        <color rgb="FF000066"/>
      </left>
      <right/>
      <top style="thin">
        <color theme="3" tint="-0.499984740745262"/>
      </top>
      <bottom style="medium">
        <color theme="3" tint="-0.499984740745262"/>
      </bottom>
      <diagonal/>
    </border>
    <border>
      <left style="thin">
        <color indexed="62"/>
      </left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 style="thin">
        <color indexed="62"/>
      </left>
      <right/>
      <top style="medium">
        <color rgb="FF000066"/>
      </top>
      <bottom style="medium">
        <color rgb="FF000066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rgb="FF000066"/>
      </top>
      <bottom style="medium">
        <color rgb="FF000066"/>
      </bottom>
      <diagonal/>
    </border>
    <border>
      <left style="thin">
        <color theme="3" tint="-0.24994659260841701"/>
      </left>
      <right/>
      <top/>
      <bottom/>
      <diagonal/>
    </border>
    <border>
      <left style="thin">
        <color indexed="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indexed="62"/>
      </bottom>
      <diagonal/>
    </border>
    <border>
      <left style="thin">
        <color theme="3" tint="-0.499984740745262"/>
      </left>
      <right/>
      <top style="thin">
        <color rgb="FF000066"/>
      </top>
      <bottom style="medium">
        <color indexed="62"/>
      </bottom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theme="3" tint="-0.499984740745262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indexed="62"/>
      </bottom>
      <diagonal/>
    </border>
    <border>
      <left/>
      <right style="thin">
        <color indexed="62"/>
      </right>
      <top style="medium">
        <color rgb="FF000066"/>
      </top>
      <bottom style="medium">
        <color rgb="FF000066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auto="1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medium">
        <color auto="1"/>
      </bottom>
      <diagonal/>
    </border>
    <border>
      <left style="thin">
        <color theme="3" tint="-0.24994659260841701"/>
      </left>
      <right/>
      <top style="medium">
        <color auto="1"/>
      </top>
      <bottom style="medium">
        <color auto="1"/>
      </bottom>
      <diagonal/>
    </border>
    <border>
      <left/>
      <right style="thin">
        <color theme="3" tint="-0.499984740745262"/>
      </right>
      <top/>
      <bottom style="medium">
        <color indexed="62"/>
      </bottom>
      <diagonal/>
    </border>
    <border>
      <left style="thin">
        <color rgb="FF000066"/>
      </left>
      <right/>
      <top style="medium">
        <color theme="3" tint="-0.499984740745262"/>
      </top>
      <bottom/>
      <diagonal/>
    </border>
    <border>
      <left/>
      <right style="thin">
        <color indexed="62"/>
      </right>
      <top/>
      <bottom/>
      <diagonal/>
    </border>
    <border>
      <left style="thin">
        <color indexed="62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rgb="FF000066"/>
      </top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/>
      <bottom style="medium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2"/>
      </top>
      <bottom style="thin">
        <color auto="1"/>
      </bottom>
      <diagonal/>
    </border>
    <border>
      <left/>
      <right style="thin">
        <color theme="3" tint="-0.499984740745262"/>
      </right>
      <top style="medium">
        <color auto="1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medium">
        <color auto="1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 style="thin">
        <color indexed="62"/>
      </bottom>
      <diagonal/>
    </border>
    <border>
      <left style="thin">
        <color theme="3" tint="-0.4999847407452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auto="1"/>
      </top>
      <bottom style="medium">
        <color auto="1"/>
      </bottom>
      <diagonal/>
    </border>
    <border>
      <left style="thin">
        <color indexed="62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66"/>
      </left>
      <right style="thin">
        <color rgb="FF000066"/>
      </right>
      <top style="thin">
        <color auto="1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ill="0" applyBorder="0" applyAlignment="0" applyProtection="0"/>
    <xf numFmtId="0" fontId="3" fillId="0" borderId="0"/>
  </cellStyleXfs>
  <cellXfs count="317">
    <xf numFmtId="0" fontId="0" fillId="0" borderId="0" xfId="0"/>
    <xf numFmtId="0" fontId="0" fillId="0" borderId="0" xfId="0" applyBorder="1"/>
    <xf numFmtId="0" fontId="2" fillId="0" borderId="0" xfId="0" applyFont="1"/>
    <xf numFmtId="3" fontId="0" fillId="0" borderId="0" xfId="0" applyNumberFormat="1" applyFont="1"/>
    <xf numFmtId="3" fontId="0" fillId="0" borderId="0" xfId="0" applyNumberFormat="1" applyBorder="1"/>
    <xf numFmtId="3" fontId="2" fillId="0" borderId="0" xfId="0" applyNumberFormat="1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3" fontId="9" fillId="0" borderId="0" xfId="0" applyNumberFormat="1" applyFont="1"/>
    <xf numFmtId="0" fontId="0" fillId="0" borderId="0" xfId="0" applyFont="1"/>
    <xf numFmtId="0" fontId="11" fillId="0" borderId="0" xfId="0" applyFont="1" applyBorder="1" applyAlignment="1">
      <alignment horizontal="center"/>
    </xf>
    <xf numFmtId="0" fontId="12" fillId="0" borderId="0" xfId="0" applyFont="1"/>
    <xf numFmtId="4" fontId="0" fillId="0" borderId="0" xfId="0" applyNumberFormat="1" applyBorder="1"/>
    <xf numFmtId="0" fontId="13" fillId="0" borderId="0" xfId="0" applyFont="1" applyBorder="1"/>
    <xf numFmtId="4" fontId="13" fillId="0" borderId="0" xfId="0" applyNumberFormat="1" applyFont="1" applyBorder="1"/>
    <xf numFmtId="4" fontId="13" fillId="0" borderId="0" xfId="0" applyNumberFormat="1" applyFont="1" applyFill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3" fontId="15" fillId="0" borderId="0" xfId="0" applyNumberFormat="1" applyFont="1"/>
    <xf numFmtId="0" fontId="6" fillId="0" borderId="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16" fillId="0" borderId="0" xfId="0" applyFont="1"/>
    <xf numFmtId="0" fontId="5" fillId="0" borderId="59" xfId="0" applyFont="1" applyBorder="1"/>
    <xf numFmtId="4" fontId="0" fillId="0" borderId="0" xfId="0" applyNumberFormat="1"/>
    <xf numFmtId="4" fontId="0" fillId="0" borderId="0" xfId="0" applyNumberFormat="1" applyFont="1"/>
    <xf numFmtId="4" fontId="8" fillId="0" borderId="3" xfId="0" applyNumberFormat="1" applyFont="1" applyFill="1" applyBorder="1" applyAlignment="1" applyProtection="1">
      <alignment vertical="center"/>
    </xf>
    <xf numFmtId="3" fontId="17" fillId="0" borderId="6" xfId="0" applyNumberFormat="1" applyFont="1" applyBorder="1"/>
    <xf numFmtId="0" fontId="18" fillId="0" borderId="0" xfId="0" applyFont="1"/>
    <xf numFmtId="0" fontId="17" fillId="0" borderId="6" xfId="0" applyFont="1" applyBorder="1"/>
    <xf numFmtId="3" fontId="17" fillId="0" borderId="8" xfId="0" applyNumberFormat="1" applyFont="1" applyBorder="1"/>
    <xf numFmtId="165" fontId="17" fillId="0" borderId="28" xfId="0" applyNumberFormat="1" applyFont="1" applyBorder="1"/>
    <xf numFmtId="166" fontId="17" fillId="0" borderId="29" xfId="0" applyNumberFormat="1" applyFont="1" applyBorder="1"/>
    <xf numFmtId="0" fontId="17" fillId="0" borderId="0" xfId="0" applyFont="1" applyBorder="1" applyAlignment="1">
      <alignment horizontal="left"/>
    </xf>
    <xf numFmtId="0" fontId="17" fillId="0" borderId="6" xfId="0" applyFont="1" applyBorder="1" applyAlignment="1">
      <alignment horizontal="center"/>
    </xf>
    <xf numFmtId="165" fontId="17" fillId="0" borderId="28" xfId="0" applyNumberFormat="1" applyFont="1" applyBorder="1" applyAlignment="1">
      <alignment horizontal="right"/>
    </xf>
    <xf numFmtId="0" fontId="17" fillId="0" borderId="0" xfId="0" applyFont="1" applyBorder="1"/>
    <xf numFmtId="3" fontId="17" fillId="2" borderId="6" xfId="0" applyNumberFormat="1" applyFont="1" applyFill="1" applyBorder="1"/>
    <xf numFmtId="37" fontId="17" fillId="0" borderId="28" xfId="0" applyNumberFormat="1" applyFont="1" applyBorder="1"/>
    <xf numFmtId="0" fontId="17" fillId="0" borderId="26" xfId="0" applyFont="1" applyBorder="1"/>
    <xf numFmtId="0" fontId="17" fillId="0" borderId="27" xfId="0" applyFont="1" applyBorder="1" applyAlignment="1">
      <alignment horizontal="center"/>
    </xf>
    <xf numFmtId="3" fontId="17" fillId="0" borderId="27" xfId="0" applyNumberFormat="1" applyFont="1" applyBorder="1"/>
    <xf numFmtId="3" fontId="17" fillId="0" borderId="30" xfId="0" applyNumberFormat="1" applyFont="1" applyBorder="1"/>
    <xf numFmtId="37" fontId="17" fillId="0" borderId="31" xfId="0" applyNumberFormat="1" applyFont="1" applyBorder="1"/>
    <xf numFmtId="166" fontId="17" fillId="0" borderId="32" xfId="0" applyNumberFormat="1" applyFont="1" applyBorder="1"/>
    <xf numFmtId="0" fontId="19" fillId="0" borderId="0" xfId="0" applyFont="1"/>
    <xf numFmtId="3" fontId="16" fillId="0" borderId="9" xfId="0" applyNumberFormat="1" applyFont="1" applyBorder="1" applyAlignment="1" applyProtection="1">
      <alignment horizontal="left"/>
    </xf>
    <xf numFmtId="3" fontId="16" fillId="0" borderId="6" xfId="0" applyNumberFormat="1" applyFont="1" applyBorder="1" applyAlignment="1" applyProtection="1">
      <alignment horizontal="left"/>
    </xf>
    <xf numFmtId="3" fontId="16" fillId="0" borderId="6" xfId="0" applyNumberFormat="1" applyFont="1" applyFill="1" applyBorder="1" applyProtection="1"/>
    <xf numFmtId="37" fontId="16" fillId="0" borderId="6" xfId="0" applyNumberFormat="1" applyFont="1" applyFill="1" applyBorder="1" applyAlignment="1" applyProtection="1"/>
    <xf numFmtId="3" fontId="16" fillId="0" borderId="6" xfId="0" applyNumberFormat="1" applyFont="1" applyBorder="1"/>
    <xf numFmtId="166" fontId="16" fillId="0" borderId="8" xfId="0" applyNumberFormat="1" applyFont="1" applyBorder="1"/>
    <xf numFmtId="3" fontId="20" fillId="0" borderId="9" xfId="0" applyNumberFormat="1" applyFont="1" applyBorder="1" applyAlignment="1" applyProtection="1">
      <alignment horizontal="left"/>
    </xf>
    <xf numFmtId="3" fontId="20" fillId="0" borderId="6" xfId="0" applyNumberFormat="1" applyFont="1" applyBorder="1" applyAlignment="1" applyProtection="1">
      <alignment horizontal="left"/>
    </xf>
    <xf numFmtId="3" fontId="20" fillId="0" borderId="6" xfId="0" applyNumberFormat="1" applyFont="1" applyFill="1" applyBorder="1" applyProtection="1"/>
    <xf numFmtId="3" fontId="20" fillId="0" borderId="6" xfId="0" applyNumberFormat="1" applyFont="1" applyBorder="1"/>
    <xf numFmtId="166" fontId="20" fillId="0" borderId="8" xfId="0" applyNumberFormat="1" applyFont="1" applyBorder="1"/>
    <xf numFmtId="3" fontId="16" fillId="0" borderId="6" xfId="0" applyNumberFormat="1" applyFont="1" applyFill="1" applyBorder="1" applyAlignment="1" applyProtection="1">
      <alignment horizontal="right"/>
    </xf>
    <xf numFmtId="3" fontId="16" fillId="0" borderId="6" xfId="0" applyNumberFormat="1" applyFont="1" applyBorder="1" applyAlignment="1">
      <alignment horizontal="right"/>
    </xf>
    <xf numFmtId="3" fontId="16" fillId="0" borderId="9" xfId="0" applyNumberFormat="1" applyFont="1" applyFill="1" applyBorder="1" applyAlignment="1" applyProtection="1"/>
    <xf numFmtId="3" fontId="20" fillId="0" borderId="9" xfId="0" applyNumberFormat="1" applyFont="1" applyFill="1" applyBorder="1" applyAlignment="1" applyProtection="1"/>
    <xf numFmtId="3" fontId="16" fillId="0" borderId="9" xfId="0" applyNumberFormat="1" applyFont="1" applyFill="1" applyBorder="1" applyAlignment="1" applyProtection="1">
      <alignment horizontal="left"/>
    </xf>
    <xf numFmtId="3" fontId="20" fillId="0" borderId="9" xfId="0" applyNumberFormat="1" applyFont="1" applyFill="1" applyBorder="1" applyAlignment="1" applyProtection="1">
      <alignment horizontal="left" vertical="center" wrapText="1"/>
    </xf>
    <xf numFmtId="3" fontId="20" fillId="0" borderId="0" xfId="0" applyNumberFormat="1" applyFont="1" applyBorder="1" applyAlignment="1" applyProtection="1">
      <alignment horizontal="left"/>
    </xf>
    <xf numFmtId="3" fontId="16" fillId="0" borderId="0" xfId="0" applyNumberFormat="1" applyFont="1" applyBorder="1" applyAlignment="1" applyProtection="1">
      <alignment horizontal="left"/>
    </xf>
    <xf numFmtId="0" fontId="16" fillId="0" borderId="0" xfId="0" applyFont="1" applyAlignment="1">
      <alignment horizontal="left"/>
    </xf>
    <xf numFmtId="3" fontId="20" fillId="0" borderId="1" xfId="0" applyNumberFormat="1" applyFont="1" applyBorder="1" applyAlignment="1" applyProtection="1">
      <alignment horizontal="left" vertical="center"/>
    </xf>
    <xf numFmtId="3" fontId="16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/>
    <xf numFmtId="3" fontId="20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left"/>
    </xf>
    <xf numFmtId="3" fontId="20" fillId="0" borderId="0" xfId="0" applyNumberFormat="1" applyFont="1" applyFill="1" applyBorder="1" applyAlignment="1" applyProtection="1">
      <alignment horizontal="left"/>
    </xf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6" fillId="0" borderId="54" xfId="0" applyNumberFormat="1" applyFont="1" applyBorder="1" applyAlignment="1" applyProtection="1">
      <alignment horizontal="left"/>
    </xf>
    <xf numFmtId="3" fontId="20" fillId="0" borderId="0" xfId="0" applyNumberFormat="1" applyFont="1" applyBorder="1" applyAlignment="1">
      <alignment horizontal="left"/>
    </xf>
    <xf numFmtId="3" fontId="16" fillId="0" borderId="6" xfId="0" applyNumberFormat="1" applyFont="1" applyFill="1" applyBorder="1" applyAlignment="1" applyProtection="1"/>
    <xf numFmtId="3" fontId="20" fillId="0" borderId="6" xfId="0" applyNumberFormat="1" applyFont="1" applyFill="1" applyBorder="1" applyAlignment="1" applyProtection="1"/>
    <xf numFmtId="3" fontId="20" fillId="0" borderId="6" xfId="0" applyNumberFormat="1" applyFont="1" applyFill="1" applyBorder="1" applyAlignment="1" applyProtection="1">
      <alignment vertical="center" wrapText="1"/>
    </xf>
    <xf numFmtId="3" fontId="20" fillId="0" borderId="6" xfId="0" applyNumberFormat="1" applyFont="1" applyFill="1" applyBorder="1" applyAlignment="1"/>
    <xf numFmtId="3" fontId="16" fillId="0" borderId="28" xfId="0" applyNumberFormat="1" applyFont="1" applyBorder="1" applyAlignment="1" applyProtection="1">
      <alignment horizontal="left"/>
    </xf>
    <xf numFmtId="0" fontId="16" fillId="0" borderId="28" xfId="0" applyFont="1" applyBorder="1"/>
    <xf numFmtId="3" fontId="16" fillId="0" borderId="31" xfId="0" applyNumberFormat="1" applyFont="1" applyBorder="1" applyAlignment="1" applyProtection="1">
      <alignment horizontal="left"/>
    </xf>
    <xf numFmtId="3" fontId="16" fillId="0" borderId="31" xfId="0" applyNumberFormat="1" applyFont="1" applyFill="1" applyBorder="1" applyProtection="1"/>
    <xf numFmtId="3" fontId="16" fillId="0" borderId="31" xfId="0" applyNumberFormat="1" applyFont="1" applyBorder="1"/>
    <xf numFmtId="3" fontId="20" fillId="0" borderId="24" xfId="0" applyNumberFormat="1" applyFont="1" applyFill="1" applyBorder="1" applyAlignment="1" applyProtection="1">
      <alignment vertical="center"/>
    </xf>
    <xf numFmtId="3" fontId="20" fillId="0" borderId="6" xfId="0" applyNumberFormat="1" applyFont="1" applyBorder="1" applyAlignment="1">
      <alignment vertical="center"/>
    </xf>
    <xf numFmtId="166" fontId="20" fillId="0" borderId="2" xfId="0" applyNumberFormat="1" applyFont="1" applyBorder="1" applyAlignment="1">
      <alignment vertical="center"/>
    </xf>
    <xf numFmtId="3" fontId="16" fillId="0" borderId="24" xfId="0" applyNumberFormat="1" applyFont="1" applyFill="1" applyBorder="1" applyProtection="1"/>
    <xf numFmtId="166" fontId="16" fillId="0" borderId="2" xfId="0" applyNumberFormat="1" applyFont="1" applyBorder="1"/>
    <xf numFmtId="3" fontId="16" fillId="0" borderId="0" xfId="0" applyNumberFormat="1" applyFont="1" applyBorder="1"/>
    <xf numFmtId="3" fontId="16" fillId="0" borderId="24" xfId="0" applyNumberFormat="1" applyFont="1" applyBorder="1"/>
    <xf numFmtId="3" fontId="20" fillId="0" borderId="24" xfId="0" applyNumberFormat="1" applyFont="1" applyFill="1" applyBorder="1" applyProtection="1"/>
    <xf numFmtId="166" fontId="20" fillId="0" borderId="2" xfId="0" applyNumberFormat="1" applyFont="1" applyBorder="1"/>
    <xf numFmtId="3" fontId="16" fillId="0" borderId="18" xfId="0" applyNumberFormat="1" applyFont="1" applyFill="1" applyBorder="1" applyProtection="1"/>
    <xf numFmtId="3" fontId="20" fillId="0" borderId="17" xfId="0" applyNumberFormat="1" applyFont="1" applyFill="1" applyBorder="1" applyAlignment="1" applyProtection="1">
      <alignment vertical="center"/>
    </xf>
    <xf numFmtId="3" fontId="20" fillId="0" borderId="19" xfId="0" applyNumberFormat="1" applyFont="1" applyFill="1" applyBorder="1" applyAlignment="1" applyProtection="1">
      <alignment vertical="center"/>
    </xf>
    <xf numFmtId="3" fontId="16" fillId="0" borderId="16" xfId="0" applyNumberFormat="1" applyFont="1" applyBorder="1"/>
    <xf numFmtId="3" fontId="16" fillId="0" borderId="17" xfId="0" applyNumberFormat="1" applyFont="1" applyBorder="1"/>
    <xf numFmtId="3" fontId="16" fillId="0" borderId="16" xfId="0" applyNumberFormat="1" applyFont="1" applyFill="1" applyBorder="1" applyProtection="1"/>
    <xf numFmtId="3" fontId="16" fillId="0" borderId="17" xfId="0" applyNumberFormat="1" applyFont="1" applyFill="1" applyBorder="1" applyProtection="1"/>
    <xf numFmtId="3" fontId="20" fillId="0" borderId="16" xfId="0" applyNumberFormat="1" applyFont="1" applyFill="1" applyBorder="1" applyAlignment="1" applyProtection="1">
      <alignment vertical="center"/>
    </xf>
    <xf numFmtId="3" fontId="20" fillId="0" borderId="22" xfId="0" applyNumberFormat="1" applyFont="1" applyFill="1" applyBorder="1" applyAlignment="1" applyProtection="1"/>
    <xf numFmtId="3" fontId="20" fillId="0" borderId="22" xfId="0" applyNumberFormat="1" applyFont="1" applyFill="1" applyBorder="1" applyProtection="1"/>
    <xf numFmtId="3" fontId="20" fillId="0" borderId="22" xfId="0" applyNumberFormat="1" applyFont="1" applyBorder="1"/>
    <xf numFmtId="166" fontId="20" fillId="0" borderId="45" xfId="0" applyNumberFormat="1" applyFont="1" applyBorder="1"/>
    <xf numFmtId="3" fontId="16" fillId="0" borderId="22" xfId="0" applyNumberFormat="1" applyFont="1" applyBorder="1" applyAlignment="1" applyProtection="1">
      <alignment horizontal="left"/>
    </xf>
    <xf numFmtId="3" fontId="16" fillId="0" borderId="22" xfId="0" applyNumberFormat="1" applyFont="1" applyFill="1" applyBorder="1" applyProtection="1"/>
    <xf numFmtId="3" fontId="16" fillId="0" borderId="22" xfId="0" applyNumberFormat="1" applyFont="1" applyBorder="1"/>
    <xf numFmtId="166" fontId="16" fillId="0" borderId="45" xfId="0" applyNumberFormat="1" applyFont="1" applyBorder="1"/>
    <xf numFmtId="0" fontId="16" fillId="0" borderId="22" xfId="0" applyFont="1" applyBorder="1"/>
    <xf numFmtId="3" fontId="16" fillId="0" borderId="22" xfId="0" applyNumberFormat="1" applyFont="1" applyFill="1" applyBorder="1" applyAlignment="1" applyProtection="1"/>
    <xf numFmtId="4" fontId="16" fillId="0" borderId="22" xfId="0" applyNumberFormat="1" applyFont="1" applyBorder="1"/>
    <xf numFmtId="3" fontId="20" fillId="0" borderId="22" xfId="0" applyNumberFormat="1" applyFont="1" applyBorder="1" applyAlignment="1" applyProtection="1">
      <alignment horizontal="left"/>
    </xf>
    <xf numFmtId="166" fontId="20" fillId="0" borderId="0" xfId="0" applyNumberFormat="1" applyFont="1" applyBorder="1"/>
    <xf numFmtId="3" fontId="20" fillId="0" borderId="45" xfId="0" applyNumberFormat="1" applyFont="1" applyFill="1" applyBorder="1" applyProtection="1"/>
    <xf numFmtId="3" fontId="20" fillId="0" borderId="18" xfId="0" applyNumberFormat="1" applyFont="1" applyFill="1" applyBorder="1" applyProtection="1"/>
    <xf numFmtId="3" fontId="20" fillId="0" borderId="18" xfId="0" applyNumberFormat="1" applyFont="1" applyBorder="1"/>
    <xf numFmtId="3" fontId="20" fillId="0" borderId="46" xfId="0" applyNumberFormat="1" applyFont="1" applyBorder="1"/>
    <xf numFmtId="3" fontId="20" fillId="0" borderId="50" xfId="0" applyNumberFormat="1" applyFont="1" applyBorder="1"/>
    <xf numFmtId="3" fontId="20" fillId="0" borderId="0" xfId="0" applyNumberFormat="1" applyFont="1" applyFill="1" applyBorder="1" applyProtection="1"/>
    <xf numFmtId="3" fontId="16" fillId="0" borderId="18" xfId="0" applyNumberFormat="1" applyFont="1" applyBorder="1"/>
    <xf numFmtId="3" fontId="16" fillId="0" borderId="46" xfId="0" applyNumberFormat="1" applyFont="1" applyBorder="1"/>
    <xf numFmtId="3" fontId="16" fillId="0" borderId="50" xfId="0" applyNumberFormat="1" applyFont="1" applyBorder="1"/>
    <xf numFmtId="3" fontId="16" fillId="0" borderId="49" xfId="0" applyNumberFormat="1" applyFont="1" applyFill="1" applyBorder="1" applyProtection="1"/>
    <xf numFmtId="3" fontId="16" fillId="0" borderId="49" xfId="0" applyNumberFormat="1" applyFont="1" applyBorder="1"/>
    <xf numFmtId="166" fontId="16" fillId="0" borderId="0" xfId="0" applyNumberFormat="1" applyFont="1" applyBorder="1"/>
    <xf numFmtId="3" fontId="2" fillId="0" borderId="20" xfId="0" applyNumberFormat="1" applyFont="1" applyBorder="1" applyAlignment="1" applyProtection="1">
      <alignment horizontal="left" vertical="center"/>
    </xf>
    <xf numFmtId="3" fontId="20" fillId="0" borderId="7" xfId="0" applyNumberFormat="1" applyFont="1" applyBorder="1" applyAlignment="1" applyProtection="1">
      <alignment horizontal="left" vertical="center"/>
    </xf>
    <xf numFmtId="3" fontId="20" fillId="0" borderId="7" xfId="0" applyNumberFormat="1" applyFont="1" applyFill="1" applyBorder="1" applyAlignment="1" applyProtection="1">
      <alignment vertical="center"/>
    </xf>
    <xf numFmtId="3" fontId="20" fillId="0" borderId="7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3" fontId="2" fillId="0" borderId="10" xfId="0" applyNumberFormat="1" applyFont="1" applyBorder="1" applyAlignment="1" applyProtection="1">
      <alignment horizontal="left" vertical="center"/>
    </xf>
    <xf numFmtId="166" fontId="20" fillId="0" borderId="11" xfId="0" applyNumberFormat="1" applyFont="1" applyBorder="1"/>
    <xf numFmtId="3" fontId="20" fillId="0" borderId="53" xfId="0" applyNumberFormat="1" applyFont="1" applyBorder="1" applyAlignment="1" applyProtection="1">
      <alignment horizontal="left" vertical="center"/>
    </xf>
    <xf numFmtId="3" fontId="20" fillId="0" borderId="42" xfId="0" applyNumberFormat="1" applyFont="1" applyFill="1" applyBorder="1" applyAlignment="1" applyProtection="1">
      <alignment vertical="center"/>
    </xf>
    <xf numFmtId="3" fontId="20" fillId="0" borderId="43" xfId="0" applyNumberFormat="1" applyFont="1" applyFill="1" applyBorder="1" applyAlignment="1" applyProtection="1">
      <alignment vertical="center"/>
    </xf>
    <xf numFmtId="3" fontId="20" fillId="0" borderId="44" xfId="0" applyNumberFormat="1" applyFont="1" applyBorder="1" applyAlignment="1">
      <alignment vertical="center"/>
    </xf>
    <xf numFmtId="3" fontId="20" fillId="0" borderId="42" xfId="0" applyNumberFormat="1" applyFont="1" applyBorder="1" applyAlignment="1">
      <alignment vertical="center"/>
    </xf>
    <xf numFmtId="166" fontId="20" fillId="0" borderId="43" xfId="0" applyNumberFormat="1" applyFont="1" applyBorder="1" applyAlignment="1">
      <alignment vertical="center"/>
    </xf>
    <xf numFmtId="3" fontId="20" fillId="0" borderId="54" xfId="0" applyNumberFormat="1" applyFont="1" applyBorder="1" applyAlignment="1" applyProtection="1">
      <alignment horizontal="left"/>
    </xf>
    <xf numFmtId="3" fontId="20" fillId="0" borderId="55" xfId="0" applyNumberFormat="1" applyFont="1" applyBorder="1" applyAlignment="1" applyProtection="1">
      <alignment horizontal="left"/>
    </xf>
    <xf numFmtId="3" fontId="20" fillId="0" borderId="55" xfId="0" applyNumberFormat="1" applyFont="1" applyFill="1" applyBorder="1" applyProtection="1"/>
    <xf numFmtId="3" fontId="20" fillId="0" borderId="55" xfId="0" applyNumberFormat="1" applyFont="1" applyBorder="1"/>
    <xf numFmtId="3" fontId="20" fillId="0" borderId="56" xfId="0" applyNumberFormat="1" applyFont="1" applyBorder="1"/>
    <xf numFmtId="166" fontId="20" fillId="0" borderId="57" xfId="0" applyNumberFormat="1" applyFont="1" applyBorder="1"/>
    <xf numFmtId="3" fontId="20" fillId="0" borderId="4" xfId="0" applyNumberFormat="1" applyFont="1" applyFill="1" applyBorder="1" applyAlignment="1" applyProtection="1">
      <alignment horizontal="left" vertical="center"/>
    </xf>
    <xf numFmtId="166" fontId="20" fillId="0" borderId="5" xfId="0" applyNumberFormat="1" applyFont="1" applyBorder="1" applyAlignment="1">
      <alignment vertical="center"/>
    </xf>
    <xf numFmtId="3" fontId="20" fillId="0" borderId="4" xfId="0" applyNumberFormat="1" applyFont="1" applyBorder="1" applyAlignment="1" applyProtection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175" fontId="20" fillId="3" borderId="6" xfId="0" applyNumberFormat="1" applyFont="1" applyFill="1" applyBorder="1" applyAlignment="1">
      <alignment horizontal="center" vertical="center"/>
    </xf>
    <xf numFmtId="3" fontId="20" fillId="3" borderId="47" xfId="0" applyNumberFormat="1" applyFont="1" applyFill="1" applyBorder="1" applyAlignment="1" applyProtection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175" fontId="20" fillId="3" borderId="47" xfId="0" applyNumberFormat="1" applyFont="1" applyFill="1" applyBorder="1" applyAlignment="1">
      <alignment horizontal="center"/>
    </xf>
    <xf numFmtId="49" fontId="20" fillId="3" borderId="48" xfId="0" applyNumberFormat="1" applyFont="1" applyFill="1" applyBorder="1" applyAlignment="1">
      <alignment horizontal="center" vertical="center" wrapText="1"/>
    </xf>
    <xf numFmtId="3" fontId="20" fillId="0" borderId="64" xfId="0" applyNumberFormat="1" applyFont="1" applyBorder="1" applyAlignment="1" applyProtection="1">
      <alignment horizontal="left" vertical="center"/>
    </xf>
    <xf numFmtId="3" fontId="20" fillId="0" borderId="64" xfId="0" applyNumberFormat="1" applyFont="1" applyFill="1" applyBorder="1" applyAlignment="1" applyProtection="1">
      <alignment vertical="center"/>
    </xf>
    <xf numFmtId="3" fontId="20" fillId="0" borderId="60" xfId="0" applyNumberFormat="1" applyFont="1" applyBorder="1" applyAlignment="1" applyProtection="1">
      <alignment horizontal="left" vertical="center"/>
    </xf>
    <xf numFmtId="3" fontId="20" fillId="0" borderId="18" xfId="0" applyNumberFormat="1" applyFont="1" applyFill="1" applyBorder="1" applyAlignment="1" applyProtection="1">
      <alignment vertical="center"/>
    </xf>
    <xf numFmtId="3" fontId="20" fillId="0" borderId="18" xfId="0" applyNumberFormat="1" applyFont="1" applyBorder="1" applyAlignment="1">
      <alignment vertical="center"/>
    </xf>
    <xf numFmtId="3" fontId="16" fillId="0" borderId="18" xfId="0" applyNumberFormat="1" applyFont="1" applyFill="1" applyBorder="1" applyAlignment="1" applyProtection="1"/>
    <xf numFmtId="3" fontId="16" fillId="0" borderId="25" xfId="0" applyNumberFormat="1" applyFont="1" applyFill="1" applyBorder="1" applyProtection="1"/>
    <xf numFmtId="3" fontId="16" fillId="0" borderId="18" xfId="0" applyNumberFormat="1" applyFont="1" applyBorder="1" applyAlignment="1" applyProtection="1">
      <alignment horizontal="left"/>
    </xf>
    <xf numFmtId="3" fontId="20" fillId="0" borderId="18" xfId="0" applyNumberFormat="1" applyFont="1" applyFill="1" applyBorder="1" applyAlignment="1" applyProtection="1"/>
    <xf numFmtId="3" fontId="16" fillId="0" borderId="18" xfId="0" applyNumberFormat="1" applyFont="1" applyFill="1" applyBorder="1" applyAlignment="1" applyProtection="1">
      <alignment horizontal="right"/>
    </xf>
    <xf numFmtId="3" fontId="20" fillId="0" borderId="25" xfId="0" applyNumberFormat="1" applyFont="1" applyFill="1" applyBorder="1" applyAlignment="1" applyProtection="1">
      <alignment vertical="center"/>
    </xf>
    <xf numFmtId="3" fontId="16" fillId="0" borderId="61" xfId="0" applyNumberFormat="1" applyFont="1" applyBorder="1" applyAlignment="1" applyProtection="1">
      <alignment horizontal="left"/>
    </xf>
    <xf numFmtId="3" fontId="16" fillId="0" borderId="60" xfId="0" applyNumberFormat="1" applyFont="1" applyFill="1" applyBorder="1" applyProtection="1"/>
    <xf numFmtId="3" fontId="20" fillId="0" borderId="61" xfId="0" applyNumberFormat="1" applyFont="1" applyFill="1" applyBorder="1" applyAlignment="1" applyProtection="1">
      <alignment vertical="center"/>
    </xf>
    <xf numFmtId="3" fontId="20" fillId="0" borderId="60" xfId="0" applyNumberFormat="1" applyFont="1" applyFill="1" applyBorder="1" applyAlignment="1" applyProtection="1">
      <alignment vertical="center"/>
    </xf>
    <xf numFmtId="3" fontId="20" fillId="0" borderId="18" xfId="0" applyNumberFormat="1" applyFont="1" applyFill="1" applyBorder="1" applyAlignment="1" applyProtection="1">
      <alignment horizontal="right" vertical="center"/>
    </xf>
    <xf numFmtId="3" fontId="20" fillId="0" borderId="63" xfId="0" applyNumberFormat="1" applyFont="1" applyFill="1" applyBorder="1" applyAlignment="1" applyProtection="1">
      <alignment vertical="center"/>
    </xf>
    <xf numFmtId="3" fontId="20" fillId="0" borderId="66" xfId="0" applyNumberFormat="1" applyFont="1" applyFill="1" applyBorder="1" applyAlignment="1" applyProtection="1">
      <alignment vertical="center"/>
    </xf>
    <xf numFmtId="3" fontId="20" fillId="0" borderId="67" xfId="0" applyNumberFormat="1" applyFont="1" applyFill="1" applyBorder="1" applyAlignment="1" applyProtection="1">
      <alignment vertical="center"/>
    </xf>
    <xf numFmtId="3" fontId="20" fillId="0" borderId="68" xfId="0" applyNumberFormat="1" applyFont="1" applyBorder="1" applyAlignment="1">
      <alignment vertical="center"/>
    </xf>
    <xf numFmtId="3" fontId="20" fillId="0" borderId="68" xfId="0" applyNumberFormat="1" applyFont="1" applyFill="1" applyBorder="1" applyAlignment="1" applyProtection="1">
      <alignment vertical="center"/>
    </xf>
    <xf numFmtId="3" fontId="20" fillId="0" borderId="64" xfId="0" applyNumberFormat="1" applyFont="1" applyBorder="1" applyAlignment="1">
      <alignment vertical="center"/>
    </xf>
    <xf numFmtId="3" fontId="20" fillId="0" borderId="25" xfId="0" applyNumberFormat="1" applyFont="1" applyFill="1" applyBorder="1" applyProtection="1"/>
    <xf numFmtId="3" fontId="20" fillId="0" borderId="21" xfId="0" applyNumberFormat="1" applyFont="1" applyFill="1" applyBorder="1" applyProtection="1"/>
    <xf numFmtId="3" fontId="16" fillId="0" borderId="21" xfId="0" applyNumberFormat="1" applyFont="1" applyFill="1" applyBorder="1" applyProtection="1"/>
    <xf numFmtId="3" fontId="16" fillId="0" borderId="21" xfId="0" applyNumberFormat="1" applyFont="1" applyBorder="1"/>
    <xf numFmtId="3" fontId="20" fillId="0" borderId="68" xfId="0" applyNumberFormat="1" applyFont="1" applyBorder="1" applyAlignment="1" applyProtection="1">
      <alignment horizontal="left" vertical="center"/>
    </xf>
    <xf numFmtId="3" fontId="20" fillId="0" borderId="68" xfId="0" applyNumberFormat="1" applyFont="1" applyFill="1" applyBorder="1" applyProtection="1"/>
    <xf numFmtId="3" fontId="20" fillId="0" borderId="69" xfId="0" applyNumberFormat="1" applyFont="1" applyFill="1" applyBorder="1" applyAlignment="1" applyProtection="1">
      <alignment vertical="center"/>
    </xf>
    <xf numFmtId="3" fontId="20" fillId="0" borderId="18" xfId="0" applyNumberFormat="1" applyFont="1" applyBorder="1" applyAlignment="1" applyProtection="1">
      <alignment horizontal="left"/>
    </xf>
    <xf numFmtId="3" fontId="20" fillId="0" borderId="0" xfId="0" applyNumberFormat="1" applyFont="1" applyBorder="1"/>
    <xf numFmtId="3" fontId="20" fillId="0" borderId="21" xfId="0" applyNumberFormat="1" applyFont="1" applyBorder="1"/>
    <xf numFmtId="3" fontId="16" fillId="0" borderId="18" xfId="0" applyNumberFormat="1" applyFont="1" applyBorder="1" applyAlignment="1">
      <alignment horizontal="left"/>
    </xf>
    <xf numFmtId="0" fontId="20" fillId="3" borderId="70" xfId="0" applyFont="1" applyFill="1" applyBorder="1" applyAlignment="1">
      <alignment horizontal="center"/>
    </xf>
    <xf numFmtId="3" fontId="20" fillId="3" borderId="70" xfId="0" applyNumberFormat="1" applyFont="1" applyFill="1" applyBorder="1" applyAlignment="1">
      <alignment horizontal="center"/>
    </xf>
    <xf numFmtId="3" fontId="20" fillId="3" borderId="70" xfId="0" applyNumberFormat="1" applyFont="1" applyFill="1" applyBorder="1" applyAlignment="1" applyProtection="1">
      <alignment horizontal="center"/>
    </xf>
    <xf numFmtId="0" fontId="20" fillId="3" borderId="71" xfId="0" applyFont="1" applyFill="1" applyBorder="1" applyAlignment="1">
      <alignment horizontal="center"/>
    </xf>
    <xf numFmtId="3" fontId="20" fillId="3" borderId="71" xfId="0" applyNumberFormat="1" applyFont="1" applyFill="1" applyBorder="1" applyAlignment="1">
      <alignment horizontal="center"/>
    </xf>
    <xf numFmtId="3" fontId="20" fillId="3" borderId="71" xfId="0" applyNumberFormat="1" applyFont="1" applyFill="1" applyBorder="1" applyAlignment="1" applyProtection="1">
      <alignment horizontal="center"/>
    </xf>
    <xf numFmtId="3" fontId="2" fillId="0" borderId="79" xfId="0" applyNumberFormat="1" applyFont="1" applyBorder="1" applyAlignment="1" applyProtection="1">
      <alignment horizontal="left" vertical="center"/>
    </xf>
    <xf numFmtId="3" fontId="2" fillId="0" borderId="79" xfId="0" applyNumberFormat="1" applyFont="1" applyFill="1" applyBorder="1" applyAlignment="1" applyProtection="1">
      <alignment vertical="center"/>
    </xf>
    <xf numFmtId="3" fontId="2" fillId="0" borderId="80" xfId="0" applyNumberFormat="1" applyFont="1" applyFill="1" applyBorder="1" applyAlignment="1" applyProtection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79" xfId="0" applyNumberFormat="1" applyFont="1" applyBorder="1" applyAlignment="1">
      <alignment vertical="center"/>
    </xf>
    <xf numFmtId="166" fontId="2" fillId="0" borderId="80" xfId="0" applyNumberFormat="1" applyFont="1" applyBorder="1" applyAlignment="1">
      <alignment vertical="center"/>
    </xf>
    <xf numFmtId="3" fontId="22" fillId="0" borderId="6" xfId="0" applyNumberFormat="1" applyFont="1" applyBorder="1"/>
    <xf numFmtId="0" fontId="23" fillId="0" borderId="0" xfId="0" applyFont="1" applyBorder="1"/>
    <xf numFmtId="3" fontId="23" fillId="0" borderId="6" xfId="0" applyNumberFormat="1" applyFont="1" applyBorder="1"/>
    <xf numFmtId="0" fontId="16" fillId="0" borderId="62" xfId="0" applyFont="1" applyBorder="1"/>
    <xf numFmtId="3" fontId="0" fillId="0" borderId="6" xfId="0" applyNumberFormat="1" applyFont="1" applyBorder="1"/>
    <xf numFmtId="165" fontId="0" fillId="0" borderId="8" xfId="0" applyNumberFormat="1" applyFont="1" applyBorder="1"/>
    <xf numFmtId="3" fontId="0" fillId="0" borderId="28" xfId="0" applyNumberFormat="1" applyFont="1" applyBorder="1"/>
    <xf numFmtId="3" fontId="0" fillId="0" borderId="0" xfId="0" applyNumberFormat="1" applyFont="1" applyBorder="1"/>
    <xf numFmtId="166" fontId="0" fillId="0" borderId="21" xfId="0" applyNumberFormat="1" applyFont="1" applyBorder="1" applyAlignment="1">
      <alignment vertical="center"/>
    </xf>
    <xf numFmtId="0" fontId="16" fillId="0" borderId="62" xfId="0" applyFont="1" applyBorder="1" applyAlignment="1"/>
    <xf numFmtId="3" fontId="0" fillId="0" borderId="9" xfId="0" applyNumberFormat="1" applyFont="1" applyBorder="1"/>
    <xf numFmtId="0" fontId="16" fillId="0" borderId="9" xfId="0" applyFont="1" applyBorder="1" applyAlignment="1">
      <alignment horizontal="left" wrapText="1"/>
    </xf>
    <xf numFmtId="3" fontId="0" fillId="0" borderId="8" xfId="0" applyNumberFormat="1" applyFon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2" borderId="6" xfId="0" applyNumberFormat="1" applyFont="1" applyFill="1" applyBorder="1"/>
    <xf numFmtId="3" fontId="0" fillId="2" borderId="0" xfId="0" applyNumberFormat="1" applyFont="1" applyFill="1" applyBorder="1"/>
    <xf numFmtId="3" fontId="0" fillId="2" borderId="28" xfId="0" applyNumberFormat="1" applyFont="1" applyFill="1" applyBorder="1"/>
    <xf numFmtId="3" fontId="0" fillId="2" borderId="8" xfId="0" applyNumberFormat="1" applyFont="1" applyFill="1" applyBorder="1"/>
    <xf numFmtId="3" fontId="0" fillId="0" borderId="6" xfId="0" applyNumberFormat="1" applyFont="1" applyBorder="1" applyAlignment="1">
      <alignment vertical="center"/>
    </xf>
    <xf numFmtId="0" fontId="16" fillId="0" borderId="9" xfId="0" applyFont="1" applyBorder="1" applyAlignment="1">
      <alignment horizontal="left" vertical="center" wrapText="1"/>
    </xf>
    <xf numFmtId="3" fontId="0" fillId="2" borderId="6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3" fontId="0" fillId="2" borderId="2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62" xfId="0" applyFont="1" applyBorder="1" applyAlignment="1">
      <alignment horizontal="left" vertical="center" wrapText="1"/>
    </xf>
    <xf numFmtId="3" fontId="23" fillId="0" borderId="8" xfId="0" applyNumberFormat="1" applyFont="1" applyBorder="1"/>
    <xf numFmtId="3" fontId="23" fillId="0" borderId="0" xfId="0" applyNumberFormat="1" applyFont="1" applyBorder="1"/>
    <xf numFmtId="0" fontId="22" fillId="0" borderId="0" xfId="0" applyFont="1" applyBorder="1" applyAlignment="1">
      <alignment horizontal="center"/>
    </xf>
    <xf numFmtId="3" fontId="17" fillId="0" borderId="0" xfId="0" applyNumberFormat="1" applyFont="1" applyBorder="1"/>
    <xf numFmtId="0" fontId="20" fillId="3" borderId="12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  <xf numFmtId="0" fontId="20" fillId="3" borderId="40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/>
    </xf>
    <xf numFmtId="3" fontId="24" fillId="0" borderId="6" xfId="0" applyNumberFormat="1" applyFont="1" applyBorder="1"/>
    <xf numFmtId="3" fontId="24" fillId="0" borderId="8" xfId="0" applyNumberFormat="1" applyFont="1" applyBorder="1"/>
    <xf numFmtId="166" fontId="24" fillId="0" borderId="29" xfId="0" applyNumberFormat="1" applyFont="1" applyBorder="1"/>
    <xf numFmtId="3" fontId="24" fillId="0" borderId="0" xfId="0" applyNumberFormat="1" applyFont="1" applyBorder="1"/>
    <xf numFmtId="0" fontId="22" fillId="0" borderId="6" xfId="0" applyFont="1" applyBorder="1"/>
    <xf numFmtId="3" fontId="22" fillId="0" borderId="8" xfId="0" applyNumberFormat="1" applyFont="1" applyBorder="1"/>
    <xf numFmtId="165" fontId="22" fillId="0" borderId="28" xfId="0" applyNumberFormat="1" applyFont="1" applyBorder="1"/>
    <xf numFmtId="166" fontId="22" fillId="0" borderId="29" xfId="0" applyNumberFormat="1" applyFont="1" applyBorder="1"/>
    <xf numFmtId="3" fontId="22" fillId="0" borderId="0" xfId="0" applyNumberFormat="1" applyFont="1" applyBorder="1"/>
    <xf numFmtId="0" fontId="22" fillId="0" borderId="8" xfId="0" applyFont="1" applyBorder="1"/>
    <xf numFmtId="3" fontId="22" fillId="0" borderId="23" xfId="0" applyNumberFormat="1" applyFont="1" applyBorder="1"/>
    <xf numFmtId="165" fontId="22" fillId="0" borderId="23" xfId="0" applyNumberFormat="1" applyFont="1" applyBorder="1"/>
    <xf numFmtId="3" fontId="22" fillId="0" borderId="62" xfId="0" applyNumberFormat="1" applyFont="1" applyBorder="1"/>
    <xf numFmtId="0" fontId="24" fillId="0" borderId="0" xfId="0" applyFont="1" applyBorder="1" applyAlignment="1">
      <alignment horizontal="left"/>
    </xf>
    <xf numFmtId="0" fontId="24" fillId="0" borderId="6" xfId="0" applyFont="1" applyBorder="1" applyAlignment="1">
      <alignment horizontal="center"/>
    </xf>
    <xf numFmtId="165" fontId="24" fillId="0" borderId="28" xfId="0" applyNumberFormat="1" applyFont="1" applyBorder="1" applyAlignment="1">
      <alignment horizontal="right"/>
    </xf>
    <xf numFmtId="0" fontId="24" fillId="0" borderId="0" xfId="0" applyFont="1" applyBorder="1"/>
    <xf numFmtId="165" fontId="24" fillId="0" borderId="28" xfId="0" applyNumberFormat="1" applyFont="1" applyBorder="1" applyAlignment="1"/>
    <xf numFmtId="3" fontId="24" fillId="0" borderId="6" xfId="0" applyNumberFormat="1" applyFont="1" applyBorder="1" applyAlignment="1">
      <alignment horizontal="right"/>
    </xf>
    <xf numFmtId="0" fontId="22" fillId="0" borderId="6" xfId="0" applyFont="1" applyBorder="1" applyAlignment="1">
      <alignment horizontal="center"/>
    </xf>
    <xf numFmtId="165" fontId="22" fillId="0" borderId="28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3" fontId="23" fillId="2" borderId="6" xfId="0" applyNumberFormat="1" applyFont="1" applyFill="1" applyBorder="1"/>
    <xf numFmtId="165" fontId="23" fillId="0" borderId="28" xfId="0" applyNumberFormat="1" applyFont="1" applyBorder="1" applyAlignment="1">
      <alignment horizontal="right"/>
    </xf>
    <xf numFmtId="166" fontId="23" fillId="0" borderId="29" xfId="0" applyNumberFormat="1" applyFont="1" applyBorder="1"/>
    <xf numFmtId="3" fontId="22" fillId="2" borderId="6" xfId="0" applyNumberFormat="1" applyFont="1" applyFill="1" applyBorder="1"/>
    <xf numFmtId="166" fontId="2" fillId="0" borderId="83" xfId="0" applyNumberFormat="1" applyFont="1" applyBorder="1" applyAlignment="1">
      <alignment vertical="center"/>
    </xf>
    <xf numFmtId="0" fontId="2" fillId="5" borderId="81" xfId="0" applyFont="1" applyFill="1" applyBorder="1" applyAlignment="1">
      <alignment horizontal="center" vertical="center"/>
    </xf>
    <xf numFmtId="0" fontId="2" fillId="5" borderId="82" xfId="0" applyFont="1" applyFill="1" applyBorder="1" applyAlignment="1">
      <alignment horizontal="center" vertical="center" wrapText="1"/>
    </xf>
    <xf numFmtId="0" fontId="2" fillId="5" borderId="83" xfId="0" applyFont="1" applyFill="1" applyBorder="1" applyAlignment="1">
      <alignment horizontal="center" vertical="center" wrapText="1"/>
    </xf>
    <xf numFmtId="0" fontId="2" fillId="5" borderId="84" xfId="0" applyFont="1" applyFill="1" applyBorder="1" applyAlignment="1">
      <alignment horizontal="center" vertical="center" wrapText="1"/>
    </xf>
    <xf numFmtId="0" fontId="2" fillId="5" borderId="51" xfId="0" applyFont="1" applyFill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3" fontId="2" fillId="0" borderId="82" xfId="0" applyNumberFormat="1" applyFont="1" applyBorder="1" applyAlignment="1"/>
    <xf numFmtId="3" fontId="2" fillId="0" borderId="83" xfId="0" applyNumberFormat="1" applyFont="1" applyBorder="1" applyAlignment="1"/>
    <xf numFmtId="3" fontId="2" fillId="0" borderId="84" xfId="0" applyNumberFormat="1" applyFont="1" applyBorder="1" applyAlignment="1"/>
    <xf numFmtId="3" fontId="2" fillId="0" borderId="84" xfId="0" applyNumberFormat="1" applyFont="1" applyBorder="1"/>
    <xf numFmtId="3" fontId="2" fillId="0" borderId="51" xfId="0" applyNumberFormat="1" applyFont="1" applyBorder="1"/>
    <xf numFmtId="0" fontId="2" fillId="0" borderId="85" xfId="0" applyFont="1" applyBorder="1" applyAlignment="1">
      <alignment horizontal="center" vertical="center"/>
    </xf>
    <xf numFmtId="3" fontId="2" fillId="2" borderId="86" xfId="0" applyNumberFormat="1" applyFont="1" applyFill="1" applyBorder="1"/>
    <xf numFmtId="3" fontId="2" fillId="2" borderId="51" xfId="0" applyNumberFormat="1" applyFont="1" applyFill="1" applyBorder="1"/>
    <xf numFmtId="3" fontId="2" fillId="2" borderId="84" xfId="0" applyNumberFormat="1" applyFont="1" applyFill="1" applyBorder="1"/>
    <xf numFmtId="0" fontId="2" fillId="0" borderId="87" xfId="0" applyFont="1" applyBorder="1" applyAlignment="1">
      <alignment horizontal="center" vertical="center"/>
    </xf>
    <xf numFmtId="3" fontId="2" fillId="0" borderId="82" xfId="0" applyNumberFormat="1" applyFont="1" applyBorder="1" applyAlignment="1">
      <alignment horizontal="right" vertical="center"/>
    </xf>
    <xf numFmtId="3" fontId="2" fillId="0" borderId="83" xfId="0" applyNumberFormat="1" applyFont="1" applyBorder="1" applyAlignment="1">
      <alignment horizontal="right" vertical="center"/>
    </xf>
    <xf numFmtId="3" fontId="2" fillId="0" borderId="84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3" borderId="33" xfId="0" applyFont="1" applyFill="1" applyBorder="1" applyAlignment="1">
      <alignment horizontal="center" vertical="center" wrapText="1"/>
    </xf>
    <xf numFmtId="0" fontId="20" fillId="3" borderId="38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/>
    </xf>
    <xf numFmtId="169" fontId="20" fillId="3" borderId="75" xfId="0" applyNumberFormat="1" applyFont="1" applyFill="1" applyBorder="1" applyAlignment="1" applyProtection="1">
      <alignment horizontal="center" vertical="center" wrapText="1"/>
    </xf>
    <xf numFmtId="169" fontId="20" fillId="3" borderId="65" xfId="0" applyNumberFormat="1" applyFont="1" applyFill="1" applyBorder="1" applyAlignment="1" applyProtection="1">
      <alignment horizontal="center" vertical="center" wrapText="1"/>
    </xf>
    <xf numFmtId="3" fontId="20" fillId="3" borderId="75" xfId="0" applyNumberFormat="1" applyFont="1" applyFill="1" applyBorder="1" applyAlignment="1" applyProtection="1">
      <alignment horizontal="center" vertical="center" wrapText="1"/>
    </xf>
    <xf numFmtId="3" fontId="20" fillId="3" borderId="65" xfId="0" applyNumberFormat="1" applyFont="1" applyFill="1" applyBorder="1" applyAlignment="1" applyProtection="1">
      <alignment horizontal="center" vertical="center" wrapText="1"/>
    </xf>
    <xf numFmtId="3" fontId="20" fillId="3" borderId="64" xfId="0" applyNumberFormat="1" applyFont="1" applyFill="1" applyBorder="1" applyAlignment="1" applyProtection="1">
      <alignment horizontal="center" vertical="center" wrapText="1"/>
    </xf>
    <xf numFmtId="3" fontId="20" fillId="3" borderId="73" xfId="0" applyNumberFormat="1" applyFont="1" applyFill="1" applyBorder="1" applyAlignment="1" applyProtection="1">
      <alignment horizontal="center" vertical="center" wrapText="1"/>
    </xf>
    <xf numFmtId="49" fontId="20" fillId="3" borderId="76" xfId="0" applyNumberFormat="1" applyFont="1" applyFill="1" applyBorder="1" applyAlignment="1">
      <alignment horizontal="center" vertical="center" wrapText="1"/>
    </xf>
    <xf numFmtId="49" fontId="20" fillId="3" borderId="77" xfId="0" applyNumberFormat="1" applyFont="1" applyFill="1" applyBorder="1" applyAlignment="1">
      <alignment horizontal="center" vertical="center" wrapText="1"/>
    </xf>
    <xf numFmtId="49" fontId="20" fillId="3" borderId="78" xfId="0" applyNumberFormat="1" applyFont="1" applyFill="1" applyBorder="1" applyAlignment="1">
      <alignment horizontal="center" vertical="center" wrapText="1"/>
    </xf>
    <xf numFmtId="0" fontId="20" fillId="3" borderId="70" xfId="0" applyFont="1" applyFill="1" applyBorder="1" applyAlignment="1">
      <alignment horizontal="center" vertical="center"/>
    </xf>
    <xf numFmtId="0" fontId="20" fillId="3" borderId="72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2" xfId="0" applyFont="1" applyFill="1" applyBorder="1" applyAlignment="1">
      <alignment horizontal="center" vertical="center"/>
    </xf>
    <xf numFmtId="0" fontId="20" fillId="3" borderId="74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2323DC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2948"/>
      <color rgb="FF000066"/>
      <color rgb="FF000099"/>
      <color rgb="FFFFCCFF"/>
      <color rgb="FF003399"/>
      <color rgb="FFFFFFCC"/>
      <color rgb="FF0066CC"/>
      <color rgb="FF0033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0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1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2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3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4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123825</xdr:rowOff>
    </xdr:to>
    <xdr:sp macro="" textlink="">
      <xdr:nvSpPr>
        <xdr:cNvPr id="84905" name="Line 1"/>
        <xdr:cNvSpPr>
          <a:spLocks noChangeShapeType="1"/>
        </xdr:cNvSpPr>
      </xdr:nvSpPr>
      <xdr:spPr bwMode="auto">
        <a:xfrm flipV="1">
          <a:off x="4038600" y="923925"/>
          <a:ext cx="0" cy="123825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pre05\COPIA%20MAYRA\EJECUCION%20PRESUP%20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8" tint="0.39997558519241921"/>
    <pageSetUpPr fitToPage="1"/>
  </sheetPr>
  <dimension ref="A1:X33"/>
  <sheetViews>
    <sheetView showGridLines="0" showZeros="0" zoomScaleNormal="100" workbookViewId="0">
      <selection activeCell="E18" sqref="E18"/>
    </sheetView>
  </sheetViews>
  <sheetFormatPr baseColWidth="10" defaultColWidth="11.42578125" defaultRowHeight="12.75" x14ac:dyDescent="0.2"/>
  <cols>
    <col min="1" max="1" width="36.140625" customWidth="1"/>
    <col min="2" max="2" width="18.42578125" customWidth="1"/>
    <col min="3" max="3" width="13.28515625" hidden="1" customWidth="1"/>
    <col min="4" max="4" width="14.85546875" customWidth="1"/>
    <col min="5" max="5" width="13.28515625" customWidth="1"/>
    <col min="6" max="6" width="12.5703125" customWidth="1"/>
    <col min="7" max="7" width="13.5703125" customWidth="1"/>
    <col min="8" max="8" width="15.28515625" customWidth="1"/>
    <col min="9" max="9" width="11.42578125" customWidth="1"/>
    <col min="10" max="10" width="13" hidden="1" customWidth="1"/>
    <col min="11" max="11" width="12" customWidth="1"/>
    <col min="12" max="12" width="24.28515625" customWidth="1"/>
    <col min="14" max="16" width="0" hidden="1" customWidth="1"/>
    <col min="17" max="17" width="22.42578125" bestFit="1" customWidth="1"/>
    <col min="19" max="19" width="1.42578125" customWidth="1"/>
    <col min="20" max="20" width="3.140625" customWidth="1"/>
    <col min="21" max="21" width="0.42578125" customWidth="1"/>
    <col min="22" max="22" width="1.5703125" customWidth="1"/>
    <col min="23" max="23" width="0.42578125" customWidth="1"/>
  </cols>
  <sheetData>
    <row r="1" spans="1:24" ht="15.75" x14ac:dyDescent="0.25">
      <c r="A1" s="290" t="s">
        <v>335</v>
      </c>
      <c r="B1" s="290"/>
      <c r="C1" s="290"/>
      <c r="D1" s="290"/>
      <c r="E1" s="290"/>
      <c r="F1" s="290"/>
      <c r="G1" s="290"/>
      <c r="H1" s="290"/>
      <c r="I1" s="290"/>
    </row>
    <row r="2" spans="1:24" ht="15.75" x14ac:dyDescent="0.25">
      <c r="A2" s="290" t="s">
        <v>336</v>
      </c>
      <c r="B2" s="290"/>
      <c r="C2" s="290"/>
      <c r="D2" s="290"/>
      <c r="E2" s="290"/>
      <c r="F2" s="290"/>
      <c r="G2" s="290"/>
      <c r="H2" s="290"/>
      <c r="I2" s="290"/>
    </row>
    <row r="3" spans="1:24" ht="15" x14ac:dyDescent="0.25">
      <c r="A3" s="291" t="s">
        <v>329</v>
      </c>
      <c r="B3" s="291"/>
      <c r="C3" s="291"/>
      <c r="D3" s="291"/>
      <c r="E3" s="291"/>
      <c r="F3" s="291"/>
      <c r="G3" s="291"/>
      <c r="H3" s="291"/>
      <c r="I3" s="291"/>
    </row>
    <row r="4" spans="1:24" ht="15" x14ac:dyDescent="0.25">
      <c r="A4" s="291" t="s">
        <v>365</v>
      </c>
      <c r="B4" s="291"/>
      <c r="C4" s="291"/>
      <c r="D4" s="291"/>
      <c r="E4" s="291"/>
      <c r="F4" s="291"/>
      <c r="G4" s="291"/>
      <c r="H4" s="291"/>
      <c r="I4" s="29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thickBot="1" x14ac:dyDescent="0.25">
      <c r="A5" s="8"/>
      <c r="B5" s="7"/>
      <c r="C5" s="7"/>
      <c r="D5" s="7"/>
      <c r="E5" s="7"/>
      <c r="F5" s="7"/>
      <c r="G5" s="7"/>
      <c r="H5" s="7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1" customHeight="1" x14ac:dyDescent="0.2">
      <c r="A6" s="292" t="s">
        <v>0</v>
      </c>
      <c r="B6" s="294" t="s">
        <v>20</v>
      </c>
      <c r="C6" s="296" t="s">
        <v>18</v>
      </c>
      <c r="D6" s="296"/>
      <c r="E6" s="296"/>
      <c r="F6" s="296" t="s">
        <v>21</v>
      </c>
      <c r="G6" s="297"/>
      <c r="H6" s="298" t="s">
        <v>1</v>
      </c>
      <c r="I6" s="29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.75" customHeight="1" thickBot="1" x14ac:dyDescent="0.25">
      <c r="A7" s="293"/>
      <c r="B7" s="295"/>
      <c r="C7" s="238" t="s">
        <v>40</v>
      </c>
      <c r="D7" s="238" t="s">
        <v>5</v>
      </c>
      <c r="E7" s="238" t="s">
        <v>2</v>
      </c>
      <c r="F7" s="238" t="s">
        <v>19</v>
      </c>
      <c r="G7" s="239" t="s">
        <v>22</v>
      </c>
      <c r="H7" s="240" t="s">
        <v>323</v>
      </c>
      <c r="I7" s="241" t="s">
        <v>3</v>
      </c>
      <c r="J7" s="1"/>
      <c r="K7" s="28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0.100000000000001" customHeight="1" x14ac:dyDescent="0.2">
      <c r="A8" s="9"/>
      <c r="B8" s="10"/>
      <c r="C8" s="11"/>
      <c r="D8" s="11"/>
      <c r="E8" s="12"/>
      <c r="F8" s="12"/>
      <c r="G8" s="26"/>
      <c r="H8" s="27"/>
      <c r="I8" s="3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0.100000000000001" customHeight="1" x14ac:dyDescent="0.2">
      <c r="A9" s="236" t="s">
        <v>6</v>
      </c>
      <c r="B9" s="246"/>
      <c r="C9" s="207">
        <f>+C11+C22</f>
        <v>115246675</v>
      </c>
      <c r="D9" s="207">
        <f>+D11+D22</f>
        <v>115246675</v>
      </c>
      <c r="E9" s="207">
        <f>+E11+E22</f>
        <v>63859297</v>
      </c>
      <c r="F9" s="207">
        <f>+F11+F22</f>
        <v>6947940.46</v>
      </c>
      <c r="G9" s="247">
        <f>J9+F9</f>
        <v>46055918.460000001</v>
      </c>
      <c r="H9" s="248">
        <f>+G9-E9</f>
        <v>-17803378.539999999</v>
      </c>
      <c r="I9" s="249">
        <f>+G9/E9*100</f>
        <v>72.120929329992464</v>
      </c>
      <c r="J9" s="250">
        <v>39107978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0.100000000000001" customHeight="1" x14ac:dyDescent="0.2">
      <c r="A10" s="236"/>
      <c r="B10" s="246"/>
      <c r="C10" s="207"/>
      <c r="D10" s="207"/>
      <c r="E10" s="207"/>
      <c r="F10" s="207"/>
      <c r="G10" s="247"/>
      <c r="H10" s="248"/>
      <c r="I10" s="249"/>
      <c r="J10" s="25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0.100000000000001" customHeight="1" x14ac:dyDescent="0.2">
      <c r="A11" s="236" t="s">
        <v>7</v>
      </c>
      <c r="B11" s="251"/>
      <c r="C11" s="252">
        <f>SUM(C13:C20)</f>
        <v>15272650</v>
      </c>
      <c r="D11" s="252">
        <f>SUM(D13:D20)</f>
        <v>15272650</v>
      </c>
      <c r="E11" s="252">
        <f>SUM(E13:E20)</f>
        <v>14381591</v>
      </c>
      <c r="F11" s="252">
        <f>SUM(F13:F20)</f>
        <v>6185235.46</v>
      </c>
      <c r="G11" s="247">
        <f t="shared" ref="G11:G20" si="0">+F11+J11</f>
        <v>10380732.460000001</v>
      </c>
      <c r="H11" s="253">
        <f>E11-G11</f>
        <v>4000858.5399999991</v>
      </c>
      <c r="I11" s="249">
        <f>+G11/E11*100</f>
        <v>72.180695863204562</v>
      </c>
      <c r="J11" s="254">
        <v>4195497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0.100000000000001" customHeight="1" x14ac:dyDescent="0.3">
      <c r="A12" s="40"/>
      <c r="B12" s="36"/>
      <c r="C12" s="34"/>
      <c r="D12" s="34"/>
      <c r="E12" s="34" t="s">
        <v>4</v>
      </c>
      <c r="F12" s="34"/>
      <c r="G12" s="37"/>
      <c r="H12" s="38"/>
      <c r="I12" s="39"/>
      <c r="J12" s="23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0.100000000000001" customHeight="1" x14ac:dyDescent="0.2">
      <c r="A13" s="255" t="s">
        <v>8</v>
      </c>
      <c r="B13" s="256" t="s">
        <v>23</v>
      </c>
      <c r="C13" s="242">
        <v>675000</v>
      </c>
      <c r="D13" s="242">
        <v>675000</v>
      </c>
      <c r="E13" s="242">
        <v>337500</v>
      </c>
      <c r="F13" s="242">
        <v>98404.07</v>
      </c>
      <c r="G13" s="243">
        <f t="shared" si="0"/>
        <v>350715.07</v>
      </c>
      <c r="H13" s="257">
        <f t="shared" ref="H13:H18" si="1">+G13-E13</f>
        <v>13215.070000000007</v>
      </c>
      <c r="I13" s="244">
        <f>+G13/E13*100</f>
        <v>103.91557629629631</v>
      </c>
      <c r="J13" s="245">
        <v>252311</v>
      </c>
      <c r="K13" s="4"/>
      <c r="L13" s="5"/>
      <c r="M13" s="4"/>
      <c r="N13" s="1"/>
      <c r="O13" s="1"/>
      <c r="P13" s="1"/>
      <c r="Q13" s="19"/>
      <c r="R13" s="20"/>
      <c r="S13" s="20"/>
      <c r="T13" s="21"/>
      <c r="U13" s="21"/>
      <c r="V13" s="22"/>
      <c r="W13" s="21"/>
      <c r="X13" s="21"/>
    </row>
    <row r="14" spans="1:24" ht="20.100000000000001" customHeight="1" x14ac:dyDescent="0.2">
      <c r="A14" s="255" t="s">
        <v>9</v>
      </c>
      <c r="B14" s="256" t="s">
        <v>24</v>
      </c>
      <c r="C14" s="242">
        <v>4000000</v>
      </c>
      <c r="D14" s="242">
        <v>4000000</v>
      </c>
      <c r="E14" s="242">
        <v>1999998</v>
      </c>
      <c r="F14" s="242">
        <v>9399.6299999999992</v>
      </c>
      <c r="G14" s="243">
        <f t="shared" si="0"/>
        <v>48088.63</v>
      </c>
      <c r="H14" s="257">
        <f t="shared" si="1"/>
        <v>-1951909.37</v>
      </c>
      <c r="I14" s="244">
        <f>+G14/E14*100</f>
        <v>2.4044339044339043</v>
      </c>
      <c r="J14" s="245">
        <v>38689</v>
      </c>
      <c r="K14" s="4"/>
      <c r="L14" s="5"/>
      <c r="M14" s="1"/>
      <c r="N14" s="1"/>
      <c r="O14" s="1"/>
      <c r="P14" s="1"/>
      <c r="Q14" s="1"/>
      <c r="R14" s="20"/>
      <c r="S14" s="20"/>
      <c r="T14" s="21"/>
      <c r="U14" s="21"/>
      <c r="V14" s="22"/>
      <c r="W14" s="21"/>
      <c r="X14" s="21"/>
    </row>
    <row r="15" spans="1:24" ht="20.100000000000001" customHeight="1" x14ac:dyDescent="0.2">
      <c r="A15" s="258" t="s">
        <v>10</v>
      </c>
      <c r="B15" s="256" t="s">
        <v>25</v>
      </c>
      <c r="C15" s="242">
        <v>4772000</v>
      </c>
      <c r="D15" s="242">
        <v>4772000</v>
      </c>
      <c r="E15" s="242">
        <v>3131674</v>
      </c>
      <c r="F15" s="242">
        <v>127934.08</v>
      </c>
      <c r="G15" s="243">
        <f t="shared" si="0"/>
        <v>766980.08</v>
      </c>
      <c r="H15" s="257">
        <f t="shared" si="1"/>
        <v>-2364693.92</v>
      </c>
      <c r="I15" s="244">
        <f>+G15/E15*100</f>
        <v>24.491057498321982</v>
      </c>
      <c r="J15" s="245">
        <v>639046</v>
      </c>
      <c r="K15" s="4"/>
      <c r="L15" s="5"/>
      <c r="M15" s="1"/>
      <c r="N15" s="1"/>
      <c r="O15" s="1"/>
      <c r="P15" s="1"/>
      <c r="Q15" s="1"/>
      <c r="R15" s="20"/>
      <c r="S15" s="20"/>
      <c r="T15" s="21"/>
      <c r="U15" s="21"/>
      <c r="V15" s="22"/>
      <c r="W15" s="21"/>
      <c r="X15" s="21"/>
    </row>
    <row r="16" spans="1:24" ht="20.100000000000001" customHeight="1" x14ac:dyDescent="0.2">
      <c r="A16" s="258" t="s">
        <v>11</v>
      </c>
      <c r="B16" s="256" t="s">
        <v>26</v>
      </c>
      <c r="C16" s="242">
        <v>62650</v>
      </c>
      <c r="D16" s="242">
        <v>62650</v>
      </c>
      <c r="E16" s="242">
        <v>31326</v>
      </c>
      <c r="F16" s="242">
        <v>73.7</v>
      </c>
      <c r="G16" s="243">
        <f t="shared" si="0"/>
        <v>1025.7</v>
      </c>
      <c r="H16" s="257">
        <f t="shared" si="1"/>
        <v>-30300.3</v>
      </c>
      <c r="I16" s="244" t="s">
        <v>4</v>
      </c>
      <c r="J16" s="245">
        <v>952</v>
      </c>
      <c r="K16" s="4"/>
      <c r="L16" s="5"/>
      <c r="M16" s="1"/>
      <c r="N16" s="1"/>
      <c r="O16" s="1"/>
      <c r="P16" s="1"/>
      <c r="Q16" s="1"/>
      <c r="R16" s="20"/>
      <c r="S16" s="20"/>
      <c r="T16" s="21"/>
      <c r="U16" s="21"/>
      <c r="V16" s="22"/>
      <c r="W16" s="21"/>
      <c r="X16" s="21"/>
    </row>
    <row r="17" spans="1:24" ht="20.100000000000001" customHeight="1" x14ac:dyDescent="0.2">
      <c r="A17" s="258" t="s">
        <v>12</v>
      </c>
      <c r="B17" s="256" t="s">
        <v>27</v>
      </c>
      <c r="C17" s="242">
        <v>623000</v>
      </c>
      <c r="D17" s="242">
        <v>623000</v>
      </c>
      <c r="E17" s="242">
        <v>311502</v>
      </c>
      <c r="F17" s="242">
        <v>16166.57</v>
      </c>
      <c r="G17" s="243">
        <f t="shared" si="0"/>
        <v>85974.57</v>
      </c>
      <c r="H17" s="257">
        <f t="shared" si="1"/>
        <v>-225527.43</v>
      </c>
      <c r="I17" s="244">
        <f>+G17/E17*100</f>
        <v>27.600005778454072</v>
      </c>
      <c r="J17" s="245">
        <v>69808</v>
      </c>
      <c r="K17" s="4"/>
      <c r="L17" s="5"/>
      <c r="M17" s="1"/>
      <c r="N17" s="1"/>
      <c r="O17" s="1"/>
      <c r="P17" s="1"/>
      <c r="Q17" s="1"/>
      <c r="R17" s="20"/>
      <c r="S17" s="20"/>
      <c r="T17" s="21"/>
      <c r="U17" s="21"/>
      <c r="V17" s="22"/>
      <c r="W17" s="21"/>
      <c r="X17" s="21"/>
    </row>
    <row r="18" spans="1:24" ht="20.100000000000001" customHeight="1" x14ac:dyDescent="0.2">
      <c r="A18" s="258" t="s">
        <v>13</v>
      </c>
      <c r="B18" s="256" t="s">
        <v>28</v>
      </c>
      <c r="C18" s="242">
        <v>1140000</v>
      </c>
      <c r="D18" s="242">
        <v>1140000</v>
      </c>
      <c r="E18" s="242">
        <v>570000</v>
      </c>
      <c r="F18" s="242">
        <v>133666.41</v>
      </c>
      <c r="G18" s="243">
        <f t="shared" si="0"/>
        <v>1128357.4099999999</v>
      </c>
      <c r="H18" s="259">
        <f t="shared" si="1"/>
        <v>558357.40999999992</v>
      </c>
      <c r="I18" s="244">
        <f>+G18/E18*100</f>
        <v>197.95744035087716</v>
      </c>
      <c r="J18" s="245">
        <v>994691</v>
      </c>
      <c r="K18" s="4"/>
      <c r="L18" s="5"/>
      <c r="M18" s="4"/>
      <c r="N18" s="1"/>
      <c r="O18" s="1"/>
      <c r="P18" s="1"/>
      <c r="Q18" s="1"/>
      <c r="R18" s="20"/>
      <c r="S18" s="20"/>
      <c r="T18" s="21"/>
      <c r="U18" s="21"/>
      <c r="V18" s="22"/>
      <c r="W18" s="21"/>
      <c r="X18" s="21"/>
    </row>
    <row r="19" spans="1:24" ht="20.100000000000001" customHeight="1" x14ac:dyDescent="0.2">
      <c r="A19" s="258" t="s">
        <v>361</v>
      </c>
      <c r="B19" s="256" t="s">
        <v>29</v>
      </c>
      <c r="C19" s="242"/>
      <c r="D19" s="242"/>
      <c r="E19" s="242">
        <v>0</v>
      </c>
      <c r="F19" s="260"/>
      <c r="G19" s="243">
        <f t="shared" si="0"/>
        <v>0</v>
      </c>
      <c r="H19" s="259" t="s">
        <v>4</v>
      </c>
      <c r="I19" s="244">
        <v>0</v>
      </c>
      <c r="J19" s="245">
        <f t="shared" ref="J19" si="2">+I19+M19</f>
        <v>0</v>
      </c>
      <c r="K19" s="4"/>
      <c r="L19" s="5"/>
      <c r="M19" s="1"/>
      <c r="N19" s="1"/>
      <c r="O19" s="1"/>
      <c r="P19" s="1"/>
      <c r="Q19" s="1"/>
      <c r="R19" s="20"/>
      <c r="S19" s="20"/>
      <c r="T19" s="21"/>
      <c r="U19" s="21"/>
      <c r="V19" s="21"/>
      <c r="W19" s="21"/>
      <c r="X19" s="21"/>
    </row>
    <row r="20" spans="1:24" ht="20.100000000000001" customHeight="1" x14ac:dyDescent="0.2">
      <c r="A20" s="258" t="s">
        <v>362</v>
      </c>
      <c r="B20" s="256" t="s">
        <v>30</v>
      </c>
      <c r="C20" s="242">
        <v>4000000</v>
      </c>
      <c r="D20" s="242">
        <v>4000000</v>
      </c>
      <c r="E20" s="242">
        <v>7999591</v>
      </c>
      <c r="F20" s="242">
        <v>5799591</v>
      </c>
      <c r="G20" s="243">
        <f t="shared" si="0"/>
        <v>7999591</v>
      </c>
      <c r="H20" s="259">
        <f>+G20-E20</f>
        <v>0</v>
      </c>
      <c r="I20" s="244">
        <f>+G20/E20*100</f>
        <v>100</v>
      </c>
      <c r="J20" s="245">
        <v>2200000</v>
      </c>
      <c r="K20" s="4"/>
      <c r="L20" s="5"/>
      <c r="M20" s="1"/>
      <c r="N20" s="1"/>
      <c r="O20" s="1"/>
      <c r="P20" s="1"/>
      <c r="Q20" s="1"/>
      <c r="R20" s="20"/>
      <c r="S20" s="20"/>
      <c r="T20" s="21"/>
      <c r="U20" s="21"/>
      <c r="V20" s="21"/>
      <c r="W20" s="21"/>
      <c r="X20" s="21"/>
    </row>
    <row r="21" spans="1:24" ht="20.100000000000001" customHeight="1" x14ac:dyDescent="0.3">
      <c r="A21" s="43"/>
      <c r="B21" s="41"/>
      <c r="C21" s="34"/>
      <c r="D21" s="34"/>
      <c r="E21" s="34" t="s">
        <v>4</v>
      </c>
      <c r="F21" s="34" t="s">
        <v>4</v>
      </c>
      <c r="G21" s="37" t="str">
        <f t="shared" ref="G21:G25" si="3">F21</f>
        <v xml:space="preserve"> </v>
      </c>
      <c r="H21" s="42"/>
      <c r="I21" s="39"/>
      <c r="J21" s="237">
        <f t="shared" ref="J21:J25" si="4">I21</f>
        <v>0</v>
      </c>
      <c r="K21" s="4"/>
      <c r="L21" s="5"/>
      <c r="M21" s="1"/>
      <c r="N21" s="1"/>
      <c r="O21" s="1"/>
      <c r="P21" s="1"/>
      <c r="Q21" s="1"/>
      <c r="R21" s="20"/>
      <c r="S21" s="20"/>
      <c r="T21" s="21"/>
      <c r="U21" s="21"/>
      <c r="V21" s="21"/>
      <c r="W21" s="21"/>
      <c r="X21" s="21"/>
    </row>
    <row r="22" spans="1:24" ht="20.100000000000001" customHeight="1" x14ac:dyDescent="0.2">
      <c r="A22" s="236" t="s">
        <v>14</v>
      </c>
      <c r="B22" s="261"/>
      <c r="C22" s="207">
        <f>+C24+C30</f>
        <v>99974025</v>
      </c>
      <c r="D22" s="207">
        <f>+D24+D30</f>
        <v>99974025</v>
      </c>
      <c r="E22" s="207">
        <f>+E24+E30</f>
        <v>49477706</v>
      </c>
      <c r="F22" s="207">
        <f>+F24+F30</f>
        <v>762705</v>
      </c>
      <c r="G22" s="247">
        <f>F22+J22</f>
        <v>35675186</v>
      </c>
      <c r="H22" s="262">
        <f>E22-G22</f>
        <v>13802520</v>
      </c>
      <c r="I22" s="249">
        <f>+G22/E22*100</f>
        <v>72.103557105092946</v>
      </c>
      <c r="J22" s="250">
        <v>34912481</v>
      </c>
      <c r="K22" s="4"/>
      <c r="L22" s="5" t="s">
        <v>4</v>
      </c>
      <c r="M22" s="1"/>
      <c r="N22" s="1"/>
      <c r="O22" s="1"/>
      <c r="P22" s="1"/>
      <c r="Q22" s="1"/>
      <c r="R22" s="23"/>
      <c r="S22" s="23"/>
      <c r="T22" s="21"/>
      <c r="U22" s="21"/>
      <c r="V22" s="21"/>
      <c r="W22" s="21"/>
      <c r="X22" s="21"/>
    </row>
    <row r="23" spans="1:24" ht="20.100000000000001" customHeight="1" x14ac:dyDescent="0.2">
      <c r="A23" s="236" t="s">
        <v>4</v>
      </c>
      <c r="B23" s="261"/>
      <c r="C23" s="207"/>
      <c r="D23" s="207"/>
      <c r="E23" s="207"/>
      <c r="F23" s="207"/>
      <c r="G23" s="247">
        <f t="shared" si="3"/>
        <v>0</v>
      </c>
      <c r="H23" s="262"/>
      <c r="I23" s="249"/>
      <c r="J23" s="250">
        <f t="shared" si="4"/>
        <v>0</v>
      </c>
      <c r="K23" s="4"/>
      <c r="L23" s="5"/>
      <c r="M23" s="1"/>
      <c r="N23" s="1"/>
      <c r="O23" s="1"/>
      <c r="P23" s="1"/>
      <c r="Q23" s="1"/>
      <c r="R23" s="20"/>
      <c r="S23" s="20"/>
      <c r="T23" s="21"/>
      <c r="U23" s="21"/>
      <c r="V23" s="21"/>
      <c r="W23" s="21"/>
      <c r="X23" s="21"/>
    </row>
    <row r="24" spans="1:24" ht="33" customHeight="1" x14ac:dyDescent="0.2">
      <c r="A24" s="263" t="s">
        <v>31</v>
      </c>
      <c r="B24" s="261" t="s">
        <v>32</v>
      </c>
      <c r="C24" s="207">
        <f>SUM(C26:C28)</f>
        <v>94763491</v>
      </c>
      <c r="D24" s="207">
        <f>SUM(D26:D28)</f>
        <v>94763491</v>
      </c>
      <c r="E24" s="207">
        <f>SUM(E26:E28)</f>
        <v>46636070</v>
      </c>
      <c r="F24" s="207">
        <f>SUM(F26:F28)</f>
        <v>746219</v>
      </c>
      <c r="G24" s="247">
        <f>SUM(G26:G28)</f>
        <v>32833550</v>
      </c>
      <c r="H24" s="262">
        <f>+G24-E24</f>
        <v>-13802520</v>
      </c>
      <c r="I24" s="249">
        <f>+G24/E24*100</f>
        <v>70.403766869721224</v>
      </c>
      <c r="J24" s="250">
        <f>SUM(J26:J28)</f>
        <v>32087331</v>
      </c>
      <c r="K24" s="4"/>
      <c r="L24" s="5"/>
      <c r="M24" s="1"/>
      <c r="N24" s="1"/>
      <c r="O24" s="1"/>
      <c r="P24" s="1"/>
      <c r="Q24" s="1"/>
      <c r="R24" s="23"/>
      <c r="S24" s="23"/>
      <c r="T24" s="21"/>
      <c r="U24" s="21"/>
      <c r="V24" s="21"/>
      <c r="W24" s="21"/>
      <c r="X24" s="21"/>
    </row>
    <row r="25" spans="1:24" ht="20.100000000000001" customHeight="1" x14ac:dyDescent="0.3">
      <c r="A25" s="43" t="s">
        <v>4</v>
      </c>
      <c r="B25" s="41"/>
      <c r="C25" s="34" t="s">
        <v>4</v>
      </c>
      <c r="D25" s="34" t="s">
        <v>4</v>
      </c>
      <c r="E25" s="34"/>
      <c r="F25" s="34"/>
      <c r="G25" s="37">
        <f t="shared" si="3"/>
        <v>0</v>
      </c>
      <c r="H25" s="42"/>
      <c r="I25" s="39" t="s">
        <v>4</v>
      </c>
      <c r="J25" s="237" t="str">
        <f t="shared" si="4"/>
        <v xml:space="preserve"> </v>
      </c>
      <c r="K25" s="4"/>
      <c r="L25" s="5"/>
      <c r="M25" s="1"/>
      <c r="N25" s="1"/>
      <c r="O25" s="1"/>
      <c r="P25" s="1"/>
      <c r="Q25" s="1"/>
      <c r="R25" s="20"/>
      <c r="S25" s="20"/>
      <c r="T25" s="21"/>
      <c r="U25" s="21"/>
      <c r="V25" s="21"/>
      <c r="W25" s="21"/>
      <c r="X25" s="21"/>
    </row>
    <row r="26" spans="1:24" ht="20.100000000000001" customHeight="1" x14ac:dyDescent="0.2">
      <c r="A26" s="208" t="s">
        <v>33</v>
      </c>
      <c r="B26" s="264"/>
      <c r="C26" s="209">
        <v>85767251</v>
      </c>
      <c r="D26" s="209">
        <v>85767251</v>
      </c>
      <c r="E26" s="209">
        <v>42109934</v>
      </c>
      <c r="F26" s="265"/>
      <c r="G26" s="234">
        <f>+F26+J26</f>
        <v>28307414</v>
      </c>
      <c r="H26" s="266" t="s">
        <v>4</v>
      </c>
      <c r="I26" s="267">
        <f>+G26/E26*100</f>
        <v>67.222651073259826</v>
      </c>
      <c r="J26" s="235">
        <v>28307414</v>
      </c>
      <c r="K26" s="4"/>
      <c r="L26" s="5" t="s">
        <v>4</v>
      </c>
      <c r="M26" s="1"/>
      <c r="N26" s="1"/>
      <c r="O26" s="1"/>
      <c r="P26" s="1"/>
      <c r="Q26" s="1"/>
      <c r="R26" s="20"/>
      <c r="S26" s="20"/>
      <c r="T26" s="21"/>
      <c r="U26" s="21"/>
      <c r="V26" s="21"/>
      <c r="W26" s="21"/>
      <c r="X26" s="21"/>
    </row>
    <row r="27" spans="1:24" ht="20.100000000000001" customHeight="1" x14ac:dyDescent="0.2">
      <c r="A27" s="208" t="s">
        <v>34</v>
      </c>
      <c r="B27" s="264" t="s">
        <v>4</v>
      </c>
      <c r="C27" s="209">
        <v>0</v>
      </c>
      <c r="D27" s="209">
        <v>0</v>
      </c>
      <c r="E27" s="209">
        <v>0</v>
      </c>
      <c r="F27" s="265"/>
      <c r="G27" s="234"/>
      <c r="H27" s="266"/>
      <c r="I27" s="267"/>
      <c r="J27" s="235"/>
      <c r="K27" s="4"/>
      <c r="L27" s="5"/>
      <c r="M27" s="1"/>
      <c r="N27" s="1"/>
      <c r="O27" s="1"/>
      <c r="P27" s="1"/>
      <c r="Q27" s="1"/>
      <c r="R27" s="20"/>
      <c r="S27" s="20"/>
      <c r="T27" s="21"/>
      <c r="U27" s="21"/>
      <c r="V27" s="21"/>
      <c r="W27" s="21"/>
      <c r="X27" s="21"/>
    </row>
    <row r="28" spans="1:24" ht="20.100000000000001" customHeight="1" x14ac:dyDescent="0.2">
      <c r="A28" s="208" t="s">
        <v>35</v>
      </c>
      <c r="B28" s="264"/>
      <c r="C28" s="209">
        <v>8996240</v>
      </c>
      <c r="D28" s="209">
        <v>8996240</v>
      </c>
      <c r="E28" s="209">
        <v>4526136</v>
      </c>
      <c r="F28" s="265">
        <v>746219</v>
      </c>
      <c r="G28" s="234">
        <f>+F28+J28</f>
        <v>4526136</v>
      </c>
      <c r="H28" s="266">
        <f>+G28-E28</f>
        <v>0</v>
      </c>
      <c r="I28" s="267">
        <f>+G28/E28*100</f>
        <v>100</v>
      </c>
      <c r="J28" s="235">
        <v>3779917</v>
      </c>
      <c r="K28" s="4"/>
      <c r="L28" s="5"/>
      <c r="M28" s="1"/>
      <c r="N28" s="1"/>
      <c r="O28" s="1"/>
      <c r="P28" s="1"/>
      <c r="Q28" s="1"/>
      <c r="R28" s="20"/>
      <c r="S28" s="20"/>
      <c r="T28" s="21"/>
      <c r="U28" s="21"/>
      <c r="V28" s="21"/>
      <c r="W28" s="21"/>
      <c r="X28" s="21"/>
    </row>
    <row r="29" spans="1:24" ht="20.100000000000001" customHeight="1" x14ac:dyDescent="0.3">
      <c r="A29" s="43" t="s">
        <v>4</v>
      </c>
      <c r="B29" s="41"/>
      <c r="C29" s="34" t="s">
        <v>4</v>
      </c>
      <c r="D29" s="34" t="s">
        <v>4</v>
      </c>
      <c r="E29" s="44" t="s">
        <v>4</v>
      </c>
      <c r="F29" s="44" t="s">
        <v>4</v>
      </c>
      <c r="G29" s="37" t="s">
        <v>4</v>
      </c>
      <c r="H29" s="45"/>
      <c r="I29" s="39"/>
      <c r="J29" s="237">
        <f>+I29+M29</f>
        <v>0</v>
      </c>
      <c r="K29" s="4"/>
      <c r="L29" s="5"/>
      <c r="M29" s="1"/>
      <c r="N29" s="1"/>
      <c r="O29" s="1"/>
      <c r="P29" s="1"/>
      <c r="Q29" s="1"/>
      <c r="R29" s="20"/>
      <c r="S29" s="20"/>
      <c r="T29" s="21"/>
      <c r="U29" s="21"/>
      <c r="V29" s="21"/>
      <c r="W29" s="21"/>
      <c r="X29" s="21"/>
    </row>
    <row r="30" spans="1:24" ht="23.25" customHeight="1" x14ac:dyDescent="0.2">
      <c r="A30" s="263" t="s">
        <v>36</v>
      </c>
      <c r="B30" s="261" t="s">
        <v>37</v>
      </c>
      <c r="C30" s="207">
        <v>5210534</v>
      </c>
      <c r="D30" s="207">
        <v>5210534</v>
      </c>
      <c r="E30" s="207">
        <v>2841636</v>
      </c>
      <c r="F30" s="268">
        <v>16486</v>
      </c>
      <c r="G30" s="247">
        <f>+F30+J30</f>
        <v>2841636</v>
      </c>
      <c r="H30" s="248">
        <f>+G30-E30</f>
        <v>0</v>
      </c>
      <c r="I30" s="249">
        <f>+G30/E30*100</f>
        <v>100</v>
      </c>
      <c r="J30" s="250">
        <v>2825150</v>
      </c>
      <c r="K30" s="4" t="s">
        <v>4</v>
      </c>
      <c r="L30" s="5"/>
      <c r="M30" s="1"/>
      <c r="N30" s="1"/>
      <c r="O30" s="1"/>
      <c r="P30" s="1"/>
      <c r="Q30" s="1"/>
      <c r="R30" s="24"/>
      <c r="S30" s="24"/>
      <c r="T30" s="21"/>
      <c r="U30" s="21"/>
      <c r="V30" s="21"/>
      <c r="W30" s="21"/>
      <c r="X30" s="21"/>
    </row>
    <row r="31" spans="1:24" ht="20.100000000000001" customHeight="1" thickBot="1" x14ac:dyDescent="0.35">
      <c r="A31" s="46" t="s">
        <v>4</v>
      </c>
      <c r="B31" s="47"/>
      <c r="C31" s="48"/>
      <c r="D31" s="48"/>
      <c r="E31" s="48">
        <v>0</v>
      </c>
      <c r="F31" s="48"/>
      <c r="G31" s="49" t="s">
        <v>4</v>
      </c>
      <c r="H31" s="50"/>
      <c r="I31" s="51"/>
      <c r="J31" s="1" t="s">
        <v>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x14ac:dyDescent="0.3">
      <c r="A32" s="52" t="s">
        <v>4</v>
      </c>
      <c r="B32" s="35"/>
      <c r="C32" s="35"/>
      <c r="D32" s="35"/>
      <c r="E32" s="35"/>
      <c r="F32" s="35"/>
      <c r="G32" s="35"/>
      <c r="H32" s="35"/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9" ht="15.75" x14ac:dyDescent="0.3">
      <c r="A33" s="35" t="s">
        <v>4</v>
      </c>
      <c r="B33" s="35"/>
      <c r="C33" s="35"/>
      <c r="D33" s="35"/>
      <c r="E33" s="35"/>
      <c r="F33" s="35"/>
      <c r="G33" s="35"/>
      <c r="H33" s="35"/>
      <c r="I33" s="35"/>
    </row>
  </sheetData>
  <mergeCells count="9">
    <mergeCell ref="A1:I1"/>
    <mergeCell ref="A2:I2"/>
    <mergeCell ref="A3:I3"/>
    <mergeCell ref="A4:I4"/>
    <mergeCell ref="A6:A7"/>
    <mergeCell ref="B6:B7"/>
    <mergeCell ref="C6:E6"/>
    <mergeCell ref="F6:G6"/>
    <mergeCell ref="H6:I6"/>
  </mergeCells>
  <phoneticPr fontId="1" type="noConversion"/>
  <pageMargins left="7.874015748031496E-2" right="0" top="0.39370078740157483" bottom="0.39370078740157483" header="0.51181102362204722" footer="0.51181102362204722"/>
  <pageSetup firstPageNumber="0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8" tint="0.59999389629810485"/>
  </sheetPr>
  <dimension ref="A1:Q204"/>
  <sheetViews>
    <sheetView showGridLines="0" showZeros="0" tabSelected="1" topLeftCell="A2" workbookViewId="0">
      <selection activeCell="S14" sqref="S14"/>
    </sheetView>
  </sheetViews>
  <sheetFormatPr baseColWidth="10" defaultColWidth="11.42578125" defaultRowHeight="12.75" x14ac:dyDescent="0.2"/>
  <cols>
    <col min="1" max="1" width="4.85546875" style="13" customWidth="1"/>
    <col min="2" max="2" width="37" style="13" customWidth="1"/>
    <col min="3" max="3" width="13.85546875" style="13" hidden="1" customWidth="1"/>
    <col min="4" max="4" width="14.140625" style="13" hidden="1" customWidth="1"/>
    <col min="5" max="5" width="14.140625" style="13" customWidth="1"/>
    <col min="6" max="6" width="11.28515625" style="13" customWidth="1"/>
    <col min="7" max="7" width="10.7109375" style="13" customWidth="1"/>
    <col min="8" max="8" width="11" style="13" customWidth="1"/>
    <col min="9" max="9" width="11.7109375" style="13" customWidth="1"/>
    <col min="10" max="10" width="14.42578125" style="13" customWidth="1"/>
    <col min="11" max="11" width="12.42578125" style="13" hidden="1" customWidth="1"/>
    <col min="12" max="12" width="14.28515625" style="13" customWidth="1"/>
    <col min="13" max="13" width="11.28515625" customWidth="1"/>
    <col min="14" max="14" width="12.7109375" hidden="1" customWidth="1"/>
  </cols>
  <sheetData>
    <row r="1" spans="1:14" hidden="1" x14ac:dyDescent="0.2"/>
    <row r="2" spans="1:14" ht="15.75" x14ac:dyDescent="0.25">
      <c r="A2" s="290" t="s">
        <v>335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</row>
    <row r="3" spans="1:14" ht="15.75" x14ac:dyDescent="0.25">
      <c r="A3" s="290" t="s">
        <v>336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4" ht="15" x14ac:dyDescent="0.25">
      <c r="A4" s="291" t="s">
        <v>338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</row>
    <row r="5" spans="1:14" ht="15" x14ac:dyDescent="0.25">
      <c r="A5" s="291" t="s">
        <v>364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</row>
    <row r="6" spans="1:14" ht="6.75" customHeight="1" x14ac:dyDescent="0.2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4" ht="0.75" customHeight="1" thickBo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4" ht="12.75" customHeight="1" x14ac:dyDescent="0.2">
      <c r="A8" s="313" t="s">
        <v>324</v>
      </c>
      <c r="B8" s="309" t="s">
        <v>0</v>
      </c>
      <c r="C8" s="300" t="s">
        <v>18</v>
      </c>
      <c r="D8" s="300"/>
      <c r="E8" s="300"/>
      <c r="F8" s="300"/>
      <c r="G8" s="302" t="s">
        <v>38</v>
      </c>
      <c r="H8" s="302"/>
      <c r="I8" s="302" t="s">
        <v>39</v>
      </c>
      <c r="J8" s="302" t="s">
        <v>15</v>
      </c>
      <c r="K8" s="302"/>
      <c r="L8" s="306" t="s">
        <v>327</v>
      </c>
    </row>
    <row r="9" spans="1:14" ht="4.5" customHeight="1" thickBot="1" x14ac:dyDescent="0.25">
      <c r="A9" s="314"/>
      <c r="B9" s="311"/>
      <c r="C9" s="301"/>
      <c r="D9" s="301"/>
      <c r="E9" s="301"/>
      <c r="F9" s="301"/>
      <c r="G9" s="303"/>
      <c r="H9" s="303"/>
      <c r="I9" s="304"/>
      <c r="J9" s="305"/>
      <c r="K9" s="305"/>
      <c r="L9" s="307"/>
    </row>
    <row r="10" spans="1:14" ht="23.25" customHeight="1" x14ac:dyDescent="0.2">
      <c r="A10" s="314"/>
      <c r="B10" s="311"/>
      <c r="C10" s="195" t="s">
        <v>40</v>
      </c>
      <c r="D10" s="309" t="s">
        <v>41</v>
      </c>
      <c r="E10" s="195" t="s">
        <v>5</v>
      </c>
      <c r="F10" s="195" t="s">
        <v>2</v>
      </c>
      <c r="G10" s="196" t="s">
        <v>19</v>
      </c>
      <c r="H10" s="197" t="s">
        <v>42</v>
      </c>
      <c r="I10" s="303"/>
      <c r="J10" s="156" t="s">
        <v>43</v>
      </c>
      <c r="K10" s="157" t="s">
        <v>16</v>
      </c>
      <c r="L10" s="308"/>
    </row>
    <row r="11" spans="1:14" ht="15" customHeight="1" thickBot="1" x14ac:dyDescent="0.25">
      <c r="A11" s="315"/>
      <c r="B11" s="312"/>
      <c r="C11" s="198" t="s">
        <v>4</v>
      </c>
      <c r="D11" s="310"/>
      <c r="E11" s="198">
        <v>1</v>
      </c>
      <c r="F11" s="198">
        <v>2</v>
      </c>
      <c r="G11" s="199">
        <v>3</v>
      </c>
      <c r="H11" s="200">
        <v>4</v>
      </c>
      <c r="I11" s="158">
        <v>5</v>
      </c>
      <c r="J11" s="159" t="s">
        <v>328</v>
      </c>
      <c r="K11" s="160" t="s">
        <v>325</v>
      </c>
      <c r="L11" s="161" t="s">
        <v>326</v>
      </c>
    </row>
    <row r="12" spans="1:14" ht="19.5" customHeight="1" x14ac:dyDescent="0.2">
      <c r="A12" s="134" t="s">
        <v>44</v>
      </c>
      <c r="B12" s="135" t="s">
        <v>45</v>
      </c>
      <c r="C12" s="136">
        <f>SUM(C13+C17+C21+C22+C23+C28+C30)</f>
        <v>98440903</v>
      </c>
      <c r="D12" s="136">
        <f>SUM(D13+D17+D21+D22+D23+D28+D30)</f>
        <v>-1305600</v>
      </c>
      <c r="E12" s="136">
        <f>SUM(C12:D12)</f>
        <v>97135303</v>
      </c>
      <c r="F12" s="136">
        <f t="shared" ref="F12:G12" si="0">SUM(F13+F17+F21+F22+F23+F28+F30)</f>
        <v>46951827</v>
      </c>
      <c r="G12" s="136">
        <f t="shared" si="0"/>
        <v>7086225.1500000013</v>
      </c>
      <c r="H12" s="136">
        <f>SUM(H13+H17+H21+H22+H23+H28+H30)</f>
        <v>38541868.359999999</v>
      </c>
      <c r="I12" s="136">
        <f t="shared" ref="I12" si="1">SUM(I13+I17+I21+I22+I23+I28+I30)</f>
        <v>36873487.870000005</v>
      </c>
      <c r="J12" s="137">
        <f t="shared" ref="J12:J35" si="2">+F12-H12</f>
        <v>8409958.6400000006</v>
      </c>
      <c r="K12" s="137">
        <f t="shared" ref="K12:K27" si="3">+E12-H12</f>
        <v>58593434.640000001</v>
      </c>
      <c r="L12" s="138">
        <f t="shared" ref="L12:L35" si="4">+H12*100/F12</f>
        <v>82.088112055788585</v>
      </c>
      <c r="N12" s="31">
        <v>31455633.619999997</v>
      </c>
    </row>
    <row r="13" spans="1:14" ht="17.25" customHeight="1" x14ac:dyDescent="0.2">
      <c r="A13" s="53" t="s">
        <v>46</v>
      </c>
      <c r="B13" s="54" t="s">
        <v>47</v>
      </c>
      <c r="C13" s="55">
        <f>SUM(C14:C16)</f>
        <v>69336128</v>
      </c>
      <c r="D13" s="55">
        <f>SUM(D14:D16)</f>
        <v>-1013000</v>
      </c>
      <c r="E13" s="55">
        <f>+E14+E15+E16</f>
        <v>68323128</v>
      </c>
      <c r="F13" s="55">
        <f>SUM(F14:F16)</f>
        <v>33806315</v>
      </c>
      <c r="G13" s="55">
        <f>SUM(G14:G16)</f>
        <v>5188563.5000000009</v>
      </c>
      <c r="H13" s="55">
        <f>SUM(H14:H16)</f>
        <v>27826340.059999999</v>
      </c>
      <c r="I13" s="55">
        <f>SUM(I14:I16)</f>
        <v>27826339.359999999</v>
      </c>
      <c r="J13" s="57">
        <f t="shared" si="2"/>
        <v>5979974.9400000013</v>
      </c>
      <c r="K13" s="57">
        <f t="shared" si="3"/>
        <v>40496787.939999998</v>
      </c>
      <c r="L13" s="58">
        <f t="shared" si="4"/>
        <v>82.311071348651865</v>
      </c>
      <c r="N13" s="31">
        <v>22637776.560000002</v>
      </c>
    </row>
    <row r="14" spans="1:14" x14ac:dyDescent="0.2">
      <c r="A14" s="53" t="s">
        <v>48</v>
      </c>
      <c r="B14" s="54" t="s">
        <v>47</v>
      </c>
      <c r="C14" s="55">
        <v>59496557</v>
      </c>
      <c r="D14" s="56">
        <v>-1013000</v>
      </c>
      <c r="E14" s="55">
        <f t="shared" ref="E14:E27" si="5">+C14+D14</f>
        <v>58483557</v>
      </c>
      <c r="F14" s="55">
        <v>28524977</v>
      </c>
      <c r="G14" s="55">
        <v>4246391.7300000004</v>
      </c>
      <c r="H14" s="57">
        <f>+G14+N14</f>
        <v>25304883.34</v>
      </c>
      <c r="I14" s="55">
        <v>25304883.239999998</v>
      </c>
      <c r="J14" s="57">
        <f t="shared" si="2"/>
        <v>3220093.66</v>
      </c>
      <c r="K14" s="57">
        <f t="shared" si="3"/>
        <v>33178673.66</v>
      </c>
      <c r="L14" s="58">
        <f t="shared" si="4"/>
        <v>88.711318995980264</v>
      </c>
      <c r="N14" s="31">
        <v>21058491.609999999</v>
      </c>
    </row>
    <row r="15" spans="1:14" x14ac:dyDescent="0.2">
      <c r="A15" s="53" t="s">
        <v>49</v>
      </c>
      <c r="B15" s="54" t="s">
        <v>50</v>
      </c>
      <c r="C15" s="55">
        <v>3257704</v>
      </c>
      <c r="D15" s="55">
        <v>0</v>
      </c>
      <c r="E15" s="55">
        <f>SUM(C15:D15)</f>
        <v>3257704</v>
      </c>
      <c r="F15" s="55">
        <v>1602133</v>
      </c>
      <c r="G15" s="55">
        <v>211991.15</v>
      </c>
      <c r="H15" s="57">
        <f>+G15+N15</f>
        <v>1052183.4099999999</v>
      </c>
      <c r="I15" s="55">
        <v>1052182.95</v>
      </c>
      <c r="J15" s="57">
        <f t="shared" si="2"/>
        <v>549949.59000000008</v>
      </c>
      <c r="K15" s="57">
        <f t="shared" si="3"/>
        <v>2205520.59</v>
      </c>
      <c r="L15" s="58">
        <f t="shared" si="4"/>
        <v>65.673911591609425</v>
      </c>
      <c r="N15" s="31">
        <v>840192.26</v>
      </c>
    </row>
    <row r="16" spans="1:14" x14ac:dyDescent="0.2">
      <c r="A16" s="53" t="s">
        <v>51</v>
      </c>
      <c r="B16" s="54" t="s">
        <v>52</v>
      </c>
      <c r="C16" s="55">
        <v>6581867</v>
      </c>
      <c r="D16" s="55">
        <v>0</v>
      </c>
      <c r="E16" s="55">
        <f t="shared" si="5"/>
        <v>6581867</v>
      </c>
      <c r="F16" s="55">
        <v>3679205</v>
      </c>
      <c r="G16" s="55">
        <v>730180.62</v>
      </c>
      <c r="H16" s="57">
        <f>+G16+N16</f>
        <v>1469273.31</v>
      </c>
      <c r="I16" s="55">
        <v>1469273.17</v>
      </c>
      <c r="J16" s="57">
        <f t="shared" si="2"/>
        <v>2209931.69</v>
      </c>
      <c r="K16" s="57">
        <f t="shared" si="3"/>
        <v>5112593.6899999995</v>
      </c>
      <c r="L16" s="58">
        <f t="shared" si="4"/>
        <v>39.934532324238525</v>
      </c>
      <c r="N16" s="31">
        <v>739092.69</v>
      </c>
    </row>
    <row r="17" spans="1:14" s="16" customFormat="1" ht="15" customHeight="1" x14ac:dyDescent="0.2">
      <c r="A17" s="59" t="s">
        <v>53</v>
      </c>
      <c r="B17" s="60" t="s">
        <v>54</v>
      </c>
      <c r="C17" s="61">
        <f>SUM(C18:C20)</f>
        <v>13758224</v>
      </c>
      <c r="D17" s="56">
        <f>SUM(D18:D20)</f>
        <v>-713600</v>
      </c>
      <c r="E17" s="61">
        <f t="shared" si="5"/>
        <v>13044624</v>
      </c>
      <c r="F17" s="61">
        <f>SUM(F18:F20)</f>
        <v>5594040</v>
      </c>
      <c r="G17" s="61">
        <f>SUM(G18:G20)</f>
        <v>959790.29</v>
      </c>
      <c r="H17" s="61">
        <f>SUM(H18:H20)</f>
        <v>5138552.4000000004</v>
      </c>
      <c r="I17" s="61">
        <f>SUM(I18:I20)</f>
        <v>5138552.3100000005</v>
      </c>
      <c r="J17" s="62">
        <f t="shared" si="2"/>
        <v>455487.59999999963</v>
      </c>
      <c r="K17" s="62">
        <f t="shared" si="3"/>
        <v>7906071.5999999996</v>
      </c>
      <c r="L17" s="63">
        <f t="shared" si="4"/>
        <v>91.857627045927458</v>
      </c>
      <c r="N17" s="32">
        <v>4178762.11</v>
      </c>
    </row>
    <row r="18" spans="1:14" s="16" customFormat="1" ht="13.9" customHeight="1" x14ac:dyDescent="0.2">
      <c r="A18" s="53" t="s">
        <v>55</v>
      </c>
      <c r="B18" s="54" t="s">
        <v>56</v>
      </c>
      <c r="C18" s="55">
        <v>230210</v>
      </c>
      <c r="D18" s="55">
        <v>0</v>
      </c>
      <c r="E18" s="55">
        <f t="shared" si="5"/>
        <v>230210</v>
      </c>
      <c r="F18" s="57">
        <v>67798</v>
      </c>
      <c r="G18" s="57">
        <v>16879.72</v>
      </c>
      <c r="H18" s="57">
        <f>+G18+N18</f>
        <v>51980.460000000006</v>
      </c>
      <c r="I18" s="57">
        <v>51980.03</v>
      </c>
      <c r="J18" s="57">
        <f t="shared" si="2"/>
        <v>15817.539999999994</v>
      </c>
      <c r="K18" s="57">
        <f t="shared" si="3"/>
        <v>178229.53999999998</v>
      </c>
      <c r="L18" s="58">
        <f t="shared" si="4"/>
        <v>76.669606773061162</v>
      </c>
      <c r="N18" s="32">
        <v>35100.740000000005</v>
      </c>
    </row>
    <row r="19" spans="1:14" s="16" customFormat="1" ht="13.9" customHeight="1" x14ac:dyDescent="0.2">
      <c r="A19" s="53">
        <v>13</v>
      </c>
      <c r="B19" s="54" t="s">
        <v>57</v>
      </c>
      <c r="C19" s="55">
        <v>1669980</v>
      </c>
      <c r="D19" s="55">
        <v>0</v>
      </c>
      <c r="E19" s="55">
        <f t="shared" si="5"/>
        <v>1669980</v>
      </c>
      <c r="F19" s="55">
        <v>846990</v>
      </c>
      <c r="G19" s="64">
        <v>118690.03</v>
      </c>
      <c r="H19" s="57">
        <f>+G19+N19</f>
        <v>716989.98</v>
      </c>
      <c r="I19" s="55">
        <v>716989.58</v>
      </c>
      <c r="J19" s="57">
        <f t="shared" si="2"/>
        <v>130000.02000000002</v>
      </c>
      <c r="K19" s="57">
        <f t="shared" si="3"/>
        <v>952990.02</v>
      </c>
      <c r="L19" s="58">
        <f t="shared" si="4"/>
        <v>84.65152835334537</v>
      </c>
      <c r="N19" s="32">
        <v>598299.94999999995</v>
      </c>
    </row>
    <row r="20" spans="1:14" s="16" customFormat="1" ht="15.6" customHeight="1" x14ac:dyDescent="0.2">
      <c r="A20" s="53" t="s">
        <v>58</v>
      </c>
      <c r="B20" s="54" t="s">
        <v>59</v>
      </c>
      <c r="C20" s="55">
        <v>11858034</v>
      </c>
      <c r="D20" s="56">
        <v>-713600</v>
      </c>
      <c r="E20" s="55">
        <f t="shared" si="5"/>
        <v>11144434</v>
      </c>
      <c r="F20" s="55">
        <v>4679252</v>
      </c>
      <c r="G20" s="65">
        <v>824220.54</v>
      </c>
      <c r="H20" s="57">
        <f>+G20+N20</f>
        <v>4369581.96</v>
      </c>
      <c r="I20" s="55">
        <v>4369582.7</v>
      </c>
      <c r="J20" s="57">
        <f t="shared" si="2"/>
        <v>309670.04000000004</v>
      </c>
      <c r="K20" s="57">
        <f t="shared" si="3"/>
        <v>6774852.04</v>
      </c>
      <c r="L20" s="58">
        <f t="shared" si="4"/>
        <v>93.382061064460729</v>
      </c>
      <c r="N20" s="32">
        <v>3545361.42</v>
      </c>
    </row>
    <row r="21" spans="1:14" s="16" customFormat="1" x14ac:dyDescent="0.2">
      <c r="A21" s="59" t="s">
        <v>60</v>
      </c>
      <c r="B21" s="60" t="s">
        <v>61</v>
      </c>
      <c r="C21" s="61">
        <v>218400</v>
      </c>
      <c r="D21" s="61">
        <v>0</v>
      </c>
      <c r="E21" s="61">
        <f t="shared" si="5"/>
        <v>218400</v>
      </c>
      <c r="F21" s="61">
        <v>109200</v>
      </c>
      <c r="G21" s="61">
        <v>17400</v>
      </c>
      <c r="H21" s="62">
        <f>+G21+N21</f>
        <v>104173.33</v>
      </c>
      <c r="I21" s="61">
        <v>104173.33</v>
      </c>
      <c r="J21" s="62">
        <f t="shared" si="2"/>
        <v>5026.6699999999983</v>
      </c>
      <c r="K21" s="62">
        <f t="shared" si="3"/>
        <v>114226.67</v>
      </c>
      <c r="L21" s="63">
        <f t="shared" si="4"/>
        <v>95.396822344322345</v>
      </c>
      <c r="N21" s="32">
        <v>86773.33</v>
      </c>
    </row>
    <row r="22" spans="1:14" s="16" customFormat="1" x14ac:dyDescent="0.2">
      <c r="A22" s="59" t="s">
        <v>62</v>
      </c>
      <c r="B22" s="60" t="s">
        <v>63</v>
      </c>
      <c r="C22" s="61">
        <v>2207499</v>
      </c>
      <c r="D22" s="61">
        <v>-196000</v>
      </c>
      <c r="E22" s="61">
        <f t="shared" si="5"/>
        <v>2011499</v>
      </c>
      <c r="F22" s="62">
        <v>550347</v>
      </c>
      <c r="G22" s="62">
        <v>5078.79</v>
      </c>
      <c r="H22" s="62">
        <f>+G22+N22</f>
        <v>496710.92</v>
      </c>
      <c r="I22" s="62">
        <v>496710.92</v>
      </c>
      <c r="J22" s="62">
        <f t="shared" si="2"/>
        <v>53636.080000000016</v>
      </c>
      <c r="K22" s="62">
        <f t="shared" si="3"/>
        <v>1514788.08</v>
      </c>
      <c r="L22" s="63">
        <f t="shared" si="4"/>
        <v>90.254134209871225</v>
      </c>
      <c r="N22" s="32">
        <v>491632.13</v>
      </c>
    </row>
    <row r="23" spans="1:14" s="16" customFormat="1" ht="14.25" customHeight="1" x14ac:dyDescent="0.2">
      <c r="A23" s="59" t="s">
        <v>64</v>
      </c>
      <c r="B23" s="60" t="s">
        <v>65</v>
      </c>
      <c r="C23" s="61">
        <f>SUM(C24:C27)</f>
        <v>12556946</v>
      </c>
      <c r="D23" s="61">
        <f>SUM(D24:D27)</f>
        <v>0</v>
      </c>
      <c r="E23" s="61">
        <f t="shared" si="5"/>
        <v>12556946</v>
      </c>
      <c r="F23" s="61">
        <f>SUM(F24:F27)</f>
        <v>6274925</v>
      </c>
      <c r="G23" s="61">
        <f>SUM(G24:G27)</f>
        <v>904281.17</v>
      </c>
      <c r="H23" s="61">
        <f>SUM(H24:H27)</f>
        <v>4901518.71</v>
      </c>
      <c r="I23" s="61">
        <f>SUM(I24:I27)</f>
        <v>3235098.4200000004</v>
      </c>
      <c r="J23" s="62">
        <f t="shared" si="2"/>
        <v>1373406.29</v>
      </c>
      <c r="K23" s="62">
        <f t="shared" si="3"/>
        <v>7655427.29</v>
      </c>
      <c r="L23" s="63">
        <f t="shared" si="4"/>
        <v>78.112785571142282</v>
      </c>
      <c r="M23" s="2"/>
      <c r="N23" s="32">
        <v>3997227.95</v>
      </c>
    </row>
    <row r="24" spans="1:14" s="16" customFormat="1" ht="18.600000000000001" customHeight="1" x14ac:dyDescent="0.2">
      <c r="A24" s="53" t="s">
        <v>66</v>
      </c>
      <c r="B24" s="83" t="s">
        <v>67</v>
      </c>
      <c r="C24" s="55">
        <v>10473407</v>
      </c>
      <c r="D24" s="55">
        <v>0</v>
      </c>
      <c r="E24" s="55">
        <f t="shared" si="5"/>
        <v>10473407</v>
      </c>
      <c r="F24" s="55">
        <v>5245590</v>
      </c>
      <c r="G24" s="55">
        <v>757225.74</v>
      </c>
      <c r="H24" s="57">
        <f t="shared" ref="H24:H35" si="6">+N24+G24</f>
        <v>4115245.17</v>
      </c>
      <c r="I24" s="55">
        <v>2713424.23</v>
      </c>
      <c r="J24" s="57">
        <f t="shared" si="2"/>
        <v>1130344.83</v>
      </c>
      <c r="K24" s="57">
        <f t="shared" si="3"/>
        <v>6358161.8300000001</v>
      </c>
      <c r="L24" s="58">
        <f t="shared" si="4"/>
        <v>78.451521563827896</v>
      </c>
      <c r="N24" s="32">
        <v>3358019.43</v>
      </c>
    </row>
    <row r="25" spans="1:14" s="16" customFormat="1" ht="13.5" customHeight="1" x14ac:dyDescent="0.2">
      <c r="A25" s="53" t="s">
        <v>68</v>
      </c>
      <c r="B25" s="54" t="s">
        <v>69</v>
      </c>
      <c r="C25" s="55">
        <v>1250125</v>
      </c>
      <c r="D25" s="55">
        <v>0</v>
      </c>
      <c r="E25" s="55">
        <f t="shared" si="5"/>
        <v>1250125</v>
      </c>
      <c r="F25" s="55">
        <v>617228</v>
      </c>
      <c r="G25" s="55">
        <v>92324.85</v>
      </c>
      <c r="H25" s="57">
        <f t="shared" si="6"/>
        <v>495355.12</v>
      </c>
      <c r="I25" s="55">
        <v>323838.95</v>
      </c>
      <c r="J25" s="57">
        <f t="shared" si="2"/>
        <v>121872.88</v>
      </c>
      <c r="K25" s="57">
        <f t="shared" si="3"/>
        <v>754769.88</v>
      </c>
      <c r="L25" s="58">
        <f t="shared" si="4"/>
        <v>80.254803735410576</v>
      </c>
      <c r="N25" s="32">
        <v>403030.27</v>
      </c>
    </row>
    <row r="26" spans="1:14" s="16" customFormat="1" ht="13.5" customHeight="1" x14ac:dyDescent="0.2">
      <c r="A26" s="53" t="s">
        <v>70</v>
      </c>
      <c r="B26" s="54" t="s">
        <v>71</v>
      </c>
      <c r="C26" s="55">
        <v>583388</v>
      </c>
      <c r="D26" s="55">
        <v>0</v>
      </c>
      <c r="E26" s="55">
        <f t="shared" si="5"/>
        <v>583388</v>
      </c>
      <c r="F26" s="55">
        <v>287903</v>
      </c>
      <c r="G26" s="55">
        <v>43208.93</v>
      </c>
      <c r="H26" s="57">
        <f t="shared" si="6"/>
        <v>231907.71999999997</v>
      </c>
      <c r="I26" s="55">
        <v>150374.01</v>
      </c>
      <c r="J26" s="57">
        <f t="shared" si="2"/>
        <v>55995.280000000028</v>
      </c>
      <c r="K26" s="57">
        <f t="shared" si="3"/>
        <v>351480.28</v>
      </c>
      <c r="L26" s="58">
        <f t="shared" si="4"/>
        <v>80.550643793222008</v>
      </c>
      <c r="N26" s="32">
        <v>188698.78999999998</v>
      </c>
    </row>
    <row r="27" spans="1:14" s="16" customFormat="1" ht="12" customHeight="1" x14ac:dyDescent="0.2">
      <c r="A27" s="53" t="s">
        <v>72</v>
      </c>
      <c r="B27" s="54" t="s">
        <v>73</v>
      </c>
      <c r="C27" s="55">
        <v>250026</v>
      </c>
      <c r="D27" s="55">
        <v>0</v>
      </c>
      <c r="E27" s="55">
        <f t="shared" si="5"/>
        <v>250026</v>
      </c>
      <c r="F27" s="55">
        <v>124204</v>
      </c>
      <c r="G27" s="55">
        <v>11521.65</v>
      </c>
      <c r="H27" s="57">
        <f t="shared" si="6"/>
        <v>59010.7</v>
      </c>
      <c r="I27" s="55">
        <v>47461.23</v>
      </c>
      <c r="J27" s="57">
        <f t="shared" si="2"/>
        <v>65193.3</v>
      </c>
      <c r="K27" s="57">
        <f t="shared" si="3"/>
        <v>191015.3</v>
      </c>
      <c r="L27" s="58">
        <f t="shared" si="4"/>
        <v>47.511110753276867</v>
      </c>
      <c r="N27" s="32">
        <f>47479.46+9.59</f>
        <v>47489.049999999996</v>
      </c>
    </row>
    <row r="28" spans="1:14" s="16" customFormat="1" x14ac:dyDescent="0.2">
      <c r="A28" s="59" t="s">
        <v>74</v>
      </c>
      <c r="B28" s="60" t="s">
        <v>75</v>
      </c>
      <c r="C28" s="61">
        <f>SUM(C29:C29)</f>
        <v>363706</v>
      </c>
      <c r="D28" s="61">
        <f>SUM(D29:D29)</f>
        <v>437000</v>
      </c>
      <c r="E28" s="61">
        <f>SUM(E29:E29)</f>
        <v>800706</v>
      </c>
      <c r="F28" s="61">
        <f>SUM(F29:F29)</f>
        <v>437000</v>
      </c>
      <c r="G28" s="61">
        <f>SUM(G29:G29)</f>
        <v>0</v>
      </c>
      <c r="H28" s="62">
        <f t="shared" si="6"/>
        <v>0</v>
      </c>
      <c r="I28" s="61"/>
      <c r="J28" s="62">
        <f t="shared" si="2"/>
        <v>437000</v>
      </c>
      <c r="K28" s="61">
        <f>SUM(K29:K29)</f>
        <v>800706</v>
      </c>
      <c r="L28" s="58">
        <f t="shared" si="4"/>
        <v>0</v>
      </c>
      <c r="N28" s="32">
        <v>0</v>
      </c>
    </row>
    <row r="29" spans="1:14" s="16" customFormat="1" ht="13.5" customHeight="1" x14ac:dyDescent="0.2">
      <c r="A29" s="53" t="s">
        <v>313</v>
      </c>
      <c r="B29" s="54" t="s">
        <v>314</v>
      </c>
      <c r="C29" s="55">
        <v>363706</v>
      </c>
      <c r="D29" s="55">
        <v>437000</v>
      </c>
      <c r="E29" s="55">
        <f t="shared" ref="E29:E35" si="7">+C29+D29</f>
        <v>800706</v>
      </c>
      <c r="F29" s="57">
        <v>437000</v>
      </c>
      <c r="G29" s="57">
        <v>0</v>
      </c>
      <c r="H29" s="57">
        <f t="shared" si="6"/>
        <v>0</v>
      </c>
      <c r="I29" s="57">
        <v>0</v>
      </c>
      <c r="J29" s="57">
        <f t="shared" si="2"/>
        <v>437000</v>
      </c>
      <c r="K29" s="57">
        <f t="shared" ref="K29:K35" si="8">+E29-H29</f>
        <v>800706</v>
      </c>
      <c r="L29" s="58">
        <f t="shared" si="4"/>
        <v>0</v>
      </c>
      <c r="N29" s="32">
        <v>0</v>
      </c>
    </row>
    <row r="30" spans="1:14" s="16" customFormat="1" ht="15.75" customHeight="1" x14ac:dyDescent="0.2">
      <c r="A30" s="59" t="s">
        <v>76</v>
      </c>
      <c r="B30" s="60" t="s">
        <v>77</v>
      </c>
      <c r="C30" s="55">
        <f>SUM(C31:C35)</f>
        <v>0</v>
      </c>
      <c r="D30" s="61">
        <f>SUM(D31:D35)</f>
        <v>180000</v>
      </c>
      <c r="E30" s="61">
        <f t="shared" si="7"/>
        <v>180000</v>
      </c>
      <c r="F30" s="61">
        <f>SUM(F31:F35)</f>
        <v>180000</v>
      </c>
      <c r="G30" s="61">
        <f>SUM(G31:G35)</f>
        <v>11111.400000000001</v>
      </c>
      <c r="H30" s="62">
        <f t="shared" si="6"/>
        <v>74572.94</v>
      </c>
      <c r="I30" s="61">
        <f>SUM(I31:I35)</f>
        <v>72613.53</v>
      </c>
      <c r="J30" s="62">
        <f t="shared" si="2"/>
        <v>105427.06</v>
      </c>
      <c r="K30" s="62">
        <f t="shared" si="8"/>
        <v>105427.06</v>
      </c>
      <c r="L30" s="63">
        <f t="shared" si="4"/>
        <v>41.429411111111108</v>
      </c>
      <c r="N30" s="32">
        <v>63461.539999999994</v>
      </c>
    </row>
    <row r="31" spans="1:14" ht="15.75" customHeight="1" x14ac:dyDescent="0.2">
      <c r="A31" s="53" t="s">
        <v>78</v>
      </c>
      <c r="B31" s="54" t="s">
        <v>79</v>
      </c>
      <c r="C31" s="55">
        <v>0</v>
      </c>
      <c r="D31" s="55">
        <v>100000</v>
      </c>
      <c r="E31" s="55">
        <f t="shared" si="7"/>
        <v>100000</v>
      </c>
      <c r="F31" s="57">
        <v>100000</v>
      </c>
      <c r="G31" s="57">
        <v>9690.5400000000009</v>
      </c>
      <c r="H31" s="57">
        <f t="shared" si="6"/>
        <v>60698.219999999994</v>
      </c>
      <c r="I31" s="57">
        <v>60698.57</v>
      </c>
      <c r="J31" s="57">
        <f t="shared" si="2"/>
        <v>39301.780000000006</v>
      </c>
      <c r="K31" s="57">
        <f t="shared" si="8"/>
        <v>39301.780000000006</v>
      </c>
      <c r="L31" s="58">
        <f t="shared" si="4"/>
        <v>60.698219999999992</v>
      </c>
      <c r="N31" s="31">
        <v>51007.679999999993</v>
      </c>
    </row>
    <row r="32" spans="1:14" ht="18" customHeight="1" x14ac:dyDescent="0.2">
      <c r="A32" s="53" t="s">
        <v>80</v>
      </c>
      <c r="B32" s="54" t="s">
        <v>357</v>
      </c>
      <c r="C32" s="55"/>
      <c r="D32" s="55">
        <v>10000</v>
      </c>
      <c r="E32" s="55">
        <f t="shared" si="7"/>
        <v>10000</v>
      </c>
      <c r="F32" s="57">
        <v>10000</v>
      </c>
      <c r="G32" s="57"/>
      <c r="H32" s="57">
        <f t="shared" si="6"/>
        <v>0</v>
      </c>
      <c r="I32" s="57"/>
      <c r="J32" s="57">
        <f t="shared" si="2"/>
        <v>10000</v>
      </c>
      <c r="K32" s="57">
        <f t="shared" si="8"/>
        <v>10000</v>
      </c>
      <c r="L32" s="58">
        <f t="shared" si="4"/>
        <v>0</v>
      </c>
      <c r="N32" s="31">
        <v>0</v>
      </c>
    </row>
    <row r="33" spans="1:14" ht="16.5" customHeight="1" x14ac:dyDescent="0.2">
      <c r="A33" s="53" t="s">
        <v>298</v>
      </c>
      <c r="B33" s="54" t="s">
        <v>299</v>
      </c>
      <c r="C33" s="55"/>
      <c r="D33" s="55">
        <v>5000</v>
      </c>
      <c r="E33" s="55">
        <f t="shared" si="7"/>
        <v>5000</v>
      </c>
      <c r="F33" s="57">
        <v>5000</v>
      </c>
      <c r="G33" s="57"/>
      <c r="H33" s="57">
        <f t="shared" si="6"/>
        <v>0</v>
      </c>
      <c r="I33" s="57"/>
      <c r="J33" s="57">
        <f t="shared" si="2"/>
        <v>5000</v>
      </c>
      <c r="K33" s="57">
        <f t="shared" si="8"/>
        <v>5000</v>
      </c>
      <c r="L33" s="58">
        <f t="shared" si="4"/>
        <v>0</v>
      </c>
      <c r="N33" s="31">
        <v>0</v>
      </c>
    </row>
    <row r="34" spans="1:14" ht="15.75" customHeight="1" x14ac:dyDescent="0.2">
      <c r="A34" s="53" t="s">
        <v>282</v>
      </c>
      <c r="B34" s="54" t="s">
        <v>283</v>
      </c>
      <c r="C34" s="55"/>
      <c r="D34" s="55">
        <v>15000</v>
      </c>
      <c r="E34" s="55">
        <f t="shared" si="7"/>
        <v>15000</v>
      </c>
      <c r="F34" s="57">
        <v>15000</v>
      </c>
      <c r="G34" s="57"/>
      <c r="H34" s="57">
        <f t="shared" si="6"/>
        <v>4488.68</v>
      </c>
      <c r="I34" s="57">
        <v>4488.6499999999996</v>
      </c>
      <c r="J34" s="57">
        <f t="shared" si="2"/>
        <v>10511.32</v>
      </c>
      <c r="K34" s="57">
        <f t="shared" si="8"/>
        <v>10511.32</v>
      </c>
      <c r="L34" s="58">
        <f t="shared" si="4"/>
        <v>29.924533333333333</v>
      </c>
      <c r="N34" s="31">
        <v>4488.68</v>
      </c>
    </row>
    <row r="35" spans="1:14" ht="14.25" customHeight="1" x14ac:dyDescent="0.2">
      <c r="A35" s="53" t="s">
        <v>272</v>
      </c>
      <c r="B35" s="54" t="s">
        <v>341</v>
      </c>
      <c r="C35" s="55">
        <v>0</v>
      </c>
      <c r="D35" s="55">
        <v>50000</v>
      </c>
      <c r="E35" s="55">
        <f t="shared" si="7"/>
        <v>50000</v>
      </c>
      <c r="F35" s="57">
        <v>50000</v>
      </c>
      <c r="G35" s="57">
        <v>1420.86</v>
      </c>
      <c r="H35" s="57">
        <f t="shared" si="6"/>
        <v>9386.0400000000009</v>
      </c>
      <c r="I35" s="65">
        <v>7426.31</v>
      </c>
      <c r="J35" s="57">
        <f t="shared" si="2"/>
        <v>40613.96</v>
      </c>
      <c r="K35" s="57">
        <f t="shared" si="8"/>
        <v>40613.96</v>
      </c>
      <c r="L35" s="58">
        <f t="shared" si="4"/>
        <v>18.772080000000003</v>
      </c>
      <c r="N35" s="31">
        <v>7965.18</v>
      </c>
    </row>
    <row r="36" spans="1:14" ht="12" customHeight="1" x14ac:dyDescent="0.2">
      <c r="A36" s="53"/>
      <c r="B36" s="54"/>
      <c r="C36" s="55"/>
      <c r="D36" s="55"/>
      <c r="E36" s="55"/>
      <c r="F36" s="57"/>
      <c r="G36" s="57"/>
      <c r="H36" s="57"/>
      <c r="I36" s="57"/>
      <c r="J36" s="57"/>
      <c r="K36" s="57"/>
      <c r="L36" s="58"/>
      <c r="N36" s="31"/>
    </row>
    <row r="37" spans="1:14" ht="20.25" customHeight="1" x14ac:dyDescent="0.2">
      <c r="A37" s="139" t="s">
        <v>81</v>
      </c>
      <c r="B37" s="162" t="s">
        <v>82</v>
      </c>
      <c r="C37" s="163">
        <f t="shared" ref="C37:K37" si="9">C38+C45+C53++C54+C57+C66+C71+C73+C61+C80</f>
        <v>4493416</v>
      </c>
      <c r="D37" s="163">
        <f t="shared" si="9"/>
        <v>247220</v>
      </c>
      <c r="E37" s="163">
        <f t="shared" si="9"/>
        <v>4740636</v>
      </c>
      <c r="F37" s="163">
        <f>F38+F45+F53++F54+F57+F66+F71+F73+F61+F80</f>
        <v>2744787</v>
      </c>
      <c r="G37" s="163">
        <f t="shared" si="9"/>
        <v>180250.22</v>
      </c>
      <c r="H37" s="163">
        <f>H38+H45+H53++H54+H57+H66+H71+H73+H61+H80-1</f>
        <v>1291110.93</v>
      </c>
      <c r="I37" s="163">
        <f>I38+I45+I53++I54+I57+I66+I71+I73+I61+I80</f>
        <v>767097.8600000001</v>
      </c>
      <c r="J37" s="163">
        <f t="shared" si="9"/>
        <v>1453675.07</v>
      </c>
      <c r="K37" s="163">
        <f t="shared" si="9"/>
        <v>3449524.0700000003</v>
      </c>
      <c r="L37" s="140">
        <f t="shared" ref="L37:L51" si="10">+H37*100/F37</f>
        <v>47.038656551491975</v>
      </c>
      <c r="N37" s="31">
        <v>1110575.48</v>
      </c>
    </row>
    <row r="38" spans="1:14" s="16" customFormat="1" ht="15.75" customHeight="1" x14ac:dyDescent="0.2">
      <c r="A38" s="59">
        <v>100</v>
      </c>
      <c r="B38" s="60" t="s">
        <v>83</v>
      </c>
      <c r="C38" s="61">
        <f>SUM(C39:C44)</f>
        <v>27736</v>
      </c>
      <c r="D38" s="61">
        <f>SUM(D39:D44)</f>
        <v>1500</v>
      </c>
      <c r="E38" s="61">
        <f t="shared" ref="E38:E56" si="11">+C38+D38</f>
        <v>29236</v>
      </c>
      <c r="F38" s="61">
        <f>SUM(F39:F44)</f>
        <v>29236</v>
      </c>
      <c r="G38" s="61">
        <f>SUM(G39:G44)</f>
        <v>810.69</v>
      </c>
      <c r="H38" s="62">
        <f t="shared" ref="H38:H51" si="12">+N38+G38</f>
        <v>3422.12</v>
      </c>
      <c r="I38" s="61">
        <f>SUM(I39:I44)</f>
        <v>453.18</v>
      </c>
      <c r="J38" s="62">
        <f t="shared" ref="J38:J50" si="13">+F38-H38</f>
        <v>25813.88</v>
      </c>
      <c r="K38" s="62">
        <f t="shared" ref="K38:K50" si="14">+E38-H38</f>
        <v>25813.88</v>
      </c>
      <c r="L38" s="58">
        <f t="shared" si="10"/>
        <v>11.705158024353537</v>
      </c>
      <c r="N38" s="32">
        <v>2611.4299999999998</v>
      </c>
    </row>
    <row r="39" spans="1:14" s="16" customFormat="1" ht="15" customHeight="1" x14ac:dyDescent="0.2">
      <c r="A39" s="66" t="s">
        <v>84</v>
      </c>
      <c r="B39" s="83" t="s">
        <v>85</v>
      </c>
      <c r="C39" s="55">
        <v>4300</v>
      </c>
      <c r="D39" s="55">
        <v>0</v>
      </c>
      <c r="E39" s="55">
        <f t="shared" si="11"/>
        <v>4300</v>
      </c>
      <c r="F39" s="57">
        <v>4300</v>
      </c>
      <c r="G39" s="57">
        <v>0</v>
      </c>
      <c r="H39" s="57">
        <f t="shared" si="12"/>
        <v>0</v>
      </c>
      <c r="I39" s="57">
        <v>0</v>
      </c>
      <c r="J39" s="57">
        <f t="shared" si="13"/>
        <v>4300</v>
      </c>
      <c r="K39" s="57">
        <f t="shared" si="14"/>
        <v>4300</v>
      </c>
      <c r="L39" s="58">
        <f t="shared" si="10"/>
        <v>0</v>
      </c>
      <c r="N39" s="32">
        <v>0</v>
      </c>
    </row>
    <row r="40" spans="1:14" s="16" customFormat="1" ht="13.5" customHeight="1" x14ac:dyDescent="0.2">
      <c r="A40" s="53" t="s">
        <v>86</v>
      </c>
      <c r="B40" s="54" t="s">
        <v>87</v>
      </c>
      <c r="C40" s="55">
        <v>5051</v>
      </c>
      <c r="D40" s="55">
        <v>0</v>
      </c>
      <c r="E40" s="55">
        <f t="shared" si="11"/>
        <v>5051</v>
      </c>
      <c r="F40" s="57">
        <v>5051</v>
      </c>
      <c r="G40" s="57"/>
      <c r="H40" s="57">
        <f t="shared" si="12"/>
        <v>0</v>
      </c>
      <c r="I40" s="57"/>
      <c r="J40" s="57">
        <f t="shared" si="13"/>
        <v>5051</v>
      </c>
      <c r="K40" s="57">
        <f t="shared" si="14"/>
        <v>5051</v>
      </c>
      <c r="L40" s="58">
        <f t="shared" si="10"/>
        <v>0</v>
      </c>
      <c r="N40" s="32">
        <v>0</v>
      </c>
    </row>
    <row r="41" spans="1:14" s="16" customFormat="1" ht="12" customHeight="1" x14ac:dyDescent="0.2">
      <c r="A41" s="53" t="s">
        <v>88</v>
      </c>
      <c r="B41" s="54" t="s">
        <v>89</v>
      </c>
      <c r="C41" s="55">
        <v>3000</v>
      </c>
      <c r="D41" s="55">
        <v>2000</v>
      </c>
      <c r="E41" s="55">
        <f t="shared" si="11"/>
        <v>5000</v>
      </c>
      <c r="F41" s="57">
        <v>5000</v>
      </c>
      <c r="G41" s="57">
        <v>810.69</v>
      </c>
      <c r="H41" s="57">
        <f t="shared" si="12"/>
        <v>3422.12</v>
      </c>
      <c r="I41" s="57">
        <v>453.18</v>
      </c>
      <c r="J41" s="57">
        <f t="shared" si="13"/>
        <v>1577.88</v>
      </c>
      <c r="K41" s="57">
        <f t="shared" si="14"/>
        <v>1577.88</v>
      </c>
      <c r="L41" s="58">
        <f t="shared" si="10"/>
        <v>68.442400000000006</v>
      </c>
      <c r="N41" s="32">
        <v>2611.4299999999998</v>
      </c>
    </row>
    <row r="42" spans="1:14" s="16" customFormat="1" ht="13.5" customHeight="1" x14ac:dyDescent="0.2">
      <c r="A42" s="53" t="s">
        <v>90</v>
      </c>
      <c r="B42" s="54" t="s">
        <v>91</v>
      </c>
      <c r="C42" s="55">
        <v>918</v>
      </c>
      <c r="D42" s="55">
        <v>0</v>
      </c>
      <c r="E42" s="55">
        <f t="shared" si="11"/>
        <v>918</v>
      </c>
      <c r="F42" s="57">
        <v>918</v>
      </c>
      <c r="G42" s="57">
        <v>0</v>
      </c>
      <c r="H42" s="57">
        <f t="shared" si="12"/>
        <v>0</v>
      </c>
      <c r="I42" s="57">
        <v>0</v>
      </c>
      <c r="J42" s="57">
        <f t="shared" si="13"/>
        <v>918</v>
      </c>
      <c r="K42" s="57">
        <f t="shared" si="14"/>
        <v>918</v>
      </c>
      <c r="L42" s="58">
        <f t="shared" si="10"/>
        <v>0</v>
      </c>
      <c r="N42" s="32">
        <v>0</v>
      </c>
    </row>
    <row r="43" spans="1:14" s="16" customFormat="1" ht="12.75" customHeight="1" x14ac:dyDescent="0.2">
      <c r="A43" s="53" t="s">
        <v>92</v>
      </c>
      <c r="B43" s="54" t="s">
        <v>93</v>
      </c>
      <c r="C43" s="55">
        <v>5000</v>
      </c>
      <c r="D43" s="55">
        <v>0</v>
      </c>
      <c r="E43" s="55">
        <f t="shared" si="11"/>
        <v>5000</v>
      </c>
      <c r="F43" s="57">
        <v>5000</v>
      </c>
      <c r="G43" s="57">
        <v>0</v>
      </c>
      <c r="H43" s="57">
        <f t="shared" si="12"/>
        <v>0</v>
      </c>
      <c r="I43" s="57">
        <v>0</v>
      </c>
      <c r="J43" s="57">
        <f t="shared" si="13"/>
        <v>5000</v>
      </c>
      <c r="K43" s="57">
        <f t="shared" si="14"/>
        <v>5000</v>
      </c>
      <c r="L43" s="58">
        <f t="shared" si="10"/>
        <v>0</v>
      </c>
      <c r="N43" s="32">
        <v>0</v>
      </c>
    </row>
    <row r="44" spans="1:14" s="16" customFormat="1" ht="15.6" customHeight="1" x14ac:dyDescent="0.2">
      <c r="A44" s="53" t="s">
        <v>94</v>
      </c>
      <c r="B44" s="54" t="s">
        <v>95</v>
      </c>
      <c r="C44" s="55">
        <v>9467</v>
      </c>
      <c r="D44" s="55">
        <v>-500</v>
      </c>
      <c r="E44" s="55">
        <f t="shared" si="11"/>
        <v>8967</v>
      </c>
      <c r="F44" s="57">
        <v>8967</v>
      </c>
      <c r="G44" s="57">
        <v>0</v>
      </c>
      <c r="H44" s="57">
        <f t="shared" si="12"/>
        <v>0</v>
      </c>
      <c r="I44" s="57">
        <v>0</v>
      </c>
      <c r="J44" s="57">
        <f t="shared" si="13"/>
        <v>8967</v>
      </c>
      <c r="K44" s="57">
        <f t="shared" si="14"/>
        <v>8967</v>
      </c>
      <c r="L44" s="58">
        <f t="shared" si="10"/>
        <v>0</v>
      </c>
      <c r="N44" s="32">
        <v>0</v>
      </c>
    </row>
    <row r="45" spans="1:14" s="16" customFormat="1" x14ac:dyDescent="0.2">
      <c r="A45" s="67" t="s">
        <v>96</v>
      </c>
      <c r="B45" s="84" t="s">
        <v>97</v>
      </c>
      <c r="C45" s="61">
        <f>SUM(C46:C50)</f>
        <v>2895449</v>
      </c>
      <c r="D45" s="61">
        <f>SUM(D46:D52)</f>
        <v>-106000</v>
      </c>
      <c r="E45" s="61">
        <f t="shared" si="11"/>
        <v>2789449</v>
      </c>
      <c r="F45" s="61">
        <f>SUM(F46:F52)</f>
        <v>1380076</v>
      </c>
      <c r="G45" s="61">
        <f>SUM(G46:G51)</f>
        <v>93377.23</v>
      </c>
      <c r="H45" s="62">
        <f t="shared" si="12"/>
        <v>823795.73</v>
      </c>
      <c r="I45" s="61">
        <f>SUM(I46:I51)</f>
        <v>611859.73</v>
      </c>
      <c r="J45" s="62">
        <f t="shared" si="13"/>
        <v>556280.27</v>
      </c>
      <c r="K45" s="62">
        <f t="shared" si="14"/>
        <v>1965653.27</v>
      </c>
      <c r="L45" s="63">
        <f t="shared" si="10"/>
        <v>59.69205536506685</v>
      </c>
      <c r="N45" s="32">
        <v>730418.5</v>
      </c>
    </row>
    <row r="46" spans="1:14" s="16" customFormat="1" ht="12" customHeight="1" x14ac:dyDescent="0.2">
      <c r="A46" s="66" t="s">
        <v>98</v>
      </c>
      <c r="B46" s="83" t="s">
        <v>99</v>
      </c>
      <c r="C46" s="55">
        <v>118902</v>
      </c>
      <c r="D46" s="55">
        <v>0</v>
      </c>
      <c r="E46" s="55">
        <f t="shared" si="11"/>
        <v>118902</v>
      </c>
      <c r="F46" s="55">
        <v>59454</v>
      </c>
      <c r="G46" s="57">
        <v>8931.26</v>
      </c>
      <c r="H46" s="57">
        <f t="shared" si="12"/>
        <v>37999.170000000006</v>
      </c>
      <c r="I46" s="57">
        <v>37999.17</v>
      </c>
      <c r="J46" s="57">
        <f t="shared" si="13"/>
        <v>21454.829999999994</v>
      </c>
      <c r="K46" s="57">
        <f t="shared" si="14"/>
        <v>80902.829999999987</v>
      </c>
      <c r="L46" s="58">
        <f t="shared" si="10"/>
        <v>63.913563427187412</v>
      </c>
      <c r="N46" s="32">
        <v>29067.910000000003</v>
      </c>
    </row>
    <row r="47" spans="1:14" s="16" customFormat="1" ht="14.25" customHeight="1" x14ac:dyDescent="0.2">
      <c r="A47" s="53" t="s">
        <v>100</v>
      </c>
      <c r="B47" s="54" t="s">
        <v>101</v>
      </c>
      <c r="C47" s="55">
        <v>17939</v>
      </c>
      <c r="D47" s="55">
        <v>8500</v>
      </c>
      <c r="E47" s="55">
        <f t="shared" si="11"/>
        <v>26439</v>
      </c>
      <c r="F47" s="55">
        <v>17849</v>
      </c>
      <c r="G47" s="57">
        <v>63.25</v>
      </c>
      <c r="H47" s="57">
        <f t="shared" si="12"/>
        <v>9007.94</v>
      </c>
      <c r="I47" s="57">
        <v>4807.9399999999996</v>
      </c>
      <c r="J47" s="57">
        <f t="shared" si="13"/>
        <v>8841.06</v>
      </c>
      <c r="K47" s="57">
        <f t="shared" si="14"/>
        <v>17431.059999999998</v>
      </c>
      <c r="L47" s="58">
        <f t="shared" si="10"/>
        <v>50.46747716958933</v>
      </c>
      <c r="N47" s="32">
        <v>8944.69</v>
      </c>
    </row>
    <row r="48" spans="1:14" s="16" customFormat="1" ht="13.5" customHeight="1" x14ac:dyDescent="0.2">
      <c r="A48" s="53" t="s">
        <v>102</v>
      </c>
      <c r="B48" s="54" t="s">
        <v>103</v>
      </c>
      <c r="C48" s="55">
        <v>169</v>
      </c>
      <c r="D48" s="55"/>
      <c r="E48" s="55">
        <f t="shared" si="11"/>
        <v>169</v>
      </c>
      <c r="F48" s="55">
        <v>169</v>
      </c>
      <c r="G48" s="57">
        <v>0</v>
      </c>
      <c r="H48" s="57">
        <f t="shared" si="12"/>
        <v>50</v>
      </c>
      <c r="I48" s="57">
        <v>50</v>
      </c>
      <c r="J48" s="57">
        <f t="shared" si="13"/>
        <v>119</v>
      </c>
      <c r="K48" s="57">
        <f t="shared" si="14"/>
        <v>119</v>
      </c>
      <c r="L48" s="58">
        <f t="shared" si="10"/>
        <v>29.585798816568047</v>
      </c>
      <c r="N48" s="32">
        <v>50</v>
      </c>
    </row>
    <row r="49" spans="1:14" s="16" customFormat="1" ht="13.5" customHeight="1" x14ac:dyDescent="0.2">
      <c r="A49" s="53" t="s">
        <v>104</v>
      </c>
      <c r="B49" s="54" t="s">
        <v>105</v>
      </c>
      <c r="C49" s="55">
        <v>2379700</v>
      </c>
      <c r="D49" s="55">
        <f>-322400</f>
        <v>-322400</v>
      </c>
      <c r="E49" s="55">
        <f t="shared" si="11"/>
        <v>2057300</v>
      </c>
      <c r="F49" s="55">
        <v>867460</v>
      </c>
      <c r="G49" s="57">
        <v>0</v>
      </c>
      <c r="H49" s="57">
        <f t="shared" si="12"/>
        <v>444924.73</v>
      </c>
      <c r="I49" s="57">
        <v>444924.73</v>
      </c>
      <c r="J49" s="57">
        <f t="shared" si="13"/>
        <v>422535.27</v>
      </c>
      <c r="K49" s="57">
        <f t="shared" si="14"/>
        <v>1612375.27</v>
      </c>
      <c r="L49" s="58">
        <f t="shared" si="10"/>
        <v>51.290518294791688</v>
      </c>
      <c r="N49" s="32">
        <v>444924.73</v>
      </c>
    </row>
    <row r="50" spans="1:14" s="16" customFormat="1" ht="15" customHeight="1" x14ac:dyDescent="0.2">
      <c r="A50" s="53" t="s">
        <v>106</v>
      </c>
      <c r="B50" s="54" t="s">
        <v>107</v>
      </c>
      <c r="C50" s="55">
        <v>378739</v>
      </c>
      <c r="D50" s="55">
        <v>-10000</v>
      </c>
      <c r="E50" s="55">
        <f t="shared" si="11"/>
        <v>368739</v>
      </c>
      <c r="F50" s="55">
        <v>217244</v>
      </c>
      <c r="G50" s="57">
        <v>0</v>
      </c>
      <c r="H50" s="57">
        <f t="shared" si="12"/>
        <v>124077.88999999998</v>
      </c>
      <c r="I50" s="57">
        <v>124077.89</v>
      </c>
      <c r="J50" s="57">
        <f t="shared" si="13"/>
        <v>93166.110000000015</v>
      </c>
      <c r="K50" s="57">
        <f t="shared" si="14"/>
        <v>244661.11000000002</v>
      </c>
      <c r="L50" s="58">
        <f t="shared" si="10"/>
        <v>57.11453020566735</v>
      </c>
      <c r="N50" s="32">
        <v>124077.88999999998</v>
      </c>
    </row>
    <row r="51" spans="1:14" s="16" customFormat="1" ht="15" customHeight="1" x14ac:dyDescent="0.2">
      <c r="A51" s="53">
        <v>116</v>
      </c>
      <c r="B51" s="54" t="s">
        <v>349</v>
      </c>
      <c r="C51" s="55"/>
      <c r="D51" s="55">
        <v>207900</v>
      </c>
      <c r="E51" s="55">
        <f t="shared" si="11"/>
        <v>207900</v>
      </c>
      <c r="F51" s="55">
        <v>207900</v>
      </c>
      <c r="G51" s="57">
        <v>84382.720000000001</v>
      </c>
      <c r="H51" s="57">
        <f t="shared" si="12"/>
        <v>207736</v>
      </c>
      <c r="I51" s="57"/>
      <c r="J51" s="57"/>
      <c r="K51" s="57"/>
      <c r="L51" s="58">
        <f t="shared" si="10"/>
        <v>99.921115921115927</v>
      </c>
      <c r="N51" s="32">
        <v>123353.28</v>
      </c>
    </row>
    <row r="52" spans="1:14" s="16" customFormat="1" ht="15" customHeight="1" x14ac:dyDescent="0.2">
      <c r="A52" s="53">
        <v>117</v>
      </c>
      <c r="B52" s="54" t="s">
        <v>358</v>
      </c>
      <c r="C52" s="55"/>
      <c r="D52" s="55">
        <v>10000</v>
      </c>
      <c r="E52" s="55">
        <f t="shared" si="11"/>
        <v>10000</v>
      </c>
      <c r="F52" s="55">
        <v>10000</v>
      </c>
      <c r="G52" s="57"/>
      <c r="H52" s="57"/>
      <c r="I52" s="57"/>
      <c r="J52" s="57"/>
      <c r="K52" s="57"/>
      <c r="L52" s="58"/>
      <c r="N52" s="32"/>
    </row>
    <row r="53" spans="1:14" s="16" customFormat="1" ht="12.75" customHeight="1" x14ac:dyDescent="0.2">
      <c r="A53" s="67" t="s">
        <v>108</v>
      </c>
      <c r="B53" s="84" t="s">
        <v>109</v>
      </c>
      <c r="C53" s="61">
        <v>21097</v>
      </c>
      <c r="D53" s="84">
        <v>-2000</v>
      </c>
      <c r="E53" s="61">
        <f t="shared" si="11"/>
        <v>19097</v>
      </c>
      <c r="F53" s="62">
        <v>14205</v>
      </c>
      <c r="G53" s="62">
        <v>0</v>
      </c>
      <c r="H53" s="62">
        <f t="shared" ref="H53:H79" si="15">+N53+G53</f>
        <v>1715.78</v>
      </c>
      <c r="I53" s="62">
        <v>368.98</v>
      </c>
      <c r="J53" s="62">
        <f t="shared" ref="J53:J80" si="16">+F53-H53</f>
        <v>12489.22</v>
      </c>
      <c r="K53" s="62">
        <f t="shared" ref="K53:K80" si="17">+E53-H53</f>
        <v>17381.22</v>
      </c>
      <c r="L53" s="63">
        <f t="shared" ref="L53:L87" si="18">+H53*100/F53</f>
        <v>12.078704681450194</v>
      </c>
      <c r="M53" s="2"/>
      <c r="N53" s="32">
        <v>1715.78</v>
      </c>
    </row>
    <row r="54" spans="1:14" s="16" customFormat="1" ht="13.5" customHeight="1" x14ac:dyDescent="0.2">
      <c r="A54" s="67" t="s">
        <v>110</v>
      </c>
      <c r="B54" s="84" t="s">
        <v>111</v>
      </c>
      <c r="C54" s="61">
        <f>SUM(C55:C56)</f>
        <v>36675</v>
      </c>
      <c r="D54" s="61">
        <f>SUM(D55:D56)</f>
        <v>1000</v>
      </c>
      <c r="E54" s="61">
        <f t="shared" si="11"/>
        <v>37675</v>
      </c>
      <c r="F54" s="61">
        <f>+F55+F56</f>
        <v>23401</v>
      </c>
      <c r="G54" s="61">
        <f>SUM(G55:G56)</f>
        <v>0</v>
      </c>
      <c r="H54" s="62">
        <f t="shared" si="15"/>
        <v>12.84</v>
      </c>
      <c r="I54" s="61">
        <f>SUM(I55:I56)</f>
        <v>12.84</v>
      </c>
      <c r="J54" s="62">
        <f t="shared" si="16"/>
        <v>23388.16</v>
      </c>
      <c r="K54" s="62">
        <f t="shared" si="17"/>
        <v>37662.160000000003</v>
      </c>
      <c r="L54" s="63">
        <f t="shared" si="18"/>
        <v>5.4869450023503269E-2</v>
      </c>
      <c r="M54" s="2"/>
      <c r="N54" s="32">
        <v>12.84</v>
      </c>
    </row>
    <row r="55" spans="1:14" s="16" customFormat="1" ht="14.25" customHeight="1" x14ac:dyDescent="0.2">
      <c r="A55" s="53" t="s">
        <v>112</v>
      </c>
      <c r="B55" s="83" t="s">
        <v>113</v>
      </c>
      <c r="C55" s="55">
        <v>27807</v>
      </c>
      <c r="D55" s="55">
        <v>1000</v>
      </c>
      <c r="E55" s="55">
        <f t="shared" si="11"/>
        <v>28807</v>
      </c>
      <c r="F55" s="57">
        <v>16529</v>
      </c>
      <c r="G55" s="57">
        <v>0</v>
      </c>
      <c r="H55" s="57">
        <f t="shared" si="15"/>
        <v>12.84</v>
      </c>
      <c r="I55" s="57">
        <v>12.84</v>
      </c>
      <c r="J55" s="57">
        <f t="shared" si="16"/>
        <v>16516.16</v>
      </c>
      <c r="K55" s="57">
        <f t="shared" si="17"/>
        <v>28794.16</v>
      </c>
      <c r="L55" s="58">
        <f t="shared" si="18"/>
        <v>7.7681650432573052E-2</v>
      </c>
      <c r="M55" s="2"/>
      <c r="N55" s="32">
        <v>12.84</v>
      </c>
    </row>
    <row r="56" spans="1:14" s="16" customFormat="1" ht="15" customHeight="1" x14ac:dyDescent="0.2">
      <c r="A56" s="53" t="s">
        <v>273</v>
      </c>
      <c r="B56" s="83" t="s">
        <v>274</v>
      </c>
      <c r="C56" s="55">
        <v>8868</v>
      </c>
      <c r="D56" s="55">
        <v>0</v>
      </c>
      <c r="E56" s="55">
        <f t="shared" si="11"/>
        <v>8868</v>
      </c>
      <c r="F56" s="55">
        <v>6872</v>
      </c>
      <c r="G56" s="55">
        <v>0</v>
      </c>
      <c r="H56" s="57">
        <f t="shared" si="15"/>
        <v>0</v>
      </c>
      <c r="I56" s="55">
        <v>0</v>
      </c>
      <c r="J56" s="57">
        <f t="shared" si="16"/>
        <v>6872</v>
      </c>
      <c r="K56" s="57">
        <f t="shared" si="17"/>
        <v>8868</v>
      </c>
      <c r="L56" s="58">
        <f t="shared" si="18"/>
        <v>0</v>
      </c>
      <c r="M56" s="2"/>
      <c r="N56" s="32">
        <v>0</v>
      </c>
    </row>
    <row r="57" spans="1:14" s="16" customFormat="1" x14ac:dyDescent="0.2">
      <c r="A57" s="67" t="s">
        <v>114</v>
      </c>
      <c r="B57" s="84" t="s">
        <v>115</v>
      </c>
      <c r="C57" s="61">
        <f>SUM(C58:C60)</f>
        <v>378199</v>
      </c>
      <c r="D57" s="61">
        <f>SUM(D58:D60)</f>
        <v>-41950</v>
      </c>
      <c r="E57" s="61">
        <f t="shared" ref="E57:E65" si="19">+C57+D57</f>
        <v>336249</v>
      </c>
      <c r="F57" s="61">
        <f>+F58+F59+F60</f>
        <v>162183</v>
      </c>
      <c r="G57" s="61">
        <f>SUM(G58:G60)</f>
        <v>3834</v>
      </c>
      <c r="H57" s="62">
        <f t="shared" si="15"/>
        <v>8309</v>
      </c>
      <c r="I57" s="61">
        <f>SUM(I58:I60)</f>
        <v>8043</v>
      </c>
      <c r="J57" s="62">
        <f t="shared" si="16"/>
        <v>153874</v>
      </c>
      <c r="K57" s="62">
        <f t="shared" si="17"/>
        <v>327940</v>
      </c>
      <c r="L57" s="63">
        <f t="shared" si="18"/>
        <v>5.1232249989209722</v>
      </c>
      <c r="M57" s="2"/>
      <c r="N57" s="32">
        <f>4487-12</f>
        <v>4475</v>
      </c>
    </row>
    <row r="58" spans="1:14" s="16" customFormat="1" ht="15.75" customHeight="1" x14ac:dyDescent="0.2">
      <c r="A58" s="66" t="s">
        <v>116</v>
      </c>
      <c r="B58" s="83" t="s">
        <v>117</v>
      </c>
      <c r="C58" s="55">
        <v>295164</v>
      </c>
      <c r="D58" s="55">
        <v>-26950</v>
      </c>
      <c r="E58" s="55">
        <f t="shared" si="19"/>
        <v>268214</v>
      </c>
      <c r="F58" s="55">
        <v>128128</v>
      </c>
      <c r="G58" s="55">
        <v>3834</v>
      </c>
      <c r="H58" s="57">
        <f t="shared" si="15"/>
        <v>8309</v>
      </c>
      <c r="I58" s="55">
        <v>8043</v>
      </c>
      <c r="J58" s="57">
        <f t="shared" si="16"/>
        <v>119819</v>
      </c>
      <c r="K58" s="57">
        <f t="shared" si="17"/>
        <v>259905</v>
      </c>
      <c r="L58" s="58">
        <f t="shared" si="18"/>
        <v>6.4849213286713283</v>
      </c>
      <c r="N58" s="32">
        <f>4487-12</f>
        <v>4475</v>
      </c>
    </row>
    <row r="59" spans="1:14" s="16" customFormat="1" ht="15.75" customHeight="1" x14ac:dyDescent="0.2">
      <c r="A59" s="53" t="s">
        <v>118</v>
      </c>
      <c r="B59" s="54" t="s">
        <v>119</v>
      </c>
      <c r="C59" s="55">
        <v>71765</v>
      </c>
      <c r="D59" s="55">
        <v>-15000</v>
      </c>
      <c r="E59" s="55">
        <f t="shared" si="19"/>
        <v>56765</v>
      </c>
      <c r="F59" s="57">
        <v>27033</v>
      </c>
      <c r="G59" s="57">
        <v>0</v>
      </c>
      <c r="H59" s="57">
        <f t="shared" si="15"/>
        <v>0</v>
      </c>
      <c r="I59" s="57">
        <v>0</v>
      </c>
      <c r="J59" s="57">
        <f t="shared" si="16"/>
        <v>27033</v>
      </c>
      <c r="K59" s="57">
        <f t="shared" si="17"/>
        <v>56765</v>
      </c>
      <c r="L59" s="58">
        <f t="shared" si="18"/>
        <v>0</v>
      </c>
      <c r="N59" s="32">
        <v>0</v>
      </c>
    </row>
    <row r="60" spans="1:14" s="16" customFormat="1" ht="12" customHeight="1" x14ac:dyDescent="0.2">
      <c r="A60" s="53">
        <v>143</v>
      </c>
      <c r="B60" s="54" t="s">
        <v>120</v>
      </c>
      <c r="C60" s="55">
        <v>11270</v>
      </c>
      <c r="D60" s="55">
        <v>0</v>
      </c>
      <c r="E60" s="55">
        <f t="shared" si="19"/>
        <v>11270</v>
      </c>
      <c r="F60" s="57">
        <v>7022</v>
      </c>
      <c r="G60" s="57">
        <v>0</v>
      </c>
      <c r="H60" s="57">
        <f t="shared" si="15"/>
        <v>0</v>
      </c>
      <c r="I60" s="57">
        <v>0</v>
      </c>
      <c r="J60" s="57">
        <f t="shared" si="16"/>
        <v>7022</v>
      </c>
      <c r="K60" s="57">
        <f t="shared" si="17"/>
        <v>11270</v>
      </c>
      <c r="L60" s="58">
        <f t="shared" si="18"/>
        <v>0</v>
      </c>
      <c r="N60" s="32">
        <v>0</v>
      </c>
    </row>
    <row r="61" spans="1:14" s="16" customFormat="1" x14ac:dyDescent="0.2">
      <c r="A61" s="67" t="s">
        <v>121</v>
      </c>
      <c r="B61" s="84" t="s">
        <v>122</v>
      </c>
      <c r="C61" s="61">
        <f>SUM(C62:C64)</f>
        <v>144891</v>
      </c>
      <c r="D61" s="61">
        <f>SUM(D62:D65)</f>
        <v>5700</v>
      </c>
      <c r="E61" s="61">
        <f t="shared" si="19"/>
        <v>150591</v>
      </c>
      <c r="F61" s="61">
        <f>+F62+F63+F64+F65</f>
        <v>85111</v>
      </c>
      <c r="G61" s="61">
        <f>SUM(G62:G65)</f>
        <v>2142.1</v>
      </c>
      <c r="H61" s="62">
        <f t="shared" si="15"/>
        <v>4053.8999999999996</v>
      </c>
      <c r="I61" s="61">
        <f>SUM(I62:I65)</f>
        <v>3079.1499999999996</v>
      </c>
      <c r="J61" s="62">
        <f t="shared" si="16"/>
        <v>81057.100000000006</v>
      </c>
      <c r="K61" s="62">
        <f t="shared" si="17"/>
        <v>146537.1</v>
      </c>
      <c r="L61" s="63">
        <f t="shared" si="18"/>
        <v>4.7630741032298989</v>
      </c>
      <c r="M61" s="2"/>
      <c r="N61" s="32">
        <f>1971.35-59.55</f>
        <v>1911.8</v>
      </c>
    </row>
    <row r="62" spans="1:14" s="16" customFormat="1" ht="15" customHeight="1" x14ac:dyDescent="0.2">
      <c r="A62" s="66" t="s">
        <v>123</v>
      </c>
      <c r="B62" s="83" t="s">
        <v>117</v>
      </c>
      <c r="C62" s="55">
        <v>75300</v>
      </c>
      <c r="D62" s="55">
        <v>-3800</v>
      </c>
      <c r="E62" s="55">
        <f t="shared" si="19"/>
        <v>71500</v>
      </c>
      <c r="F62" s="55">
        <v>37870</v>
      </c>
      <c r="G62" s="55">
        <v>1811.75</v>
      </c>
      <c r="H62" s="57">
        <v>2826</v>
      </c>
      <c r="I62" s="55">
        <v>2204.4499999999998</v>
      </c>
      <c r="J62" s="57">
        <f t="shared" si="16"/>
        <v>35044</v>
      </c>
      <c r="K62" s="57">
        <f t="shared" si="17"/>
        <v>68674</v>
      </c>
      <c r="L62" s="58">
        <f t="shared" si="18"/>
        <v>7.4623712701346712</v>
      </c>
      <c r="N62" s="32">
        <f>1068.5-53</f>
        <v>1015.5</v>
      </c>
    </row>
    <row r="63" spans="1:14" s="16" customFormat="1" ht="18" customHeight="1" x14ac:dyDescent="0.2">
      <c r="A63" s="53" t="s">
        <v>124</v>
      </c>
      <c r="B63" s="54" t="s">
        <v>119</v>
      </c>
      <c r="C63" s="55">
        <v>62283</v>
      </c>
      <c r="D63" s="55">
        <v>-2000</v>
      </c>
      <c r="E63" s="55">
        <f t="shared" si="19"/>
        <v>60283</v>
      </c>
      <c r="F63" s="55">
        <v>29969</v>
      </c>
      <c r="G63" s="55"/>
      <c r="H63" s="57">
        <f t="shared" si="15"/>
        <v>0</v>
      </c>
      <c r="I63" s="57">
        <v>0</v>
      </c>
      <c r="J63" s="57">
        <f t="shared" si="16"/>
        <v>29969</v>
      </c>
      <c r="K63" s="57">
        <f t="shared" si="17"/>
        <v>60283</v>
      </c>
      <c r="L63" s="58">
        <f t="shared" si="18"/>
        <v>0</v>
      </c>
      <c r="N63" s="32">
        <v>0</v>
      </c>
    </row>
    <row r="64" spans="1:14" s="16" customFormat="1" ht="18" customHeight="1" x14ac:dyDescent="0.2">
      <c r="A64" s="53">
        <v>153</v>
      </c>
      <c r="B64" s="54" t="s">
        <v>125</v>
      </c>
      <c r="C64" s="55">
        <v>7308</v>
      </c>
      <c r="D64" s="55">
        <v>0</v>
      </c>
      <c r="E64" s="55">
        <f t="shared" si="19"/>
        <v>7308</v>
      </c>
      <c r="F64" s="57">
        <v>5772</v>
      </c>
      <c r="G64" s="57">
        <v>0</v>
      </c>
      <c r="H64" s="57">
        <f t="shared" si="15"/>
        <v>0</v>
      </c>
      <c r="I64" s="57">
        <v>0</v>
      </c>
      <c r="J64" s="57">
        <f t="shared" si="16"/>
        <v>5772</v>
      </c>
      <c r="K64" s="57">
        <f t="shared" si="17"/>
        <v>7308</v>
      </c>
      <c r="L64" s="58">
        <f t="shared" si="18"/>
        <v>0</v>
      </c>
      <c r="N64" s="32">
        <v>0</v>
      </c>
    </row>
    <row r="65" spans="1:14" s="16" customFormat="1" ht="15" customHeight="1" x14ac:dyDescent="0.2">
      <c r="A65" s="53">
        <v>154</v>
      </c>
      <c r="B65" s="54" t="s">
        <v>320</v>
      </c>
      <c r="C65" s="55"/>
      <c r="D65" s="55">
        <v>11500</v>
      </c>
      <c r="E65" s="55">
        <f t="shared" si="19"/>
        <v>11500</v>
      </c>
      <c r="F65" s="57">
        <v>11500</v>
      </c>
      <c r="G65" s="57">
        <v>330.35</v>
      </c>
      <c r="H65" s="57">
        <f t="shared" si="15"/>
        <v>1227.2</v>
      </c>
      <c r="I65" s="57">
        <v>874.7</v>
      </c>
      <c r="J65" s="57">
        <f t="shared" si="16"/>
        <v>10272.799999999999</v>
      </c>
      <c r="K65" s="57">
        <f t="shared" si="17"/>
        <v>10272.799999999999</v>
      </c>
      <c r="L65" s="58">
        <f t="shared" si="18"/>
        <v>10.671304347826087</v>
      </c>
      <c r="N65" s="32">
        <f>902.85-6</f>
        <v>896.85</v>
      </c>
    </row>
    <row r="66" spans="1:14" s="16" customFormat="1" ht="15.75" customHeight="1" x14ac:dyDescent="0.2">
      <c r="A66" s="66" t="s">
        <v>126</v>
      </c>
      <c r="B66" s="84" t="s">
        <v>127</v>
      </c>
      <c r="C66" s="61">
        <f>SUM(C67:C70)</f>
        <v>507286</v>
      </c>
      <c r="D66" s="61">
        <f>SUM(D67:D70)</f>
        <v>116220</v>
      </c>
      <c r="E66" s="61">
        <f>SUM(E67:E70)</f>
        <v>623506</v>
      </c>
      <c r="F66" s="61">
        <f>SUM(F67:F70)</f>
        <v>415310</v>
      </c>
      <c r="G66" s="61">
        <f>+G67+G68+G70+G69</f>
        <v>27986.47</v>
      </c>
      <c r="H66" s="62">
        <f t="shared" si="15"/>
        <v>169515.67</v>
      </c>
      <c r="I66" s="61">
        <f>+I67+I68+I70+I69</f>
        <v>54246.41</v>
      </c>
      <c r="J66" s="62">
        <f t="shared" si="16"/>
        <v>245794.33</v>
      </c>
      <c r="K66" s="62">
        <f t="shared" si="17"/>
        <v>453990.32999999996</v>
      </c>
      <c r="L66" s="63">
        <f t="shared" si="18"/>
        <v>40.81665984445354</v>
      </c>
      <c r="N66" s="32">
        <v>141529.20000000001</v>
      </c>
    </row>
    <row r="67" spans="1:14" s="16" customFormat="1" ht="17.25" customHeight="1" x14ac:dyDescent="0.2">
      <c r="A67" s="66" t="s">
        <v>265</v>
      </c>
      <c r="B67" s="83" t="s">
        <v>266</v>
      </c>
      <c r="C67" s="55">
        <v>2900</v>
      </c>
      <c r="D67" s="55">
        <v>-1700</v>
      </c>
      <c r="E67" s="55">
        <f t="shared" ref="E67:E70" si="20">+C67+D67</f>
        <v>1200</v>
      </c>
      <c r="F67" s="55">
        <v>1200</v>
      </c>
      <c r="G67" s="57"/>
      <c r="H67" s="57">
        <f t="shared" si="15"/>
        <v>0</v>
      </c>
      <c r="I67" s="57"/>
      <c r="J67" s="57">
        <f t="shared" si="16"/>
        <v>1200</v>
      </c>
      <c r="K67" s="57">
        <f t="shared" si="17"/>
        <v>1200</v>
      </c>
      <c r="L67" s="58">
        <f t="shared" si="18"/>
        <v>0</v>
      </c>
      <c r="N67" s="32">
        <v>0</v>
      </c>
    </row>
    <row r="68" spans="1:14" s="16" customFormat="1" ht="15.75" customHeight="1" x14ac:dyDescent="0.2">
      <c r="A68" s="66" t="s">
        <v>128</v>
      </c>
      <c r="B68" s="83" t="s">
        <v>129</v>
      </c>
      <c r="C68" s="55">
        <v>78800</v>
      </c>
      <c r="D68" s="55">
        <v>55000</v>
      </c>
      <c r="E68" s="55">
        <f t="shared" si="20"/>
        <v>133800</v>
      </c>
      <c r="F68" s="55">
        <v>98796</v>
      </c>
      <c r="G68" s="57">
        <v>13890.58</v>
      </c>
      <c r="H68" s="57">
        <f t="shared" si="15"/>
        <v>83173.05</v>
      </c>
      <c r="I68" s="57">
        <v>25022.97</v>
      </c>
      <c r="J68" s="57">
        <f t="shared" si="16"/>
        <v>15622.949999999997</v>
      </c>
      <c r="K68" s="57">
        <f t="shared" si="17"/>
        <v>50626.95</v>
      </c>
      <c r="L68" s="58">
        <f t="shared" si="18"/>
        <v>84.186657354548771</v>
      </c>
      <c r="N68" s="32">
        <v>69282.47</v>
      </c>
    </row>
    <row r="69" spans="1:14" s="16" customFormat="1" ht="15" customHeight="1" x14ac:dyDescent="0.2">
      <c r="A69" s="68">
        <v>165</v>
      </c>
      <c r="B69" s="83" t="s">
        <v>130</v>
      </c>
      <c r="C69" s="55">
        <v>208541</v>
      </c>
      <c r="D69" s="55">
        <f>79920</f>
        <v>79920</v>
      </c>
      <c r="E69" s="55">
        <f t="shared" si="20"/>
        <v>288461</v>
      </c>
      <c r="F69" s="55">
        <v>184661</v>
      </c>
      <c r="G69" s="57">
        <v>11280.36</v>
      </c>
      <c r="H69" s="57">
        <f t="shared" si="15"/>
        <v>45158.409999999996</v>
      </c>
      <c r="I69" s="57">
        <v>19879.240000000002</v>
      </c>
      <c r="J69" s="57">
        <f t="shared" si="16"/>
        <v>139502.59</v>
      </c>
      <c r="K69" s="57">
        <f t="shared" si="17"/>
        <v>243302.59</v>
      </c>
      <c r="L69" s="58">
        <f t="shared" si="18"/>
        <v>24.454763052295828</v>
      </c>
      <c r="N69" s="32">
        <v>33878.049999999996</v>
      </c>
    </row>
    <row r="70" spans="1:14" s="16" customFormat="1" ht="12.75" customHeight="1" x14ac:dyDescent="0.2">
      <c r="A70" s="53" t="s">
        <v>131</v>
      </c>
      <c r="B70" s="54" t="s">
        <v>132</v>
      </c>
      <c r="C70" s="55">
        <v>217045</v>
      </c>
      <c r="D70" s="55">
        <v>-17000</v>
      </c>
      <c r="E70" s="55">
        <f t="shared" si="20"/>
        <v>200045</v>
      </c>
      <c r="F70" s="55">
        <v>130653</v>
      </c>
      <c r="G70" s="55">
        <v>2815.53</v>
      </c>
      <c r="H70" s="57">
        <f t="shared" si="15"/>
        <v>41184.21</v>
      </c>
      <c r="I70" s="55">
        <v>9344.2000000000007</v>
      </c>
      <c r="J70" s="57">
        <f t="shared" si="16"/>
        <v>89468.790000000008</v>
      </c>
      <c r="K70" s="57">
        <f t="shared" si="17"/>
        <v>158860.79</v>
      </c>
      <c r="L70" s="58">
        <f t="shared" si="18"/>
        <v>31.521824986797089</v>
      </c>
      <c r="N70" s="32">
        <v>38368.68</v>
      </c>
    </row>
    <row r="71" spans="1:14" s="16" customFormat="1" x14ac:dyDescent="0.2">
      <c r="A71" s="69">
        <v>170</v>
      </c>
      <c r="B71" s="85" t="s">
        <v>288</v>
      </c>
      <c r="C71" s="86">
        <f>SUM(C72)</f>
        <v>247000</v>
      </c>
      <c r="D71" s="86">
        <f>++D72</f>
        <v>-6000</v>
      </c>
      <c r="E71" s="61">
        <f t="shared" ref="E71:E84" si="21">+C71+D71</f>
        <v>241000</v>
      </c>
      <c r="F71" s="86">
        <f>SUM(F72)</f>
        <v>121432</v>
      </c>
      <c r="G71" s="86">
        <f>SUM(G72:G72)</f>
        <v>14145.22</v>
      </c>
      <c r="H71" s="62">
        <f t="shared" si="15"/>
        <v>62290.49</v>
      </c>
      <c r="I71" s="86">
        <f>SUM(I72:I72)</f>
        <v>0</v>
      </c>
      <c r="J71" s="62">
        <f t="shared" si="16"/>
        <v>59141.51</v>
      </c>
      <c r="K71" s="62">
        <f t="shared" si="17"/>
        <v>178709.51</v>
      </c>
      <c r="L71" s="63">
        <f t="shared" si="18"/>
        <v>51.296602213584556</v>
      </c>
      <c r="N71" s="32">
        <v>48145.27</v>
      </c>
    </row>
    <row r="72" spans="1:14" s="16" customFormat="1" ht="15" customHeight="1" x14ac:dyDescent="0.2">
      <c r="A72" s="53" t="s">
        <v>133</v>
      </c>
      <c r="B72" s="54" t="s">
        <v>134</v>
      </c>
      <c r="C72" s="55">
        <v>247000</v>
      </c>
      <c r="D72" s="55">
        <v>-6000</v>
      </c>
      <c r="E72" s="55">
        <f t="shared" si="21"/>
        <v>241000</v>
      </c>
      <c r="F72" s="55">
        <v>121432</v>
      </c>
      <c r="G72" s="55">
        <v>14145.22</v>
      </c>
      <c r="H72" s="57">
        <f t="shared" si="15"/>
        <v>62290.49</v>
      </c>
      <c r="I72" s="57">
        <v>0</v>
      </c>
      <c r="J72" s="57">
        <f t="shared" si="16"/>
        <v>59141.51</v>
      </c>
      <c r="K72" s="57">
        <f t="shared" si="17"/>
        <v>178709.51</v>
      </c>
      <c r="L72" s="58">
        <f t="shared" si="18"/>
        <v>51.296602213584556</v>
      </c>
      <c r="N72" s="32">
        <v>48145.27</v>
      </c>
    </row>
    <row r="73" spans="1:14" s="16" customFormat="1" x14ac:dyDescent="0.2">
      <c r="A73" s="67" t="s">
        <v>135</v>
      </c>
      <c r="B73" s="84" t="s">
        <v>136</v>
      </c>
      <c r="C73" s="61">
        <f>SUM(C74:C79)</f>
        <v>235083</v>
      </c>
      <c r="D73" s="61">
        <f>SUM(D74:D79)</f>
        <v>26250</v>
      </c>
      <c r="E73" s="61">
        <f t="shared" si="21"/>
        <v>261333</v>
      </c>
      <c r="F73" s="61">
        <f>SUM(F74:F79)</f>
        <v>261333</v>
      </c>
      <c r="G73" s="61">
        <f>SUM(G74:G79)</f>
        <v>10512.92</v>
      </c>
      <c r="H73" s="62">
        <f t="shared" si="15"/>
        <v>117497.43999999999</v>
      </c>
      <c r="I73" s="61">
        <f>SUM(I74:I79)</f>
        <v>17356.910000000003</v>
      </c>
      <c r="J73" s="62">
        <f t="shared" si="16"/>
        <v>143835.56</v>
      </c>
      <c r="K73" s="62">
        <f t="shared" si="17"/>
        <v>143835.56</v>
      </c>
      <c r="L73" s="63">
        <f t="shared" si="18"/>
        <v>44.960812450015872</v>
      </c>
      <c r="M73" s="2"/>
      <c r="N73" s="32">
        <v>106984.51999999999</v>
      </c>
    </row>
    <row r="74" spans="1:14" s="16" customFormat="1" ht="14.25" customHeight="1" x14ac:dyDescent="0.2">
      <c r="A74" s="68">
        <v>181</v>
      </c>
      <c r="B74" s="83" t="s">
        <v>137</v>
      </c>
      <c r="C74" s="55">
        <v>1000</v>
      </c>
      <c r="D74" s="55">
        <v>1000</v>
      </c>
      <c r="E74" s="55">
        <f t="shared" si="21"/>
        <v>2000</v>
      </c>
      <c r="F74" s="57">
        <v>2000</v>
      </c>
      <c r="G74" s="57">
        <v>0</v>
      </c>
      <c r="H74" s="57">
        <f t="shared" si="15"/>
        <v>0</v>
      </c>
      <c r="I74" s="57">
        <v>0</v>
      </c>
      <c r="J74" s="57">
        <f t="shared" si="16"/>
        <v>2000</v>
      </c>
      <c r="K74" s="57">
        <f t="shared" si="17"/>
        <v>2000</v>
      </c>
      <c r="L74" s="58">
        <f t="shared" si="18"/>
        <v>0</v>
      </c>
      <c r="N74" s="32">
        <v>0</v>
      </c>
    </row>
    <row r="75" spans="1:14" s="16" customFormat="1" ht="14.25" customHeight="1" x14ac:dyDescent="0.2">
      <c r="A75" s="66" t="s">
        <v>138</v>
      </c>
      <c r="B75" s="83" t="s">
        <v>275</v>
      </c>
      <c r="C75" s="55">
        <v>112283</v>
      </c>
      <c r="D75" s="55">
        <v>45000</v>
      </c>
      <c r="E75" s="55">
        <f t="shared" si="21"/>
        <v>157283</v>
      </c>
      <c r="F75" s="55">
        <v>157283</v>
      </c>
      <c r="G75" s="55">
        <v>6432.56</v>
      </c>
      <c r="H75" s="57">
        <f t="shared" si="15"/>
        <v>96476.829999999987</v>
      </c>
      <c r="I75" s="55">
        <v>9366.5300000000007</v>
      </c>
      <c r="J75" s="57">
        <f t="shared" si="16"/>
        <v>60806.170000000013</v>
      </c>
      <c r="K75" s="57">
        <f t="shared" si="17"/>
        <v>60806.170000000013</v>
      </c>
      <c r="L75" s="58">
        <f t="shared" si="18"/>
        <v>61.339642555139449</v>
      </c>
      <c r="N75" s="32">
        <v>90044.26999999999</v>
      </c>
    </row>
    <row r="76" spans="1:14" s="16" customFormat="1" ht="12.75" customHeight="1" x14ac:dyDescent="0.2">
      <c r="A76" s="53">
        <v>183</v>
      </c>
      <c r="B76" s="83" t="s">
        <v>276</v>
      </c>
      <c r="C76" s="55">
        <v>20000</v>
      </c>
      <c r="D76" s="55">
        <v>-12750</v>
      </c>
      <c r="E76" s="55">
        <f t="shared" si="21"/>
        <v>7250</v>
      </c>
      <c r="F76" s="57">
        <v>7250</v>
      </c>
      <c r="G76" s="57">
        <v>0</v>
      </c>
      <c r="H76" s="57">
        <f t="shared" si="15"/>
        <v>0</v>
      </c>
      <c r="I76" s="57">
        <v>0</v>
      </c>
      <c r="J76" s="57">
        <f t="shared" si="16"/>
        <v>7250</v>
      </c>
      <c r="K76" s="57">
        <f t="shared" si="17"/>
        <v>7250</v>
      </c>
      <c r="L76" s="58">
        <f t="shared" si="18"/>
        <v>0</v>
      </c>
      <c r="N76" s="32">
        <v>0</v>
      </c>
    </row>
    <row r="77" spans="1:14" s="16" customFormat="1" ht="12" customHeight="1" x14ac:dyDescent="0.2">
      <c r="A77" s="53">
        <v>184</v>
      </c>
      <c r="B77" s="83" t="s">
        <v>277</v>
      </c>
      <c r="C77" s="55">
        <v>7000</v>
      </c>
      <c r="D77" s="55">
        <v>0</v>
      </c>
      <c r="E77" s="55">
        <f t="shared" si="21"/>
        <v>7000</v>
      </c>
      <c r="F77" s="57">
        <v>7000</v>
      </c>
      <c r="G77" s="57">
        <v>0</v>
      </c>
      <c r="H77" s="57">
        <f t="shared" si="15"/>
        <v>0</v>
      </c>
      <c r="I77" s="57">
        <v>0</v>
      </c>
      <c r="J77" s="57">
        <f t="shared" si="16"/>
        <v>7000</v>
      </c>
      <c r="K77" s="57">
        <f t="shared" si="17"/>
        <v>7000</v>
      </c>
      <c r="L77" s="58">
        <f t="shared" si="18"/>
        <v>0</v>
      </c>
      <c r="N77" s="32">
        <v>0</v>
      </c>
    </row>
    <row r="78" spans="1:14" s="16" customFormat="1" ht="12.75" customHeight="1" x14ac:dyDescent="0.2">
      <c r="A78" s="53">
        <v>185</v>
      </c>
      <c r="B78" s="83" t="s">
        <v>285</v>
      </c>
      <c r="C78" s="55">
        <v>68330</v>
      </c>
      <c r="D78" s="55">
        <v>-24000</v>
      </c>
      <c r="E78" s="55">
        <f t="shared" si="21"/>
        <v>44330</v>
      </c>
      <c r="F78" s="57">
        <v>44330</v>
      </c>
      <c r="G78" s="57">
        <v>0</v>
      </c>
      <c r="H78" s="57">
        <f t="shared" si="15"/>
        <v>427.57</v>
      </c>
      <c r="I78" s="57">
        <v>53.45</v>
      </c>
      <c r="J78" s="57">
        <f t="shared" si="16"/>
        <v>43902.43</v>
      </c>
      <c r="K78" s="57">
        <f t="shared" si="17"/>
        <v>43902.43</v>
      </c>
      <c r="L78" s="58">
        <f t="shared" si="18"/>
        <v>0.96451612903225803</v>
      </c>
      <c r="N78" s="32">
        <v>427.57</v>
      </c>
    </row>
    <row r="79" spans="1:14" s="16" customFormat="1" ht="13.5" customHeight="1" x14ac:dyDescent="0.2">
      <c r="A79" s="53" t="s">
        <v>139</v>
      </c>
      <c r="B79" s="54" t="s">
        <v>140</v>
      </c>
      <c r="C79" s="55">
        <v>26470</v>
      </c>
      <c r="D79" s="55">
        <v>17000</v>
      </c>
      <c r="E79" s="55">
        <f t="shared" si="21"/>
        <v>43470</v>
      </c>
      <c r="F79" s="57">
        <v>43470</v>
      </c>
      <c r="G79" s="57">
        <v>4080.36</v>
      </c>
      <c r="H79" s="57">
        <f t="shared" si="15"/>
        <v>20593.04</v>
      </c>
      <c r="I79" s="57">
        <v>7936.93</v>
      </c>
      <c r="J79" s="57">
        <f t="shared" si="16"/>
        <v>22876.959999999999</v>
      </c>
      <c r="K79" s="57">
        <f t="shared" si="17"/>
        <v>22876.959999999999</v>
      </c>
      <c r="L79" s="58">
        <f t="shared" si="18"/>
        <v>47.372992868645042</v>
      </c>
      <c r="N79" s="32">
        <v>16512.68</v>
      </c>
    </row>
    <row r="80" spans="1:14" s="16" customFormat="1" ht="13.5" customHeight="1" x14ac:dyDescent="0.2">
      <c r="A80" s="70">
        <v>190</v>
      </c>
      <c r="B80" s="60" t="s">
        <v>332</v>
      </c>
      <c r="C80" s="61">
        <f>+C82+C85</f>
        <v>0</v>
      </c>
      <c r="D80" s="61">
        <v>252500</v>
      </c>
      <c r="E80" s="61">
        <f t="shared" si="21"/>
        <v>252500</v>
      </c>
      <c r="F80" s="61">
        <v>252500</v>
      </c>
      <c r="G80" s="61">
        <f>SUM(G81:G87)</f>
        <v>27441.59</v>
      </c>
      <c r="H80" s="61">
        <f>N80+G80</f>
        <v>100498.95999999999</v>
      </c>
      <c r="I80" s="61">
        <f>SUM(I81:I87)</f>
        <v>71677.66</v>
      </c>
      <c r="J80" s="62">
        <f t="shared" si="16"/>
        <v>152001.04</v>
      </c>
      <c r="K80" s="62">
        <f t="shared" si="17"/>
        <v>152001.04</v>
      </c>
      <c r="L80" s="63">
        <f t="shared" si="18"/>
        <v>39.801568316831684</v>
      </c>
      <c r="N80" s="32">
        <f>72699.59+357.78</f>
        <v>73057.37</v>
      </c>
    </row>
    <row r="81" spans="1:14" s="16" customFormat="1" ht="13.5" customHeight="1" x14ac:dyDescent="0.2">
      <c r="A81" s="71">
        <v>191</v>
      </c>
      <c r="B81" s="54" t="s">
        <v>342</v>
      </c>
      <c r="C81" s="61"/>
      <c r="D81" s="55">
        <v>1500</v>
      </c>
      <c r="E81" s="55">
        <f>SUM(C81:D81)</f>
        <v>1500</v>
      </c>
      <c r="F81" s="55">
        <v>1500</v>
      </c>
      <c r="G81" s="61">
        <v>1219.8</v>
      </c>
      <c r="H81" s="57">
        <f>+N81+G81</f>
        <v>1219.8</v>
      </c>
      <c r="I81" s="61"/>
      <c r="J81" s="62"/>
      <c r="K81" s="62"/>
      <c r="L81" s="58">
        <f t="shared" si="18"/>
        <v>81.319999999999993</v>
      </c>
      <c r="N81" s="32"/>
    </row>
    <row r="82" spans="1:14" ht="12" customHeight="1" x14ac:dyDescent="0.2">
      <c r="A82" s="71">
        <v>192</v>
      </c>
      <c r="B82" s="54" t="s">
        <v>333</v>
      </c>
      <c r="C82" s="55"/>
      <c r="D82" s="55">
        <v>106000</v>
      </c>
      <c r="E82" s="55">
        <f t="shared" si="21"/>
        <v>106000</v>
      </c>
      <c r="F82" s="55">
        <v>106000</v>
      </c>
      <c r="G82" s="55">
        <v>2192.6999999999998</v>
      </c>
      <c r="H82" s="57">
        <f>+N82+G82</f>
        <v>62186.459999999992</v>
      </c>
      <c r="I82" s="55">
        <v>60445.599999999999</v>
      </c>
      <c r="J82" s="57">
        <f>+F82-H82</f>
        <v>43813.540000000008</v>
      </c>
      <c r="K82" s="57">
        <f>+E82-H82</f>
        <v>43813.540000000008</v>
      </c>
      <c r="L82" s="58">
        <f t="shared" si="18"/>
        <v>58.666471698113199</v>
      </c>
      <c r="N82" s="31">
        <v>59993.759999999995</v>
      </c>
    </row>
    <row r="83" spans="1:14" ht="12" customHeight="1" x14ac:dyDescent="0.2">
      <c r="A83" s="71">
        <v>193</v>
      </c>
      <c r="B83" s="54" t="s">
        <v>343</v>
      </c>
      <c r="C83" s="55"/>
      <c r="D83" s="55">
        <v>500</v>
      </c>
      <c r="E83" s="55">
        <f t="shared" si="21"/>
        <v>500</v>
      </c>
      <c r="F83" s="55">
        <v>500</v>
      </c>
      <c r="G83" s="55">
        <v>0</v>
      </c>
      <c r="H83" s="57">
        <f>+N83+G83</f>
        <v>5.4</v>
      </c>
      <c r="I83" s="55">
        <v>5.4</v>
      </c>
      <c r="J83" s="57">
        <f>+F83-H83</f>
        <v>494.6</v>
      </c>
      <c r="K83" s="57">
        <f>+E83-H83</f>
        <v>494.6</v>
      </c>
      <c r="L83" s="58">
        <f t="shared" si="18"/>
        <v>1.08</v>
      </c>
      <c r="N83" s="31">
        <v>5.4</v>
      </c>
    </row>
    <row r="84" spans="1:14" ht="12" customHeight="1" x14ac:dyDescent="0.2">
      <c r="A84" s="71">
        <v>195</v>
      </c>
      <c r="B84" s="54" t="s">
        <v>344</v>
      </c>
      <c r="C84" s="55"/>
      <c r="D84" s="55">
        <v>3400</v>
      </c>
      <c r="E84" s="55">
        <f t="shared" si="21"/>
        <v>3400</v>
      </c>
      <c r="F84" s="55">
        <v>3400</v>
      </c>
      <c r="G84" s="55">
        <v>10</v>
      </c>
      <c r="H84" s="57">
        <f>+N84+G84</f>
        <v>254</v>
      </c>
      <c r="I84" s="55">
        <v>184</v>
      </c>
      <c r="J84" s="57"/>
      <c r="K84" s="57"/>
      <c r="L84" s="58">
        <f t="shared" si="18"/>
        <v>7.4705882352941178</v>
      </c>
      <c r="N84" s="31">
        <f>174+70</f>
        <v>244</v>
      </c>
    </row>
    <row r="85" spans="1:14" ht="12" customHeight="1" x14ac:dyDescent="0.2">
      <c r="A85" s="71">
        <v>196</v>
      </c>
      <c r="B85" s="54" t="s">
        <v>334</v>
      </c>
      <c r="C85" s="55"/>
      <c r="D85" s="55">
        <v>5100</v>
      </c>
      <c r="E85" s="55">
        <f>+C85+D85</f>
        <v>5100</v>
      </c>
      <c r="F85" s="55">
        <v>5100</v>
      </c>
      <c r="G85" s="55">
        <v>95.5</v>
      </c>
      <c r="H85" s="57">
        <f>+N85+G85</f>
        <v>1756.1599999999999</v>
      </c>
      <c r="I85" s="55">
        <v>1452.28</v>
      </c>
      <c r="J85" s="57">
        <f>+F85-H85</f>
        <v>3343.84</v>
      </c>
      <c r="K85" s="57">
        <f>+E85-H85</f>
        <v>3343.84</v>
      </c>
      <c r="L85" s="58">
        <f t="shared" si="18"/>
        <v>34.434509803921571</v>
      </c>
      <c r="N85" s="31">
        <f>1373.28+287.38</f>
        <v>1660.6599999999999</v>
      </c>
    </row>
    <row r="86" spans="1:14" ht="12" customHeight="1" x14ac:dyDescent="0.2">
      <c r="A86" s="71">
        <v>197</v>
      </c>
      <c r="B86" s="54" t="s">
        <v>345</v>
      </c>
      <c r="C86" s="55"/>
      <c r="D86" s="55">
        <v>54000</v>
      </c>
      <c r="E86" s="55">
        <f>+C86+D86</f>
        <v>54000</v>
      </c>
      <c r="F86" s="55">
        <v>54000</v>
      </c>
      <c r="G86" s="55">
        <v>0</v>
      </c>
      <c r="H86" s="57">
        <f>N86+G86</f>
        <v>4479.76</v>
      </c>
      <c r="I86" s="55">
        <v>3066.29</v>
      </c>
      <c r="J86" s="57">
        <f>+F86-H86</f>
        <v>49520.24</v>
      </c>
      <c r="K86" s="57">
        <f>+E86-H86</f>
        <v>49520.24</v>
      </c>
      <c r="L86" s="58">
        <f t="shared" si="18"/>
        <v>8.295851851851852</v>
      </c>
      <c r="N86" s="31">
        <v>4479.76</v>
      </c>
    </row>
    <row r="87" spans="1:14" ht="13.5" customHeight="1" x14ac:dyDescent="0.2">
      <c r="A87" s="72">
        <v>199</v>
      </c>
      <c r="B87" s="87" t="s">
        <v>346</v>
      </c>
      <c r="C87" s="88"/>
      <c r="D87" s="55">
        <v>77000</v>
      </c>
      <c r="E87" s="55">
        <f>+C87+D87</f>
        <v>77000</v>
      </c>
      <c r="F87" s="55">
        <v>77000</v>
      </c>
      <c r="G87" s="55">
        <v>23923.59</v>
      </c>
      <c r="H87" s="55">
        <f>N87+G87</f>
        <v>30596.98</v>
      </c>
      <c r="I87" s="55">
        <v>6524.09</v>
      </c>
      <c r="J87" s="55">
        <f>+F87-H87</f>
        <v>46403.020000000004</v>
      </c>
      <c r="K87" s="57">
        <f>+E87-H87</f>
        <v>46403.020000000004</v>
      </c>
      <c r="L87" s="58">
        <f t="shared" si="18"/>
        <v>39.736337662337661</v>
      </c>
      <c r="N87" s="31">
        <v>6673.39</v>
      </c>
    </row>
    <row r="88" spans="1:14" ht="15" customHeight="1" thickBot="1" x14ac:dyDescent="0.25">
      <c r="A88" s="71"/>
      <c r="B88" s="89"/>
      <c r="C88" s="90"/>
      <c r="D88" s="90"/>
      <c r="E88" s="90"/>
      <c r="F88" s="90"/>
      <c r="G88" s="90"/>
      <c r="H88" s="91"/>
      <c r="I88" s="90"/>
      <c r="J88" s="91"/>
      <c r="K88" s="91"/>
      <c r="L88" s="58" t="s">
        <v>4</v>
      </c>
      <c r="N88" s="31"/>
    </row>
    <row r="89" spans="1:14" ht="15.75" customHeight="1" thickBot="1" x14ac:dyDescent="0.25">
      <c r="A89" s="141" t="s">
        <v>141</v>
      </c>
      <c r="B89" s="141" t="s">
        <v>142</v>
      </c>
      <c r="C89" s="142">
        <f>+C90+C93+C99+C105+C109+C115+C123+C129+C138+C139</f>
        <v>1436100</v>
      </c>
      <c r="D89" s="142">
        <f>+D90+D93+D99+D105+D109+D115+D123+D129+D138+D139</f>
        <v>358450</v>
      </c>
      <c r="E89" s="142">
        <f t="shared" ref="E89:E104" si="22">+C89+D89</f>
        <v>1794550</v>
      </c>
      <c r="F89" s="142">
        <f>+F90+F93+F99+F105+F109+F115+F123+F129+F138+F139</f>
        <v>1481240</v>
      </c>
      <c r="G89" s="143">
        <f>+G90+G93+G99+G105+G109+G115+G123+G129+G138+G139</f>
        <v>235617.06</v>
      </c>
      <c r="H89" s="143">
        <f>N89+G89</f>
        <v>510171.88</v>
      </c>
      <c r="I89" s="143">
        <f>+I90+I93+I99+I105+I109+I115+I123+I129+I138+I139</f>
        <v>173730.18</v>
      </c>
      <c r="J89" s="144">
        <f>+F89-H89+1</f>
        <v>971069.12</v>
      </c>
      <c r="K89" s="145">
        <f t="shared" ref="K89:K120" si="23">+E89-H89</f>
        <v>1284378.1200000001</v>
      </c>
      <c r="L89" s="146">
        <f t="shared" ref="L89:L120" si="24">+H89*100/F89</f>
        <v>34.442215981204939</v>
      </c>
      <c r="N89" s="31">
        <f>274367.82+187</f>
        <v>274554.82</v>
      </c>
    </row>
    <row r="90" spans="1:14" s="16" customFormat="1" ht="16.5" customHeight="1" x14ac:dyDescent="0.2">
      <c r="A90" s="73" t="s">
        <v>143</v>
      </c>
      <c r="B90" s="164" t="s">
        <v>144</v>
      </c>
      <c r="C90" s="165">
        <f>SUM(C91:C92)</f>
        <v>93182</v>
      </c>
      <c r="D90" s="165">
        <f>SUM(D91:D92)</f>
        <v>-5400</v>
      </c>
      <c r="E90" s="165">
        <f t="shared" si="22"/>
        <v>87782</v>
      </c>
      <c r="F90" s="165">
        <f>SUM(F91:F92)</f>
        <v>63262</v>
      </c>
      <c r="G90" s="92">
        <f>SUM(G91:G92)</f>
        <v>1479.02</v>
      </c>
      <c r="H90" s="62">
        <f t="shared" ref="H90:H121" si="25">+N90+G90</f>
        <v>2609.9899999999998</v>
      </c>
      <c r="I90" s="165">
        <f>SUM(I91:I92)</f>
        <v>2422.9900000000002</v>
      </c>
      <c r="J90" s="93">
        <f t="shared" ref="J90:J121" si="26">+F90-H90</f>
        <v>60652.01</v>
      </c>
      <c r="K90" s="166">
        <f t="shared" si="23"/>
        <v>85172.01</v>
      </c>
      <c r="L90" s="94">
        <f t="shared" si="24"/>
        <v>4.1256836647592543</v>
      </c>
      <c r="N90" s="32">
        <v>1130.97</v>
      </c>
    </row>
    <row r="91" spans="1:14" s="16" customFormat="1" ht="13.5" customHeight="1" x14ac:dyDescent="0.2">
      <c r="A91" s="74" t="s">
        <v>145</v>
      </c>
      <c r="B91" s="167" t="s">
        <v>146</v>
      </c>
      <c r="C91" s="101">
        <v>74097</v>
      </c>
      <c r="D91" s="101">
        <v>-5400</v>
      </c>
      <c r="E91" s="101">
        <f t="shared" si="22"/>
        <v>68697</v>
      </c>
      <c r="F91" s="168">
        <v>49817</v>
      </c>
      <c r="G91" s="95">
        <v>1411.67</v>
      </c>
      <c r="H91" s="57">
        <f t="shared" si="25"/>
        <v>2376.65</v>
      </c>
      <c r="I91" s="101">
        <v>2189.65</v>
      </c>
      <c r="J91" s="57">
        <f t="shared" si="26"/>
        <v>47440.35</v>
      </c>
      <c r="K91" s="128">
        <f t="shared" si="23"/>
        <v>66320.350000000006</v>
      </c>
      <c r="L91" s="96">
        <f t="shared" si="24"/>
        <v>4.770760985205853</v>
      </c>
      <c r="N91" s="32">
        <v>964.98</v>
      </c>
    </row>
    <row r="92" spans="1:14" s="16" customFormat="1" ht="13.5" customHeight="1" x14ac:dyDescent="0.2">
      <c r="A92" s="71" t="s">
        <v>147</v>
      </c>
      <c r="B92" s="169" t="s">
        <v>148</v>
      </c>
      <c r="C92" s="101">
        <v>19085</v>
      </c>
      <c r="D92" s="101"/>
      <c r="E92" s="101">
        <f t="shared" si="22"/>
        <v>19085</v>
      </c>
      <c r="F92" s="97">
        <v>13445</v>
      </c>
      <c r="G92" s="98">
        <v>67.349999999999994</v>
      </c>
      <c r="H92" s="57">
        <f t="shared" si="25"/>
        <v>233.34</v>
      </c>
      <c r="I92" s="128">
        <v>233.34</v>
      </c>
      <c r="J92" s="57">
        <f t="shared" si="26"/>
        <v>13211.66</v>
      </c>
      <c r="K92" s="128">
        <f t="shared" si="23"/>
        <v>18851.66</v>
      </c>
      <c r="L92" s="96">
        <f t="shared" si="24"/>
        <v>1.7355150613611008</v>
      </c>
      <c r="N92" s="32">
        <v>165.99</v>
      </c>
    </row>
    <row r="93" spans="1:14" s="16" customFormat="1" x14ac:dyDescent="0.2">
      <c r="A93" s="75" t="s">
        <v>149</v>
      </c>
      <c r="B93" s="170" t="s">
        <v>150</v>
      </c>
      <c r="C93" s="123">
        <f>SUM(C94:C98)</f>
        <v>58503</v>
      </c>
      <c r="D93" s="123">
        <f>SUM(D94:D98)</f>
        <v>31950</v>
      </c>
      <c r="E93" s="123">
        <f t="shared" si="22"/>
        <v>90453</v>
      </c>
      <c r="F93" s="99">
        <f>SUM(F94:F98)</f>
        <v>83802</v>
      </c>
      <c r="G93" s="99">
        <f>SUM(G94:G98)</f>
        <v>4044.62</v>
      </c>
      <c r="H93" s="62">
        <f t="shared" si="25"/>
        <v>14664.64</v>
      </c>
      <c r="I93" s="123">
        <f>SUM(I94:I98)</f>
        <v>7671.6799999999985</v>
      </c>
      <c r="J93" s="62">
        <f t="shared" si="26"/>
        <v>69137.36</v>
      </c>
      <c r="K93" s="124">
        <f t="shared" si="23"/>
        <v>75788.36</v>
      </c>
      <c r="L93" s="100">
        <f t="shared" si="24"/>
        <v>17.499152764850482</v>
      </c>
      <c r="N93" s="32">
        <v>10620.02</v>
      </c>
    </row>
    <row r="94" spans="1:14" s="16" customFormat="1" ht="12" customHeight="1" x14ac:dyDescent="0.2">
      <c r="A94" s="74" t="s">
        <v>151</v>
      </c>
      <c r="B94" s="167" t="s">
        <v>152</v>
      </c>
      <c r="C94" s="101">
        <v>22381</v>
      </c>
      <c r="D94" s="101">
        <v>-600</v>
      </c>
      <c r="E94" s="101">
        <f t="shared" si="22"/>
        <v>21781</v>
      </c>
      <c r="F94" s="97">
        <v>20352</v>
      </c>
      <c r="G94" s="98">
        <v>0</v>
      </c>
      <c r="H94" s="57">
        <f t="shared" si="25"/>
        <v>2683.03</v>
      </c>
      <c r="I94" s="128">
        <v>2545.5300000000002</v>
      </c>
      <c r="J94" s="57">
        <f t="shared" si="26"/>
        <v>17668.97</v>
      </c>
      <c r="K94" s="128">
        <f t="shared" si="23"/>
        <v>19097.97</v>
      </c>
      <c r="L94" s="96">
        <f t="shared" si="24"/>
        <v>13.183126965408805</v>
      </c>
      <c r="N94" s="32">
        <v>2683.03</v>
      </c>
    </row>
    <row r="95" spans="1:14" s="16" customFormat="1" ht="12" customHeight="1" x14ac:dyDescent="0.2">
      <c r="A95" s="71" t="s">
        <v>153</v>
      </c>
      <c r="B95" s="169" t="s">
        <v>154</v>
      </c>
      <c r="C95" s="101">
        <v>10000</v>
      </c>
      <c r="D95" s="101">
        <v>2500</v>
      </c>
      <c r="E95" s="101">
        <f t="shared" si="22"/>
        <v>12500</v>
      </c>
      <c r="F95" s="97">
        <v>12500</v>
      </c>
      <c r="G95" s="98">
        <v>2267.87</v>
      </c>
      <c r="H95" s="57">
        <f t="shared" si="25"/>
        <v>8029.3399999999992</v>
      </c>
      <c r="I95" s="128">
        <v>4268.28</v>
      </c>
      <c r="J95" s="57">
        <f t="shared" si="26"/>
        <v>4470.6600000000008</v>
      </c>
      <c r="K95" s="128">
        <f t="shared" si="23"/>
        <v>4470.6600000000008</v>
      </c>
      <c r="L95" s="96">
        <f t="shared" si="24"/>
        <v>64.234719999999996</v>
      </c>
      <c r="N95" s="32">
        <v>5761.4699999999993</v>
      </c>
    </row>
    <row r="96" spans="1:14" s="16" customFormat="1" ht="12" customHeight="1" x14ac:dyDescent="0.2">
      <c r="A96" s="71" t="s">
        <v>155</v>
      </c>
      <c r="B96" s="169" t="s">
        <v>156</v>
      </c>
      <c r="C96" s="101">
        <v>5000</v>
      </c>
      <c r="D96" s="101">
        <v>1550</v>
      </c>
      <c r="E96" s="101">
        <f t="shared" si="22"/>
        <v>6550</v>
      </c>
      <c r="F96" s="97">
        <v>6550</v>
      </c>
      <c r="G96" s="98">
        <v>319.07</v>
      </c>
      <c r="H96" s="57">
        <f t="shared" si="25"/>
        <v>342.8</v>
      </c>
      <c r="I96" s="128">
        <v>6.4</v>
      </c>
      <c r="J96" s="57">
        <f t="shared" si="26"/>
        <v>6207.2</v>
      </c>
      <c r="K96" s="128">
        <f t="shared" si="23"/>
        <v>6207.2</v>
      </c>
      <c r="L96" s="96">
        <f t="shared" si="24"/>
        <v>5.2335877862595419</v>
      </c>
      <c r="N96" s="32">
        <v>23.729999999999997</v>
      </c>
    </row>
    <row r="97" spans="1:14" s="16" customFormat="1" ht="13.5" customHeight="1" x14ac:dyDescent="0.2">
      <c r="A97" s="71" t="s">
        <v>157</v>
      </c>
      <c r="B97" s="169" t="s">
        <v>158</v>
      </c>
      <c r="C97" s="101">
        <v>21122</v>
      </c>
      <c r="D97" s="101">
        <v>22800</v>
      </c>
      <c r="E97" s="101">
        <f t="shared" si="22"/>
        <v>43922</v>
      </c>
      <c r="F97" s="97">
        <v>38700</v>
      </c>
      <c r="G97" s="98">
        <v>1413.27</v>
      </c>
      <c r="H97" s="57">
        <f t="shared" si="25"/>
        <v>3386.58</v>
      </c>
      <c r="I97" s="128">
        <v>672.99</v>
      </c>
      <c r="J97" s="57">
        <f t="shared" si="26"/>
        <v>35313.42</v>
      </c>
      <c r="K97" s="128">
        <f t="shared" si="23"/>
        <v>40535.42</v>
      </c>
      <c r="L97" s="96">
        <f t="shared" si="24"/>
        <v>8.7508527131782952</v>
      </c>
      <c r="N97" s="32">
        <v>1973.31</v>
      </c>
    </row>
    <row r="98" spans="1:14" s="16" customFormat="1" ht="13.5" customHeight="1" x14ac:dyDescent="0.2">
      <c r="A98" s="71" t="s">
        <v>159</v>
      </c>
      <c r="B98" s="169" t="s">
        <v>160</v>
      </c>
      <c r="C98" s="101">
        <v>0</v>
      </c>
      <c r="D98" s="101">
        <v>5700</v>
      </c>
      <c r="E98" s="101">
        <f t="shared" si="22"/>
        <v>5700</v>
      </c>
      <c r="F98" s="97">
        <v>5700</v>
      </c>
      <c r="G98" s="98">
        <v>44.41</v>
      </c>
      <c r="H98" s="57">
        <f t="shared" si="25"/>
        <v>222.89</v>
      </c>
      <c r="I98" s="128">
        <v>178.48</v>
      </c>
      <c r="J98" s="57">
        <f t="shared" si="26"/>
        <v>5477.11</v>
      </c>
      <c r="K98" s="128">
        <f t="shared" si="23"/>
        <v>5477.11</v>
      </c>
      <c r="L98" s="96">
        <f t="shared" si="24"/>
        <v>3.9103508771929825</v>
      </c>
      <c r="N98" s="32">
        <v>178.48</v>
      </c>
    </row>
    <row r="99" spans="1:14" s="16" customFormat="1" ht="20.25" customHeight="1" x14ac:dyDescent="0.2">
      <c r="A99" s="76" t="s">
        <v>161</v>
      </c>
      <c r="B99" s="165" t="s">
        <v>162</v>
      </c>
      <c r="C99" s="165">
        <f>SUM(C100:C104)</f>
        <v>162732</v>
      </c>
      <c r="D99" s="165">
        <f>SUM(D100:D104)</f>
        <v>16500</v>
      </c>
      <c r="E99" s="165">
        <f t="shared" si="22"/>
        <v>179232</v>
      </c>
      <c r="F99" s="92">
        <f>SUM(F100:F104)</f>
        <v>179232</v>
      </c>
      <c r="G99" s="92">
        <f>SUM(G100:G104)</f>
        <v>67694.86</v>
      </c>
      <c r="H99" s="93">
        <f t="shared" si="25"/>
        <v>129669.28</v>
      </c>
      <c r="I99" s="165">
        <f>SUM(I100:I104)</f>
        <v>1726.36</v>
      </c>
      <c r="J99" s="93">
        <f t="shared" si="26"/>
        <v>49562.720000000001</v>
      </c>
      <c r="K99" s="166">
        <f t="shared" si="23"/>
        <v>49562.720000000001</v>
      </c>
      <c r="L99" s="94">
        <f t="shared" si="24"/>
        <v>72.347170148187828</v>
      </c>
      <c r="M99" s="2"/>
      <c r="N99" s="32">
        <v>61974.420000000006</v>
      </c>
    </row>
    <row r="100" spans="1:14" s="16" customFormat="1" ht="12" customHeight="1" x14ac:dyDescent="0.2">
      <c r="A100" s="74" t="s">
        <v>163</v>
      </c>
      <c r="B100" s="167" t="s">
        <v>164</v>
      </c>
      <c r="C100" s="101">
        <v>115696</v>
      </c>
      <c r="D100" s="101"/>
      <c r="E100" s="101">
        <f t="shared" si="22"/>
        <v>115696</v>
      </c>
      <c r="F100" s="97">
        <v>115696</v>
      </c>
      <c r="G100" s="98">
        <v>52848</v>
      </c>
      <c r="H100" s="57">
        <f t="shared" si="25"/>
        <v>97905.23000000001</v>
      </c>
      <c r="I100" s="128">
        <v>0</v>
      </c>
      <c r="J100" s="57">
        <f t="shared" si="26"/>
        <v>17790.76999999999</v>
      </c>
      <c r="K100" s="128">
        <f t="shared" si="23"/>
        <v>17790.76999999999</v>
      </c>
      <c r="L100" s="96">
        <f t="shared" si="24"/>
        <v>84.622830521366353</v>
      </c>
      <c r="N100" s="32">
        <v>45057.23</v>
      </c>
    </row>
    <row r="101" spans="1:14" s="16" customFormat="1" ht="12" customHeight="1" x14ac:dyDescent="0.2">
      <c r="A101" s="77">
        <v>222</v>
      </c>
      <c r="B101" s="167" t="s">
        <v>267</v>
      </c>
      <c r="C101" s="101">
        <v>19662</v>
      </c>
      <c r="D101" s="101">
        <v>11300</v>
      </c>
      <c r="E101" s="101">
        <f t="shared" si="22"/>
        <v>30962</v>
      </c>
      <c r="F101" s="168">
        <v>30962</v>
      </c>
      <c r="G101" s="95">
        <v>3386.3</v>
      </c>
      <c r="H101" s="57">
        <f t="shared" si="25"/>
        <v>8924.09</v>
      </c>
      <c r="I101" s="128">
        <v>588.39</v>
      </c>
      <c r="J101" s="57">
        <f t="shared" si="26"/>
        <v>22037.91</v>
      </c>
      <c r="K101" s="128">
        <f t="shared" si="23"/>
        <v>22037.91</v>
      </c>
      <c r="L101" s="96">
        <f t="shared" si="24"/>
        <v>28.82271817066081</v>
      </c>
      <c r="N101" s="32">
        <v>5537.79</v>
      </c>
    </row>
    <row r="102" spans="1:14" s="16" customFormat="1" ht="16.149999999999999" customHeight="1" x14ac:dyDescent="0.2">
      <c r="A102" s="71" t="s">
        <v>165</v>
      </c>
      <c r="B102" s="169" t="s">
        <v>166</v>
      </c>
      <c r="C102" s="101">
        <v>20320</v>
      </c>
      <c r="D102" s="101"/>
      <c r="E102" s="101">
        <f t="shared" si="22"/>
        <v>20320</v>
      </c>
      <c r="F102" s="97">
        <v>20320</v>
      </c>
      <c r="G102" s="98">
        <v>10000</v>
      </c>
      <c r="H102" s="57">
        <f t="shared" si="25"/>
        <v>20319.34</v>
      </c>
      <c r="I102" s="128">
        <v>0</v>
      </c>
      <c r="J102" s="57">
        <f t="shared" si="26"/>
        <v>0.65999999999985448</v>
      </c>
      <c r="K102" s="128">
        <f t="shared" si="23"/>
        <v>0.65999999999985448</v>
      </c>
      <c r="L102" s="96">
        <f t="shared" si="24"/>
        <v>99.996751968503943</v>
      </c>
      <c r="N102" s="32">
        <v>10319.34</v>
      </c>
    </row>
    <row r="103" spans="1:14" s="16" customFormat="1" ht="14.25" customHeight="1" x14ac:dyDescent="0.2">
      <c r="A103" s="71" t="s">
        <v>167</v>
      </c>
      <c r="B103" s="169" t="s">
        <v>168</v>
      </c>
      <c r="C103" s="101">
        <v>6000</v>
      </c>
      <c r="D103" s="101">
        <v>1200</v>
      </c>
      <c r="E103" s="101">
        <f t="shared" si="22"/>
        <v>7200</v>
      </c>
      <c r="F103" s="97">
        <v>7200</v>
      </c>
      <c r="G103" s="98">
        <v>1433.81</v>
      </c>
      <c r="H103" s="57">
        <f t="shared" si="25"/>
        <v>2357.3999999999996</v>
      </c>
      <c r="I103" s="128">
        <v>1001.5</v>
      </c>
      <c r="J103" s="57">
        <f t="shared" si="26"/>
        <v>4842.6000000000004</v>
      </c>
      <c r="K103" s="128">
        <f t="shared" si="23"/>
        <v>4842.6000000000004</v>
      </c>
      <c r="L103" s="96">
        <f t="shared" si="24"/>
        <v>32.74166666666666</v>
      </c>
      <c r="N103" s="32">
        <v>923.58999999999992</v>
      </c>
    </row>
    <row r="104" spans="1:14" s="16" customFormat="1" ht="14.45" customHeight="1" x14ac:dyDescent="0.2">
      <c r="A104" s="71">
        <v>229</v>
      </c>
      <c r="B104" s="169" t="s">
        <v>169</v>
      </c>
      <c r="C104" s="101">
        <v>1054</v>
      </c>
      <c r="D104" s="101">
        <v>4000</v>
      </c>
      <c r="E104" s="101">
        <f t="shared" si="22"/>
        <v>5054</v>
      </c>
      <c r="F104" s="97">
        <v>5054</v>
      </c>
      <c r="G104" s="98">
        <v>26.75</v>
      </c>
      <c r="H104" s="57">
        <f t="shared" si="25"/>
        <v>163.22</v>
      </c>
      <c r="I104" s="128">
        <v>136.47</v>
      </c>
      <c r="J104" s="57">
        <f t="shared" si="26"/>
        <v>4890.78</v>
      </c>
      <c r="K104" s="128">
        <f t="shared" si="23"/>
        <v>4890.78</v>
      </c>
      <c r="L104" s="96">
        <f t="shared" si="24"/>
        <v>3.2295211713494263</v>
      </c>
      <c r="N104" s="32">
        <v>136.47</v>
      </c>
    </row>
    <row r="105" spans="1:14" s="16" customFormat="1" ht="16.5" customHeight="1" x14ac:dyDescent="0.2">
      <c r="A105" s="76" t="s">
        <v>170</v>
      </c>
      <c r="B105" s="165" t="s">
        <v>171</v>
      </c>
      <c r="C105" s="165">
        <f>SUM(C106:C108)</f>
        <v>76876</v>
      </c>
      <c r="D105" s="165">
        <f>SUM(D106:D108)</f>
        <v>5100</v>
      </c>
      <c r="E105" s="165">
        <f t="shared" ref="E105:E114" si="27">+C105+D105</f>
        <v>81976</v>
      </c>
      <c r="F105" s="92">
        <f>SUM(F106:F108)</f>
        <v>71469</v>
      </c>
      <c r="G105" s="92">
        <f>SUM(G106:G108)</f>
        <v>3044.98</v>
      </c>
      <c r="H105" s="62">
        <f t="shared" si="25"/>
        <v>17399.21</v>
      </c>
      <c r="I105" s="165">
        <f>SUM(I106:I108)</f>
        <v>13772.44</v>
      </c>
      <c r="J105" s="93">
        <f t="shared" si="26"/>
        <v>54069.79</v>
      </c>
      <c r="K105" s="166">
        <f t="shared" si="23"/>
        <v>64576.79</v>
      </c>
      <c r="L105" s="94">
        <f t="shared" si="24"/>
        <v>24.345114665099555</v>
      </c>
      <c r="N105" s="32">
        <v>14354.23</v>
      </c>
    </row>
    <row r="106" spans="1:14" s="16" customFormat="1" ht="12.75" customHeight="1" x14ac:dyDescent="0.2">
      <c r="A106" s="74" t="s">
        <v>172</v>
      </c>
      <c r="B106" s="167" t="s">
        <v>173</v>
      </c>
      <c r="C106" s="101">
        <v>12496</v>
      </c>
      <c r="D106" s="101">
        <v>500</v>
      </c>
      <c r="E106" s="101">
        <f t="shared" si="27"/>
        <v>12996</v>
      </c>
      <c r="F106" s="97">
        <v>8996</v>
      </c>
      <c r="G106" s="98">
        <v>22.47</v>
      </c>
      <c r="H106" s="57">
        <f t="shared" si="25"/>
        <v>3073.1499999999996</v>
      </c>
      <c r="I106" s="128">
        <v>3050.68</v>
      </c>
      <c r="J106" s="57">
        <f t="shared" si="26"/>
        <v>5922.85</v>
      </c>
      <c r="K106" s="128">
        <f t="shared" si="23"/>
        <v>9922.85</v>
      </c>
      <c r="L106" s="96">
        <f t="shared" si="24"/>
        <v>34.161293908403728</v>
      </c>
      <c r="N106" s="32">
        <v>3050.68</v>
      </c>
    </row>
    <row r="107" spans="1:14" s="16" customFormat="1" ht="12.75" customHeight="1" x14ac:dyDescent="0.2">
      <c r="A107" s="71" t="s">
        <v>174</v>
      </c>
      <c r="B107" s="169" t="s">
        <v>175</v>
      </c>
      <c r="C107" s="101">
        <v>37587</v>
      </c>
      <c r="D107" s="101">
        <v>3600</v>
      </c>
      <c r="E107" s="101">
        <f t="shared" si="27"/>
        <v>41187</v>
      </c>
      <c r="F107" s="97">
        <v>34680</v>
      </c>
      <c r="G107" s="98">
        <v>35.82</v>
      </c>
      <c r="H107" s="57">
        <f t="shared" si="25"/>
        <v>9594.82</v>
      </c>
      <c r="I107" s="128">
        <v>8899.31</v>
      </c>
      <c r="J107" s="57">
        <f t="shared" si="26"/>
        <v>25085.18</v>
      </c>
      <c r="K107" s="128">
        <f t="shared" si="23"/>
        <v>31592.18</v>
      </c>
      <c r="L107" s="96">
        <f t="shared" si="24"/>
        <v>27.666724336793543</v>
      </c>
      <c r="N107" s="32">
        <v>9559</v>
      </c>
    </row>
    <row r="108" spans="1:14" s="16" customFormat="1" ht="15" customHeight="1" x14ac:dyDescent="0.2">
      <c r="A108" s="71" t="s">
        <v>176</v>
      </c>
      <c r="B108" s="169" t="s">
        <v>177</v>
      </c>
      <c r="C108" s="101">
        <v>26793</v>
      </c>
      <c r="D108" s="101">
        <v>1000</v>
      </c>
      <c r="E108" s="101">
        <f t="shared" si="27"/>
        <v>27793</v>
      </c>
      <c r="F108" s="97">
        <v>27793</v>
      </c>
      <c r="G108" s="98">
        <v>2986.69</v>
      </c>
      <c r="H108" s="57">
        <f t="shared" si="25"/>
        <v>4731.24</v>
      </c>
      <c r="I108" s="128">
        <v>1822.45</v>
      </c>
      <c r="J108" s="57">
        <f t="shared" si="26"/>
        <v>23061.760000000002</v>
      </c>
      <c r="K108" s="128">
        <f t="shared" si="23"/>
        <v>23061.760000000002</v>
      </c>
      <c r="L108" s="96">
        <f t="shared" si="24"/>
        <v>17.023135321843629</v>
      </c>
      <c r="N108" s="32">
        <v>1744.55</v>
      </c>
    </row>
    <row r="109" spans="1:14" s="16" customFormat="1" ht="20.25" customHeight="1" x14ac:dyDescent="0.2">
      <c r="A109" s="76" t="s">
        <v>178</v>
      </c>
      <c r="B109" s="165" t="s">
        <v>179</v>
      </c>
      <c r="C109" s="165">
        <f>SUM(C110:C114)</f>
        <v>124326</v>
      </c>
      <c r="D109" s="165">
        <f>SUM(D110:D114)</f>
        <v>16150</v>
      </c>
      <c r="E109" s="165">
        <f t="shared" si="27"/>
        <v>140476</v>
      </c>
      <c r="F109" s="92">
        <f>SUM(F110:F114)</f>
        <v>113493</v>
      </c>
      <c r="G109" s="92">
        <f>SUM(G110:G114)</f>
        <v>8593.2000000000007</v>
      </c>
      <c r="H109" s="93">
        <f t="shared" si="25"/>
        <v>20890.34</v>
      </c>
      <c r="I109" s="165">
        <f>SUM(I110:I114)</f>
        <v>10793.81</v>
      </c>
      <c r="J109" s="93">
        <f t="shared" si="26"/>
        <v>92602.66</v>
      </c>
      <c r="K109" s="166">
        <f t="shared" si="23"/>
        <v>119585.66</v>
      </c>
      <c r="L109" s="94">
        <f t="shared" si="24"/>
        <v>18.406721119364189</v>
      </c>
      <c r="N109" s="32">
        <v>12297.14</v>
      </c>
    </row>
    <row r="110" spans="1:14" s="16" customFormat="1" ht="14.25" customHeight="1" x14ac:dyDescent="0.2">
      <c r="A110" s="71" t="s">
        <v>180</v>
      </c>
      <c r="B110" s="167" t="s">
        <v>181</v>
      </c>
      <c r="C110" s="101">
        <v>1000</v>
      </c>
      <c r="D110" s="101">
        <v>1000</v>
      </c>
      <c r="E110" s="101">
        <f t="shared" si="27"/>
        <v>2000</v>
      </c>
      <c r="F110" s="97">
        <v>2000</v>
      </c>
      <c r="G110" s="98">
        <v>23.75</v>
      </c>
      <c r="H110" s="57">
        <f t="shared" si="25"/>
        <v>103.25</v>
      </c>
      <c r="I110" s="128">
        <v>103.25</v>
      </c>
      <c r="J110" s="57">
        <f t="shared" si="26"/>
        <v>1896.75</v>
      </c>
      <c r="K110" s="128">
        <f t="shared" si="23"/>
        <v>1896.75</v>
      </c>
      <c r="L110" s="96">
        <f t="shared" si="24"/>
        <v>5.1624999999999996</v>
      </c>
      <c r="N110" s="32">
        <v>79.5</v>
      </c>
    </row>
    <row r="111" spans="1:14" s="16" customFormat="1" ht="14.25" customHeight="1" x14ac:dyDescent="0.2">
      <c r="A111" s="71" t="s">
        <v>182</v>
      </c>
      <c r="B111" s="169" t="s">
        <v>183</v>
      </c>
      <c r="C111" s="101">
        <v>2550</v>
      </c>
      <c r="D111" s="101">
        <v>27500</v>
      </c>
      <c r="E111" s="101">
        <f t="shared" si="27"/>
        <v>30050</v>
      </c>
      <c r="F111" s="97">
        <v>30050</v>
      </c>
      <c r="G111" s="98">
        <v>1830.18</v>
      </c>
      <c r="H111" s="57">
        <f t="shared" si="25"/>
        <v>3158.67</v>
      </c>
      <c r="I111" s="128">
        <v>1398.14</v>
      </c>
      <c r="J111" s="57">
        <f t="shared" si="26"/>
        <v>26891.33</v>
      </c>
      <c r="K111" s="128">
        <f t="shared" si="23"/>
        <v>26891.33</v>
      </c>
      <c r="L111" s="96">
        <f t="shared" si="24"/>
        <v>10.511381031613977</v>
      </c>
      <c r="N111" s="32">
        <v>1328.49</v>
      </c>
    </row>
    <row r="112" spans="1:14" s="16" customFormat="1" ht="17.25" customHeight="1" x14ac:dyDescent="0.2">
      <c r="A112" s="71" t="s">
        <v>184</v>
      </c>
      <c r="B112" s="169" t="s">
        <v>185</v>
      </c>
      <c r="C112" s="101">
        <v>30525</v>
      </c>
      <c r="D112" s="101">
        <v>1000</v>
      </c>
      <c r="E112" s="101">
        <f t="shared" si="27"/>
        <v>31525</v>
      </c>
      <c r="F112" s="97">
        <v>31525</v>
      </c>
      <c r="G112" s="98">
        <v>3973.66</v>
      </c>
      <c r="H112" s="57">
        <f t="shared" si="25"/>
        <v>9797.2599999999984</v>
      </c>
      <c r="I112" s="128">
        <v>4859.9799999999996</v>
      </c>
      <c r="J112" s="57">
        <f t="shared" si="26"/>
        <v>21727.74</v>
      </c>
      <c r="K112" s="128">
        <f t="shared" si="23"/>
        <v>21727.74</v>
      </c>
      <c r="L112" s="96">
        <f t="shared" si="24"/>
        <v>31.077747819191114</v>
      </c>
      <c r="N112" s="32">
        <v>5823.5999999999995</v>
      </c>
    </row>
    <row r="113" spans="1:14" s="16" customFormat="1" ht="16.5" customHeight="1" x14ac:dyDescent="0.2">
      <c r="A113" s="71" t="s">
        <v>186</v>
      </c>
      <c r="B113" s="169" t="s">
        <v>187</v>
      </c>
      <c r="C113" s="101">
        <v>61119</v>
      </c>
      <c r="D113" s="101">
        <v>-14700</v>
      </c>
      <c r="E113" s="101">
        <f t="shared" si="27"/>
        <v>46419</v>
      </c>
      <c r="F113" s="97">
        <v>24136</v>
      </c>
      <c r="G113" s="98">
        <v>0</v>
      </c>
      <c r="H113" s="57">
        <f t="shared" si="25"/>
        <v>0</v>
      </c>
      <c r="I113" s="128">
        <v>0</v>
      </c>
      <c r="J113" s="57">
        <f t="shared" si="26"/>
        <v>24136</v>
      </c>
      <c r="K113" s="128">
        <f t="shared" si="23"/>
        <v>46419</v>
      </c>
      <c r="L113" s="96">
        <f t="shared" si="24"/>
        <v>0</v>
      </c>
      <c r="N113" s="32">
        <v>0</v>
      </c>
    </row>
    <row r="114" spans="1:14" s="16" customFormat="1" ht="16.5" customHeight="1" x14ac:dyDescent="0.2">
      <c r="A114" s="71" t="s">
        <v>188</v>
      </c>
      <c r="B114" s="169" t="s">
        <v>189</v>
      </c>
      <c r="C114" s="101">
        <v>29132</v>
      </c>
      <c r="D114" s="101">
        <v>1350</v>
      </c>
      <c r="E114" s="101">
        <f t="shared" si="27"/>
        <v>30482</v>
      </c>
      <c r="F114" s="168">
        <v>25782</v>
      </c>
      <c r="G114" s="95">
        <v>2765.61</v>
      </c>
      <c r="H114" s="57">
        <f t="shared" si="25"/>
        <v>7831.16</v>
      </c>
      <c r="I114" s="128">
        <v>4432.4399999999996</v>
      </c>
      <c r="J114" s="57">
        <f t="shared" si="26"/>
        <v>17950.84</v>
      </c>
      <c r="K114" s="128">
        <f t="shared" si="23"/>
        <v>22650.84</v>
      </c>
      <c r="L114" s="96">
        <f t="shared" si="24"/>
        <v>30.374524862307037</v>
      </c>
      <c r="N114" s="32">
        <v>5065.55</v>
      </c>
    </row>
    <row r="115" spans="1:14" s="16" customFormat="1" ht="20.25" customHeight="1" x14ac:dyDescent="0.2">
      <c r="A115" s="76" t="s">
        <v>190</v>
      </c>
      <c r="B115" s="165" t="s">
        <v>191</v>
      </c>
      <c r="C115" s="165">
        <f>SUM(C116:C122)</f>
        <v>353176</v>
      </c>
      <c r="D115" s="165">
        <f>SUM(D116:D122)</f>
        <v>126200</v>
      </c>
      <c r="E115" s="165">
        <f t="shared" ref="E115:E138" si="28">+C115+D115</f>
        <v>479376</v>
      </c>
      <c r="F115" s="92">
        <f>SUM(F116:F122)</f>
        <v>371963</v>
      </c>
      <c r="G115" s="92">
        <f>SUM(G116:G122)</f>
        <v>55593.56</v>
      </c>
      <c r="H115" s="93">
        <f t="shared" si="25"/>
        <v>114653</v>
      </c>
      <c r="I115" s="165">
        <f>SUM(I116:I122)</f>
        <v>44191.4</v>
      </c>
      <c r="J115" s="93">
        <f t="shared" si="26"/>
        <v>257310</v>
      </c>
      <c r="K115" s="166">
        <f t="shared" si="23"/>
        <v>364723</v>
      </c>
      <c r="L115" s="94">
        <f t="shared" si="24"/>
        <v>30.823764729287589</v>
      </c>
      <c r="N115" s="32">
        <f>59074.44-65+50</f>
        <v>59059.44</v>
      </c>
    </row>
    <row r="116" spans="1:14" s="16" customFormat="1" ht="14.25" customHeight="1" x14ac:dyDescent="0.2">
      <c r="A116" s="71" t="s">
        <v>192</v>
      </c>
      <c r="B116" s="169" t="s">
        <v>193</v>
      </c>
      <c r="C116" s="101">
        <v>26540</v>
      </c>
      <c r="D116" s="101">
        <v>14000</v>
      </c>
      <c r="E116" s="101">
        <f t="shared" si="28"/>
        <v>40540</v>
      </c>
      <c r="F116" s="168">
        <v>36540</v>
      </c>
      <c r="G116" s="98">
        <v>14254.3</v>
      </c>
      <c r="H116" s="57">
        <f t="shared" si="25"/>
        <v>19470.64</v>
      </c>
      <c r="I116" s="128">
        <v>3995.28</v>
      </c>
      <c r="J116" s="57">
        <f t="shared" si="26"/>
        <v>17069.36</v>
      </c>
      <c r="K116" s="128">
        <f t="shared" si="23"/>
        <v>21069.360000000001</v>
      </c>
      <c r="L116" s="96">
        <f t="shared" si="24"/>
        <v>53.28582375478927</v>
      </c>
      <c r="N116" s="32">
        <v>5216.34</v>
      </c>
    </row>
    <row r="117" spans="1:14" s="16" customFormat="1" ht="16.5" customHeight="1" x14ac:dyDescent="0.2">
      <c r="A117" s="71" t="s">
        <v>194</v>
      </c>
      <c r="B117" s="169" t="s">
        <v>195</v>
      </c>
      <c r="C117" s="101">
        <v>41038</v>
      </c>
      <c r="D117" s="101">
        <v>4000</v>
      </c>
      <c r="E117" s="101">
        <f t="shared" si="28"/>
        <v>45038</v>
      </c>
      <c r="F117" s="168">
        <v>32838</v>
      </c>
      <c r="G117" s="98">
        <v>1836.17</v>
      </c>
      <c r="H117" s="57">
        <f t="shared" si="25"/>
        <v>8910.18</v>
      </c>
      <c r="I117" s="128">
        <v>6889.76</v>
      </c>
      <c r="J117" s="57">
        <f t="shared" si="26"/>
        <v>23927.82</v>
      </c>
      <c r="K117" s="128">
        <f t="shared" si="23"/>
        <v>36127.82</v>
      </c>
      <c r="L117" s="96">
        <f t="shared" si="24"/>
        <v>27.133747487666728</v>
      </c>
      <c r="N117" s="32">
        <v>7074.01</v>
      </c>
    </row>
    <row r="118" spans="1:14" s="16" customFormat="1" ht="12.75" customHeight="1" x14ac:dyDescent="0.2">
      <c r="A118" s="71">
        <v>254</v>
      </c>
      <c r="B118" s="169" t="s">
        <v>196</v>
      </c>
      <c r="C118" s="101">
        <v>26803</v>
      </c>
      <c r="D118" s="101">
        <v>-1000</v>
      </c>
      <c r="E118" s="101">
        <f t="shared" si="28"/>
        <v>25803</v>
      </c>
      <c r="F118" s="101">
        <v>21803</v>
      </c>
      <c r="G118" s="168">
        <v>4817.67</v>
      </c>
      <c r="H118" s="57">
        <f t="shared" si="25"/>
        <v>9379.7800000000007</v>
      </c>
      <c r="I118" s="128">
        <v>4626.53</v>
      </c>
      <c r="J118" s="57">
        <f t="shared" si="26"/>
        <v>12423.22</v>
      </c>
      <c r="K118" s="128">
        <f t="shared" si="23"/>
        <v>16423.22</v>
      </c>
      <c r="L118" s="96">
        <f t="shared" si="24"/>
        <v>43.020593496307853</v>
      </c>
      <c r="N118" s="32">
        <v>4562.1100000000006</v>
      </c>
    </row>
    <row r="119" spans="1:14" s="16" customFormat="1" ht="18" customHeight="1" x14ac:dyDescent="0.2">
      <c r="A119" s="71" t="s">
        <v>197</v>
      </c>
      <c r="B119" s="169" t="s">
        <v>198</v>
      </c>
      <c r="C119" s="101">
        <v>155060</v>
      </c>
      <c r="D119" s="171">
        <v>-9900</v>
      </c>
      <c r="E119" s="101">
        <f t="shared" si="28"/>
        <v>145160</v>
      </c>
      <c r="F119" s="101">
        <v>85240</v>
      </c>
      <c r="G119" s="97">
        <v>9017.24</v>
      </c>
      <c r="H119" s="57">
        <f t="shared" si="25"/>
        <v>19258.16</v>
      </c>
      <c r="I119" s="128">
        <v>5533.54</v>
      </c>
      <c r="J119" s="57">
        <f t="shared" si="26"/>
        <v>65981.84</v>
      </c>
      <c r="K119" s="128">
        <f t="shared" si="23"/>
        <v>125901.84</v>
      </c>
      <c r="L119" s="96">
        <f t="shared" si="24"/>
        <v>22.592867198498357</v>
      </c>
      <c r="N119" s="32">
        <v>10240.92</v>
      </c>
    </row>
    <row r="120" spans="1:14" s="16" customFormat="1" ht="17.25" customHeight="1" x14ac:dyDescent="0.2">
      <c r="A120" s="71" t="s">
        <v>199</v>
      </c>
      <c r="B120" s="169" t="s">
        <v>200</v>
      </c>
      <c r="C120" s="101">
        <v>31199</v>
      </c>
      <c r="D120" s="101">
        <v>47000</v>
      </c>
      <c r="E120" s="101">
        <f t="shared" si="28"/>
        <v>78199</v>
      </c>
      <c r="F120" s="101">
        <v>70799</v>
      </c>
      <c r="G120" s="97">
        <v>11685.19</v>
      </c>
      <c r="H120" s="57">
        <f t="shared" si="25"/>
        <v>22133.97</v>
      </c>
      <c r="I120" s="128">
        <v>7019.11</v>
      </c>
      <c r="J120" s="57">
        <f t="shared" si="26"/>
        <v>48665.03</v>
      </c>
      <c r="K120" s="128">
        <f t="shared" si="23"/>
        <v>56065.03</v>
      </c>
      <c r="L120" s="96">
        <f t="shared" si="24"/>
        <v>31.26311106089069</v>
      </c>
      <c r="N120" s="32">
        <v>10448.779999999999</v>
      </c>
    </row>
    <row r="121" spans="1:14" s="16" customFormat="1" ht="17.25" customHeight="1" x14ac:dyDescent="0.2">
      <c r="A121" s="71">
        <v>257</v>
      </c>
      <c r="B121" s="169" t="s">
        <v>201</v>
      </c>
      <c r="C121" s="128">
        <v>21200</v>
      </c>
      <c r="D121" s="128">
        <v>600</v>
      </c>
      <c r="E121" s="101">
        <f t="shared" si="28"/>
        <v>21800</v>
      </c>
      <c r="F121" s="101">
        <v>16800</v>
      </c>
      <c r="G121" s="97">
        <v>2185.0300000000002</v>
      </c>
      <c r="H121" s="57">
        <f t="shared" si="25"/>
        <v>2789.4900000000002</v>
      </c>
      <c r="I121" s="128">
        <v>404.46</v>
      </c>
      <c r="J121" s="57">
        <f t="shared" si="26"/>
        <v>14010.51</v>
      </c>
      <c r="K121" s="128">
        <f t="shared" ref="K121:K152" si="29">+E121-H121</f>
        <v>19010.509999999998</v>
      </c>
      <c r="L121" s="96">
        <f t="shared" ref="L121:L157" si="30">+H121*100/F121</f>
        <v>16.604107142857142</v>
      </c>
      <c r="N121" s="32">
        <v>604.46</v>
      </c>
    </row>
    <row r="122" spans="1:14" s="16" customFormat="1" ht="17.25" customHeight="1" x14ac:dyDescent="0.2">
      <c r="A122" s="71" t="s">
        <v>202</v>
      </c>
      <c r="B122" s="169" t="s">
        <v>203</v>
      </c>
      <c r="C122" s="101">
        <v>51336</v>
      </c>
      <c r="D122" s="101">
        <v>71500</v>
      </c>
      <c r="E122" s="101">
        <f t="shared" si="28"/>
        <v>122836</v>
      </c>
      <c r="F122" s="101">
        <v>107943</v>
      </c>
      <c r="G122" s="101">
        <v>11797.96</v>
      </c>
      <c r="H122" s="57">
        <f t="shared" ref="H122:H148" si="31">+N122+G122</f>
        <v>32710.78</v>
      </c>
      <c r="I122" s="128">
        <v>15722.72</v>
      </c>
      <c r="J122" s="57">
        <f t="shared" ref="J122:J153" si="32">+F122-H122</f>
        <v>75232.22</v>
      </c>
      <c r="K122" s="128">
        <f t="shared" si="29"/>
        <v>90125.22</v>
      </c>
      <c r="L122" s="96">
        <f t="shared" si="30"/>
        <v>30.303752906626645</v>
      </c>
      <c r="N122" s="32">
        <f>20927.82-15</f>
        <v>20912.82</v>
      </c>
    </row>
    <row r="123" spans="1:14" s="16" customFormat="1" ht="15" customHeight="1" x14ac:dyDescent="0.2">
      <c r="A123" s="76" t="s">
        <v>204</v>
      </c>
      <c r="B123" s="165" t="s">
        <v>205</v>
      </c>
      <c r="C123" s="165">
        <f>SUM(C124:C128)</f>
        <v>65439</v>
      </c>
      <c r="D123" s="165">
        <f>SUM(D124:D128)</f>
        <v>40200</v>
      </c>
      <c r="E123" s="172">
        <f t="shared" si="28"/>
        <v>105639</v>
      </c>
      <c r="F123" s="102">
        <f>SUM(F124:F128)</f>
        <v>105639</v>
      </c>
      <c r="G123" s="103">
        <f>SUM(G124:G128)</f>
        <v>37411.75</v>
      </c>
      <c r="H123" s="62">
        <f t="shared" si="31"/>
        <v>49266.91</v>
      </c>
      <c r="I123" s="165">
        <f>SUM(I124:I128)</f>
        <v>11244.52</v>
      </c>
      <c r="J123" s="93">
        <f t="shared" si="32"/>
        <v>56372.09</v>
      </c>
      <c r="K123" s="166">
        <f t="shared" si="29"/>
        <v>56372.09</v>
      </c>
      <c r="L123" s="94">
        <f t="shared" si="30"/>
        <v>46.63704692395801</v>
      </c>
      <c r="N123" s="32">
        <v>11855.16</v>
      </c>
    </row>
    <row r="124" spans="1:14" s="16" customFormat="1" ht="13.5" customHeight="1" x14ac:dyDescent="0.2">
      <c r="A124" s="77">
        <v>261</v>
      </c>
      <c r="B124" s="167" t="s">
        <v>206</v>
      </c>
      <c r="C124" s="101">
        <v>5416</v>
      </c>
      <c r="D124" s="128">
        <v>21400</v>
      </c>
      <c r="E124" s="168">
        <f t="shared" si="28"/>
        <v>26816</v>
      </c>
      <c r="F124" s="104">
        <v>26816</v>
      </c>
      <c r="G124" s="105">
        <v>22786.720000000001</v>
      </c>
      <c r="H124" s="57">
        <f t="shared" si="31"/>
        <v>22786.720000000001</v>
      </c>
      <c r="I124" s="128">
        <v>0</v>
      </c>
      <c r="J124" s="57">
        <f t="shared" si="32"/>
        <v>4029.2799999999988</v>
      </c>
      <c r="K124" s="128">
        <f t="shared" si="29"/>
        <v>4029.2799999999988</v>
      </c>
      <c r="L124" s="96">
        <f t="shared" si="30"/>
        <v>84.974343675417657</v>
      </c>
      <c r="N124" s="32">
        <v>0</v>
      </c>
    </row>
    <row r="125" spans="1:14" s="16" customFormat="1" ht="13.5" customHeight="1" x14ac:dyDescent="0.2">
      <c r="A125" s="71" t="s">
        <v>207</v>
      </c>
      <c r="B125" s="169" t="s">
        <v>208</v>
      </c>
      <c r="C125" s="101">
        <v>19000</v>
      </c>
      <c r="D125" s="128">
        <v>7300</v>
      </c>
      <c r="E125" s="168">
        <f t="shared" si="28"/>
        <v>26300</v>
      </c>
      <c r="F125" s="106">
        <v>26300</v>
      </c>
      <c r="G125" s="107">
        <v>1570.17</v>
      </c>
      <c r="H125" s="57">
        <f t="shared" si="31"/>
        <v>7113.6</v>
      </c>
      <c r="I125" s="128">
        <v>910.88</v>
      </c>
      <c r="J125" s="57">
        <f t="shared" si="32"/>
        <v>19186.400000000001</v>
      </c>
      <c r="K125" s="128">
        <f t="shared" si="29"/>
        <v>19186.400000000001</v>
      </c>
      <c r="L125" s="96">
        <f t="shared" si="30"/>
        <v>27.047908745247149</v>
      </c>
      <c r="N125" s="32">
        <v>5543.43</v>
      </c>
    </row>
    <row r="126" spans="1:14" s="16" customFormat="1" ht="17.25" customHeight="1" x14ac:dyDescent="0.2">
      <c r="A126" s="71">
        <v>263</v>
      </c>
      <c r="B126" s="169" t="s">
        <v>301</v>
      </c>
      <c r="C126" s="101">
        <v>14518</v>
      </c>
      <c r="D126" s="128">
        <v>-3700</v>
      </c>
      <c r="E126" s="168">
        <f t="shared" si="28"/>
        <v>10818</v>
      </c>
      <c r="F126" s="104">
        <v>10818</v>
      </c>
      <c r="G126" s="105">
        <v>131.25</v>
      </c>
      <c r="H126" s="57">
        <f t="shared" si="31"/>
        <v>958.88</v>
      </c>
      <c r="I126" s="128">
        <v>4553.9399999999996</v>
      </c>
      <c r="J126" s="57">
        <f t="shared" si="32"/>
        <v>9859.1200000000008</v>
      </c>
      <c r="K126" s="128">
        <f t="shared" si="29"/>
        <v>9859.1200000000008</v>
      </c>
      <c r="L126" s="96">
        <f t="shared" si="30"/>
        <v>8.8637456091699018</v>
      </c>
      <c r="N126" s="32">
        <v>827.63</v>
      </c>
    </row>
    <row r="127" spans="1:14" s="16" customFormat="1" ht="17.25" customHeight="1" x14ac:dyDescent="0.2">
      <c r="A127" s="71" t="s">
        <v>209</v>
      </c>
      <c r="B127" s="173" t="s">
        <v>321</v>
      </c>
      <c r="C127" s="174">
        <v>6989</v>
      </c>
      <c r="D127" s="128">
        <v>11000</v>
      </c>
      <c r="E127" s="168">
        <f t="shared" si="28"/>
        <v>17989</v>
      </c>
      <c r="F127" s="104">
        <v>17989</v>
      </c>
      <c r="G127" s="105">
        <v>8943.85</v>
      </c>
      <c r="H127" s="57">
        <f t="shared" si="31"/>
        <v>10394.51</v>
      </c>
      <c r="I127" s="128">
        <v>1418.69</v>
      </c>
      <c r="J127" s="57">
        <f t="shared" si="32"/>
        <v>7594.49</v>
      </c>
      <c r="K127" s="128">
        <f t="shared" si="29"/>
        <v>7594.49</v>
      </c>
      <c r="L127" s="96">
        <f t="shared" si="30"/>
        <v>57.782589360164543</v>
      </c>
      <c r="N127" s="32">
        <v>1450.6599999999999</v>
      </c>
    </row>
    <row r="128" spans="1:14" s="16" customFormat="1" ht="15.75" customHeight="1" x14ac:dyDescent="0.2">
      <c r="A128" s="71" t="s">
        <v>210</v>
      </c>
      <c r="B128" s="173" t="s">
        <v>211</v>
      </c>
      <c r="C128" s="174">
        <v>19516</v>
      </c>
      <c r="D128" s="128">
        <v>4200</v>
      </c>
      <c r="E128" s="168">
        <f t="shared" si="28"/>
        <v>23716</v>
      </c>
      <c r="F128" s="104">
        <v>23716</v>
      </c>
      <c r="G128" s="105">
        <v>3979.76</v>
      </c>
      <c r="H128" s="57">
        <f t="shared" si="31"/>
        <v>8013.2</v>
      </c>
      <c r="I128" s="128">
        <v>4361.01</v>
      </c>
      <c r="J128" s="57">
        <f t="shared" si="32"/>
        <v>15702.8</v>
      </c>
      <c r="K128" s="128">
        <f t="shared" si="29"/>
        <v>15702.8</v>
      </c>
      <c r="L128" s="96">
        <f t="shared" si="30"/>
        <v>33.788159892055994</v>
      </c>
      <c r="N128" s="32">
        <v>4033.4399999999996</v>
      </c>
    </row>
    <row r="129" spans="1:14" s="16" customFormat="1" ht="20.25" customHeight="1" x14ac:dyDescent="0.2">
      <c r="A129" s="76" t="s">
        <v>212</v>
      </c>
      <c r="B129" s="175" t="s">
        <v>213</v>
      </c>
      <c r="C129" s="176">
        <f>SUM(C130:C137)</f>
        <v>337944</v>
      </c>
      <c r="D129" s="165">
        <f>SUM(D130:D137)</f>
        <v>42100</v>
      </c>
      <c r="E129" s="172">
        <f t="shared" si="28"/>
        <v>380044</v>
      </c>
      <c r="F129" s="102">
        <f>SUM(F130:F137)</f>
        <v>292073</v>
      </c>
      <c r="G129" s="102">
        <f>SUM(G130:G137)</f>
        <v>33188.340000000004</v>
      </c>
      <c r="H129" s="93">
        <f t="shared" si="31"/>
        <v>67780.790000000008</v>
      </c>
      <c r="I129" s="177">
        <f>SUM(I130:I137)</f>
        <v>18884.96</v>
      </c>
      <c r="J129" s="93">
        <f t="shared" si="32"/>
        <v>224292.21</v>
      </c>
      <c r="K129" s="166">
        <f t="shared" si="29"/>
        <v>312263.20999999996</v>
      </c>
      <c r="L129" s="94">
        <f t="shared" si="30"/>
        <v>23.206797615664581</v>
      </c>
      <c r="M129" s="2"/>
      <c r="N129" s="32">
        <v>34592.450000000004</v>
      </c>
    </row>
    <row r="130" spans="1:14" s="16" customFormat="1" ht="12.75" customHeight="1" x14ac:dyDescent="0.2">
      <c r="A130" s="71" t="s">
        <v>214</v>
      </c>
      <c r="B130" s="173" t="s">
        <v>215</v>
      </c>
      <c r="C130" s="174">
        <v>21608</v>
      </c>
      <c r="D130" s="128"/>
      <c r="E130" s="168">
        <f t="shared" si="28"/>
        <v>21608</v>
      </c>
      <c r="F130" s="104">
        <v>17991</v>
      </c>
      <c r="G130" s="105">
        <v>118.3</v>
      </c>
      <c r="H130" s="57">
        <f t="shared" si="31"/>
        <v>120.23</v>
      </c>
      <c r="I130" s="128">
        <v>16.899999999999999</v>
      </c>
      <c r="J130" s="57">
        <f t="shared" si="32"/>
        <v>17870.77</v>
      </c>
      <c r="K130" s="128">
        <f t="shared" si="29"/>
        <v>21487.77</v>
      </c>
      <c r="L130" s="96">
        <f t="shared" si="30"/>
        <v>0.66827858373631255</v>
      </c>
      <c r="N130" s="32">
        <v>1.93</v>
      </c>
    </row>
    <row r="131" spans="1:14" s="16" customFormat="1" ht="16.5" customHeight="1" x14ac:dyDescent="0.2">
      <c r="A131" s="71" t="s">
        <v>216</v>
      </c>
      <c r="B131" s="169" t="s">
        <v>217</v>
      </c>
      <c r="C131" s="101">
        <v>15661</v>
      </c>
      <c r="D131" s="101">
        <v>-5200</v>
      </c>
      <c r="E131" s="168">
        <f t="shared" si="28"/>
        <v>10461</v>
      </c>
      <c r="F131" s="104">
        <v>10461</v>
      </c>
      <c r="G131" s="105">
        <v>0</v>
      </c>
      <c r="H131" s="57">
        <f t="shared" si="31"/>
        <v>0</v>
      </c>
      <c r="I131" s="128">
        <v>0</v>
      </c>
      <c r="J131" s="57">
        <f t="shared" si="32"/>
        <v>10461</v>
      </c>
      <c r="K131" s="128">
        <f t="shared" si="29"/>
        <v>10461</v>
      </c>
      <c r="L131" s="96">
        <f t="shared" si="30"/>
        <v>0</v>
      </c>
      <c r="N131" s="32">
        <v>0</v>
      </c>
    </row>
    <row r="132" spans="1:14" s="16" customFormat="1" ht="13.5" customHeight="1" x14ac:dyDescent="0.2">
      <c r="A132" s="71" t="s">
        <v>218</v>
      </c>
      <c r="B132" s="169" t="s">
        <v>219</v>
      </c>
      <c r="C132" s="101">
        <v>50811</v>
      </c>
      <c r="D132" s="101">
        <v>8200</v>
      </c>
      <c r="E132" s="168">
        <f t="shared" si="28"/>
        <v>59011</v>
      </c>
      <c r="F132" s="104">
        <v>46977</v>
      </c>
      <c r="G132" s="105">
        <v>1164.1400000000001</v>
      </c>
      <c r="H132" s="57">
        <f t="shared" si="31"/>
        <v>12273.8</v>
      </c>
      <c r="I132" s="128">
        <v>2798.86</v>
      </c>
      <c r="J132" s="57">
        <f t="shared" si="32"/>
        <v>34703.199999999997</v>
      </c>
      <c r="K132" s="128">
        <f t="shared" si="29"/>
        <v>46737.2</v>
      </c>
      <c r="L132" s="96">
        <f t="shared" si="30"/>
        <v>26.127253762479512</v>
      </c>
      <c r="N132" s="32">
        <v>11109.66</v>
      </c>
    </row>
    <row r="133" spans="1:14" s="16" customFormat="1" ht="16.5" customHeight="1" x14ac:dyDescent="0.2">
      <c r="A133" s="71" t="s">
        <v>220</v>
      </c>
      <c r="B133" s="169" t="s">
        <v>221</v>
      </c>
      <c r="C133" s="101">
        <v>26341</v>
      </c>
      <c r="D133" s="101"/>
      <c r="E133" s="168">
        <f t="shared" si="28"/>
        <v>26341</v>
      </c>
      <c r="F133" s="104">
        <v>20341</v>
      </c>
      <c r="G133" s="105">
        <v>3676.39</v>
      </c>
      <c r="H133" s="57">
        <f t="shared" si="31"/>
        <v>5646.49</v>
      </c>
      <c r="I133" s="128">
        <v>1649.35</v>
      </c>
      <c r="J133" s="57">
        <f t="shared" si="32"/>
        <v>14694.51</v>
      </c>
      <c r="K133" s="128">
        <f t="shared" si="29"/>
        <v>20694.510000000002</v>
      </c>
      <c r="L133" s="96">
        <f t="shared" si="30"/>
        <v>27.75915638365862</v>
      </c>
      <c r="N133" s="32">
        <v>1970.1</v>
      </c>
    </row>
    <row r="134" spans="1:14" s="16" customFormat="1" ht="12.75" customHeight="1" x14ac:dyDescent="0.2">
      <c r="A134" s="71" t="s">
        <v>222</v>
      </c>
      <c r="B134" s="169" t="s">
        <v>223</v>
      </c>
      <c r="C134" s="101">
        <v>176122</v>
      </c>
      <c r="D134" s="128">
        <v>7000</v>
      </c>
      <c r="E134" s="168">
        <f t="shared" si="28"/>
        <v>183122</v>
      </c>
      <c r="F134" s="104">
        <v>128691</v>
      </c>
      <c r="G134" s="105">
        <v>1920.13</v>
      </c>
      <c r="H134" s="57">
        <f t="shared" si="31"/>
        <v>8589.91</v>
      </c>
      <c r="I134" s="128">
        <v>6925.48</v>
      </c>
      <c r="J134" s="57">
        <f t="shared" si="32"/>
        <v>120101.09</v>
      </c>
      <c r="K134" s="128">
        <f t="shared" si="29"/>
        <v>174532.09</v>
      </c>
      <c r="L134" s="96">
        <f t="shared" si="30"/>
        <v>6.6748335159412857</v>
      </c>
      <c r="N134" s="32">
        <v>6669.7799999999988</v>
      </c>
    </row>
    <row r="135" spans="1:14" s="16" customFormat="1" ht="15" customHeight="1" x14ac:dyDescent="0.2">
      <c r="A135" s="71">
        <v>277</v>
      </c>
      <c r="B135" s="169" t="s">
        <v>224</v>
      </c>
      <c r="C135" s="101">
        <v>2000</v>
      </c>
      <c r="D135" s="128">
        <v>2100</v>
      </c>
      <c r="E135" s="168">
        <f t="shared" si="28"/>
        <v>4100</v>
      </c>
      <c r="F135" s="104">
        <v>4100</v>
      </c>
      <c r="G135" s="105">
        <v>184.32</v>
      </c>
      <c r="H135" s="57">
        <f t="shared" si="31"/>
        <v>788.33999999999992</v>
      </c>
      <c r="I135" s="128">
        <v>604.02</v>
      </c>
      <c r="J135" s="57">
        <f t="shared" si="32"/>
        <v>3311.66</v>
      </c>
      <c r="K135" s="128">
        <f t="shared" si="29"/>
        <v>3311.66</v>
      </c>
      <c r="L135" s="96">
        <f t="shared" si="30"/>
        <v>19.227804878048776</v>
      </c>
      <c r="N135" s="32">
        <v>604.02</v>
      </c>
    </row>
    <row r="136" spans="1:14" s="16" customFormat="1" ht="15" customHeight="1" x14ac:dyDescent="0.2">
      <c r="A136" s="71">
        <v>278</v>
      </c>
      <c r="B136" s="169" t="s">
        <v>225</v>
      </c>
      <c r="C136" s="101">
        <v>1850</v>
      </c>
      <c r="D136" s="128"/>
      <c r="E136" s="168">
        <f t="shared" si="28"/>
        <v>1850</v>
      </c>
      <c r="F136" s="104">
        <v>1850</v>
      </c>
      <c r="G136" s="105"/>
      <c r="H136" s="57">
        <f t="shared" si="31"/>
        <v>0</v>
      </c>
      <c r="I136" s="128">
        <v>0</v>
      </c>
      <c r="J136" s="57">
        <f t="shared" si="32"/>
        <v>1850</v>
      </c>
      <c r="K136" s="128">
        <f t="shared" si="29"/>
        <v>1850</v>
      </c>
      <c r="L136" s="96">
        <f t="shared" si="30"/>
        <v>0</v>
      </c>
      <c r="N136" s="32">
        <v>0</v>
      </c>
    </row>
    <row r="137" spans="1:14" s="16" customFormat="1" ht="13.5" customHeight="1" x14ac:dyDescent="0.2">
      <c r="A137" s="71" t="s">
        <v>226</v>
      </c>
      <c r="B137" s="169" t="s">
        <v>227</v>
      </c>
      <c r="C137" s="101">
        <v>43551</v>
      </c>
      <c r="D137" s="128">
        <v>30000</v>
      </c>
      <c r="E137" s="168">
        <f t="shared" si="28"/>
        <v>73551</v>
      </c>
      <c r="F137" s="104">
        <v>61662</v>
      </c>
      <c r="G137" s="105">
        <v>26125.06</v>
      </c>
      <c r="H137" s="57">
        <f t="shared" si="31"/>
        <v>40362.020000000004</v>
      </c>
      <c r="I137" s="128">
        <v>6890.35</v>
      </c>
      <c r="J137" s="57">
        <f t="shared" si="32"/>
        <v>21299.979999999996</v>
      </c>
      <c r="K137" s="128">
        <f t="shared" si="29"/>
        <v>33188.979999999996</v>
      </c>
      <c r="L137" s="96">
        <f t="shared" si="30"/>
        <v>65.456877817780807</v>
      </c>
      <c r="N137" s="32">
        <v>14236.96</v>
      </c>
    </row>
    <row r="138" spans="1:14" s="16" customFormat="1" ht="16.5" customHeight="1" x14ac:dyDescent="0.2">
      <c r="A138" s="76" t="s">
        <v>228</v>
      </c>
      <c r="B138" s="165" t="s">
        <v>229</v>
      </c>
      <c r="C138" s="165">
        <v>163922</v>
      </c>
      <c r="D138" s="165">
        <v>7300</v>
      </c>
      <c r="E138" s="172">
        <f t="shared" si="28"/>
        <v>171222</v>
      </c>
      <c r="F138" s="108">
        <v>121957</v>
      </c>
      <c r="G138" s="102">
        <v>11312.11</v>
      </c>
      <c r="H138" s="62">
        <f t="shared" si="31"/>
        <v>29637.68</v>
      </c>
      <c r="I138" s="166">
        <v>14888.15</v>
      </c>
      <c r="J138" s="93">
        <f t="shared" si="32"/>
        <v>92319.32</v>
      </c>
      <c r="K138" s="166">
        <f t="shared" si="29"/>
        <v>141584.32000000001</v>
      </c>
      <c r="L138" s="94">
        <f t="shared" si="30"/>
        <v>24.301745697253949</v>
      </c>
      <c r="N138" s="32">
        <f>18328.57-3</f>
        <v>18325.57</v>
      </c>
    </row>
    <row r="139" spans="1:14" s="16" customFormat="1" ht="14.25" customHeight="1" x14ac:dyDescent="0.2">
      <c r="A139" s="78">
        <v>290</v>
      </c>
      <c r="B139" s="109" t="s">
        <v>230</v>
      </c>
      <c r="C139" s="110">
        <f>SUM(C140:C147)</f>
        <v>0</v>
      </c>
      <c r="D139" s="110">
        <f>SUM(D140:D148)</f>
        <v>78350</v>
      </c>
      <c r="E139" s="110">
        <f t="shared" ref="E139:E148" si="33">+C139+D139</f>
        <v>78350</v>
      </c>
      <c r="F139" s="110">
        <f>SUM(F140:F148)</f>
        <v>78350</v>
      </c>
      <c r="G139" s="110">
        <f>SUM(G140:G148)</f>
        <v>13254.619999999999</v>
      </c>
      <c r="H139" s="62">
        <f t="shared" si="31"/>
        <v>63600.039999999994</v>
      </c>
      <c r="I139" s="110">
        <f>SUM(I140:I148)</f>
        <v>48133.87</v>
      </c>
      <c r="J139" s="62">
        <f t="shared" si="32"/>
        <v>14749.960000000006</v>
      </c>
      <c r="K139" s="111">
        <f t="shared" si="29"/>
        <v>14749.960000000006</v>
      </c>
      <c r="L139" s="112">
        <f t="shared" si="30"/>
        <v>81.17426930440331</v>
      </c>
      <c r="N139" s="32">
        <f>50140.42+205</f>
        <v>50345.42</v>
      </c>
    </row>
    <row r="140" spans="1:14" ht="16.5" customHeight="1" x14ac:dyDescent="0.2">
      <c r="A140" s="71">
        <v>291</v>
      </c>
      <c r="B140" s="113" t="s">
        <v>231</v>
      </c>
      <c r="C140" s="110"/>
      <c r="D140" s="114">
        <v>6000</v>
      </c>
      <c r="E140" s="114">
        <f t="shared" si="33"/>
        <v>6000</v>
      </c>
      <c r="F140" s="115">
        <v>6000</v>
      </c>
      <c r="G140" s="115">
        <v>95</v>
      </c>
      <c r="H140" s="115">
        <f t="shared" si="31"/>
        <v>1379</v>
      </c>
      <c r="I140" s="115">
        <v>1135</v>
      </c>
      <c r="J140" s="57">
        <f t="shared" si="32"/>
        <v>4621</v>
      </c>
      <c r="K140" s="115">
        <f t="shared" si="29"/>
        <v>4621</v>
      </c>
      <c r="L140" s="116">
        <f t="shared" si="30"/>
        <v>22.983333333333334</v>
      </c>
      <c r="N140" s="31">
        <f>1079.5+204.5</f>
        <v>1284</v>
      </c>
    </row>
    <row r="141" spans="1:14" ht="18.75" customHeight="1" x14ac:dyDescent="0.2">
      <c r="A141" s="79">
        <v>292</v>
      </c>
      <c r="B141" s="113" t="s">
        <v>306</v>
      </c>
      <c r="C141" s="117"/>
      <c r="D141" s="114">
        <v>1600</v>
      </c>
      <c r="E141" s="114">
        <f t="shared" si="33"/>
        <v>1600</v>
      </c>
      <c r="F141" s="115">
        <v>1600</v>
      </c>
      <c r="G141" s="115">
        <v>191.53</v>
      </c>
      <c r="H141" s="115">
        <f t="shared" si="31"/>
        <v>1531.71</v>
      </c>
      <c r="I141" s="117">
        <v>1340.18</v>
      </c>
      <c r="J141" s="57">
        <f t="shared" si="32"/>
        <v>68.289999999999964</v>
      </c>
      <c r="K141" s="115">
        <f t="shared" si="29"/>
        <v>68.289999999999964</v>
      </c>
      <c r="L141" s="116">
        <f t="shared" si="30"/>
        <v>95.731875000000002</v>
      </c>
      <c r="N141" s="31">
        <v>1340.18</v>
      </c>
    </row>
    <row r="142" spans="1:14" ht="21" customHeight="1" x14ac:dyDescent="0.2">
      <c r="A142" s="71">
        <v>293</v>
      </c>
      <c r="B142" s="113" t="s">
        <v>232</v>
      </c>
      <c r="C142" s="114"/>
      <c r="D142" s="114">
        <v>1700</v>
      </c>
      <c r="E142" s="114">
        <f t="shared" si="33"/>
        <v>1700</v>
      </c>
      <c r="F142" s="115">
        <v>1700</v>
      </c>
      <c r="G142" s="115">
        <v>0</v>
      </c>
      <c r="H142" s="115">
        <f t="shared" si="31"/>
        <v>42.59</v>
      </c>
      <c r="I142" s="115">
        <v>42.59</v>
      </c>
      <c r="J142" s="57">
        <f t="shared" si="32"/>
        <v>1657.41</v>
      </c>
      <c r="K142" s="115">
        <f t="shared" si="29"/>
        <v>1657.41</v>
      </c>
      <c r="L142" s="116">
        <f t="shared" si="30"/>
        <v>2.5052941176470589</v>
      </c>
      <c r="N142" s="31">
        <v>42.59</v>
      </c>
    </row>
    <row r="143" spans="1:14" ht="21" customHeight="1" x14ac:dyDescent="0.2">
      <c r="A143" s="71">
        <v>294</v>
      </c>
      <c r="B143" s="113" t="s">
        <v>350</v>
      </c>
      <c r="C143" s="114"/>
      <c r="D143" s="114">
        <v>700</v>
      </c>
      <c r="E143" s="114">
        <f t="shared" si="33"/>
        <v>700</v>
      </c>
      <c r="F143" s="115">
        <v>700</v>
      </c>
      <c r="G143" s="115">
        <v>457</v>
      </c>
      <c r="H143" s="115">
        <f t="shared" si="31"/>
        <v>457</v>
      </c>
      <c r="I143" s="115">
        <v>457</v>
      </c>
      <c r="J143" s="57">
        <f t="shared" si="32"/>
        <v>243</v>
      </c>
      <c r="K143" s="115">
        <f t="shared" si="29"/>
        <v>243</v>
      </c>
      <c r="L143" s="116">
        <f t="shared" si="30"/>
        <v>65.285714285714292</v>
      </c>
      <c r="N143" s="31">
        <v>0</v>
      </c>
    </row>
    <row r="144" spans="1:14" ht="19.5" customHeight="1" x14ac:dyDescent="0.2">
      <c r="A144" s="77">
        <v>295</v>
      </c>
      <c r="B144" s="118" t="s">
        <v>319</v>
      </c>
      <c r="C144" s="110"/>
      <c r="D144" s="114">
        <v>8300</v>
      </c>
      <c r="E144" s="114">
        <f t="shared" si="33"/>
        <v>8300</v>
      </c>
      <c r="F144" s="115">
        <v>8300</v>
      </c>
      <c r="G144" s="115">
        <v>321</v>
      </c>
      <c r="H144" s="115">
        <f t="shared" si="31"/>
        <v>5587.77</v>
      </c>
      <c r="I144" s="115">
        <v>4880.6000000000004</v>
      </c>
      <c r="J144" s="57">
        <f t="shared" si="32"/>
        <v>2712.2299999999996</v>
      </c>
      <c r="K144" s="115">
        <f t="shared" si="29"/>
        <v>2712.2299999999996</v>
      </c>
      <c r="L144" s="116">
        <f t="shared" si="30"/>
        <v>67.322530120481929</v>
      </c>
      <c r="N144" s="31">
        <v>5266.77</v>
      </c>
    </row>
    <row r="145" spans="1:14" ht="17.25" customHeight="1" x14ac:dyDescent="0.2">
      <c r="A145" s="71">
        <v>296</v>
      </c>
      <c r="B145" s="113" t="s">
        <v>311</v>
      </c>
      <c r="C145" s="114"/>
      <c r="D145" s="114">
        <v>38600</v>
      </c>
      <c r="E145" s="114">
        <f t="shared" si="33"/>
        <v>38600</v>
      </c>
      <c r="F145" s="115">
        <v>38600</v>
      </c>
      <c r="G145" s="115">
        <v>6902.95</v>
      </c>
      <c r="H145" s="115">
        <f t="shared" si="31"/>
        <v>34535.74</v>
      </c>
      <c r="I145" s="115">
        <v>23343.32</v>
      </c>
      <c r="J145" s="57">
        <f t="shared" si="32"/>
        <v>4064.260000000002</v>
      </c>
      <c r="K145" s="115">
        <f t="shared" si="29"/>
        <v>4064.260000000002</v>
      </c>
      <c r="L145" s="116">
        <f t="shared" si="30"/>
        <v>89.470829015544041</v>
      </c>
      <c r="N145" s="31">
        <v>27632.79</v>
      </c>
    </row>
    <row r="146" spans="1:14" ht="16.5" customHeight="1" x14ac:dyDescent="0.2">
      <c r="A146" s="77">
        <v>297</v>
      </c>
      <c r="B146" s="118" t="s">
        <v>233</v>
      </c>
      <c r="C146" s="110"/>
      <c r="D146" s="114">
        <v>6650</v>
      </c>
      <c r="E146" s="114">
        <f t="shared" si="33"/>
        <v>6650</v>
      </c>
      <c r="F146" s="115">
        <v>6650</v>
      </c>
      <c r="G146" s="115">
        <v>514.19000000000005</v>
      </c>
      <c r="H146" s="119">
        <f>+N146+G146-404</f>
        <v>6456.43</v>
      </c>
      <c r="I146" s="115">
        <v>5032.74</v>
      </c>
      <c r="J146" s="57">
        <f t="shared" si="32"/>
        <v>193.56999999999971</v>
      </c>
      <c r="K146" s="115">
        <f t="shared" si="29"/>
        <v>193.56999999999971</v>
      </c>
      <c r="L146" s="116">
        <f t="shared" si="30"/>
        <v>97.089172932330825</v>
      </c>
      <c r="N146" s="31">
        <f>5946.24+400</f>
        <v>6346.24</v>
      </c>
    </row>
    <row r="147" spans="1:14" ht="14.25" customHeight="1" x14ac:dyDescent="0.2">
      <c r="A147" s="77">
        <v>298</v>
      </c>
      <c r="B147" s="118" t="s">
        <v>234</v>
      </c>
      <c r="C147" s="110"/>
      <c r="D147" s="114">
        <v>7100</v>
      </c>
      <c r="E147" s="114">
        <f t="shared" si="33"/>
        <v>7100</v>
      </c>
      <c r="F147" s="115">
        <v>7100</v>
      </c>
      <c r="G147" s="115">
        <v>1428.66</v>
      </c>
      <c r="H147" s="115">
        <f t="shared" si="31"/>
        <v>6499.65</v>
      </c>
      <c r="I147" s="115">
        <v>4793.79</v>
      </c>
      <c r="J147" s="57">
        <f t="shared" si="32"/>
        <v>600.35000000000036</v>
      </c>
      <c r="K147" s="115">
        <f t="shared" si="29"/>
        <v>600.35000000000036</v>
      </c>
      <c r="L147" s="116">
        <f t="shared" si="30"/>
        <v>91.544366197183095</v>
      </c>
      <c r="N147" s="31">
        <f>5070.99</f>
        <v>5070.99</v>
      </c>
    </row>
    <row r="148" spans="1:14" ht="17.25" customHeight="1" thickBot="1" x14ac:dyDescent="0.25">
      <c r="A148" s="80">
        <v>299</v>
      </c>
      <c r="B148" s="118" t="s">
        <v>292</v>
      </c>
      <c r="C148" s="110"/>
      <c r="D148" s="114">
        <v>7700</v>
      </c>
      <c r="E148" s="114">
        <f t="shared" si="33"/>
        <v>7700</v>
      </c>
      <c r="F148" s="115">
        <v>7700</v>
      </c>
      <c r="G148" s="115">
        <v>3344.29</v>
      </c>
      <c r="H148" s="115">
        <f t="shared" si="31"/>
        <v>7108.65</v>
      </c>
      <c r="I148" s="115">
        <v>7108.65</v>
      </c>
      <c r="J148" s="57">
        <f t="shared" si="32"/>
        <v>591.35000000000036</v>
      </c>
      <c r="K148" s="115">
        <f t="shared" si="29"/>
        <v>591.35000000000036</v>
      </c>
      <c r="L148" s="116">
        <f t="shared" si="30"/>
        <v>92.320129870129875</v>
      </c>
      <c r="N148" s="31">
        <v>3764.36</v>
      </c>
    </row>
    <row r="149" spans="1:14" ht="20.25" customHeight="1" thickBot="1" x14ac:dyDescent="0.25">
      <c r="A149" s="147" t="s">
        <v>235</v>
      </c>
      <c r="B149" s="148" t="s">
        <v>236</v>
      </c>
      <c r="C149" s="149">
        <f>+C150+C158+C166+C167+C168+C162+C163+C165</f>
        <v>0</v>
      </c>
      <c r="D149" s="149">
        <f>D150+D158+D162+D163+D167+D168+D169</f>
        <v>84780</v>
      </c>
      <c r="E149" s="149">
        <f>SUM(C149:D149)</f>
        <v>84780</v>
      </c>
      <c r="F149" s="149">
        <f>F150+F158+F162+F163+F167+F168+F169</f>
        <v>84780</v>
      </c>
      <c r="G149" s="149">
        <f>G150+G158+G162+G163+G167+G168+G169</f>
        <v>16772.509999999998</v>
      </c>
      <c r="H149" s="150">
        <f>+H150+H158+H162+H163+H165+H166+H167+H168+H169</f>
        <v>34241.43</v>
      </c>
      <c r="I149" s="149">
        <f>I150+I158+I162+I163+I167+I168+I169</f>
        <v>10217.450000000001</v>
      </c>
      <c r="J149" s="151">
        <f t="shared" si="32"/>
        <v>50538.57</v>
      </c>
      <c r="K149" s="150">
        <f t="shared" si="29"/>
        <v>50538.57</v>
      </c>
      <c r="L149" s="152">
        <f t="shared" si="30"/>
        <v>40.388570417551307</v>
      </c>
      <c r="N149" s="31">
        <v>17468.919999999998</v>
      </c>
    </row>
    <row r="150" spans="1:14" ht="18" customHeight="1" x14ac:dyDescent="0.2">
      <c r="A150" s="78">
        <v>300</v>
      </c>
      <c r="B150" s="120" t="s">
        <v>237</v>
      </c>
      <c r="C150" s="111">
        <f>SUM(C151:C156)</f>
        <v>0</v>
      </c>
      <c r="D150" s="111">
        <f>SUM(D151:D156)</f>
        <v>31400</v>
      </c>
      <c r="E150" s="110">
        <f t="shared" ref="E150:E173" si="34">+C150+D150</f>
        <v>31400</v>
      </c>
      <c r="F150" s="111">
        <f>SUM(F151:F156)</f>
        <v>31400</v>
      </c>
      <c r="G150" s="111">
        <f>SUM(G151)</f>
        <v>0</v>
      </c>
      <c r="H150" s="111">
        <f>+N150+G150</f>
        <v>53.46</v>
      </c>
      <c r="I150" s="111">
        <f>SUM(I151)</f>
        <v>53.46</v>
      </c>
      <c r="J150" s="62">
        <f t="shared" si="32"/>
        <v>31346.54</v>
      </c>
      <c r="K150" s="111">
        <f t="shared" si="29"/>
        <v>31346.54</v>
      </c>
      <c r="L150" s="121">
        <f t="shared" si="30"/>
        <v>0.1702547770700637</v>
      </c>
      <c r="N150" s="31">
        <v>53.46</v>
      </c>
    </row>
    <row r="151" spans="1:14" ht="17.25" customHeight="1" x14ac:dyDescent="0.2">
      <c r="A151" s="77">
        <v>301</v>
      </c>
      <c r="B151" s="113" t="s">
        <v>360</v>
      </c>
      <c r="C151" s="114"/>
      <c r="D151" s="114">
        <v>100</v>
      </c>
      <c r="E151" s="114">
        <f t="shared" si="34"/>
        <v>100</v>
      </c>
      <c r="F151" s="115">
        <v>100</v>
      </c>
      <c r="G151" s="115">
        <v>0</v>
      </c>
      <c r="H151" s="115">
        <f>+N151+G151</f>
        <v>53.46</v>
      </c>
      <c r="I151" s="115">
        <v>53.46</v>
      </c>
      <c r="J151" s="57">
        <f t="shared" si="32"/>
        <v>46.54</v>
      </c>
      <c r="K151" s="115">
        <f t="shared" si="29"/>
        <v>46.54</v>
      </c>
      <c r="L151" s="121">
        <f t="shared" si="30"/>
        <v>53.46</v>
      </c>
      <c r="N151" s="31">
        <v>53.46</v>
      </c>
    </row>
    <row r="152" spans="1:14" ht="17.25" customHeight="1" x14ac:dyDescent="0.2">
      <c r="A152" s="77">
        <v>303</v>
      </c>
      <c r="B152" s="113" t="s">
        <v>359</v>
      </c>
      <c r="C152" s="114"/>
      <c r="D152" s="114">
        <v>300</v>
      </c>
      <c r="E152" s="114">
        <f t="shared" si="34"/>
        <v>300</v>
      </c>
      <c r="F152" s="115">
        <v>300</v>
      </c>
      <c r="G152" s="115"/>
      <c r="H152" s="115"/>
      <c r="I152" s="115"/>
      <c r="J152" s="57">
        <f t="shared" si="32"/>
        <v>300</v>
      </c>
      <c r="K152" s="115">
        <f t="shared" si="29"/>
        <v>300</v>
      </c>
      <c r="L152" s="121">
        <f t="shared" si="30"/>
        <v>0</v>
      </c>
      <c r="N152" s="31"/>
    </row>
    <row r="153" spans="1:14" ht="12.75" customHeight="1" x14ac:dyDescent="0.2">
      <c r="A153" s="77">
        <v>304</v>
      </c>
      <c r="B153" s="113" t="s">
        <v>351</v>
      </c>
      <c r="C153" s="114"/>
      <c r="D153" s="114">
        <v>30000</v>
      </c>
      <c r="E153" s="114">
        <f t="shared" si="34"/>
        <v>30000</v>
      </c>
      <c r="F153" s="115">
        <v>30000</v>
      </c>
      <c r="G153" s="115"/>
      <c r="H153" s="115">
        <f t="shared" ref="H153:H168" si="35">+N153+G153</f>
        <v>0</v>
      </c>
      <c r="I153" s="115"/>
      <c r="J153" s="57">
        <f t="shared" si="32"/>
        <v>30000</v>
      </c>
      <c r="K153" s="115">
        <f t="shared" ref="K153:K184" si="36">+E153-H153</f>
        <v>30000</v>
      </c>
      <c r="L153" s="121">
        <f t="shared" si="30"/>
        <v>0</v>
      </c>
      <c r="N153" s="31">
        <v>0</v>
      </c>
    </row>
    <row r="154" spans="1:14" ht="14.25" hidden="1" customHeight="1" x14ac:dyDescent="0.2">
      <c r="A154" s="77">
        <v>305</v>
      </c>
      <c r="B154" s="113" t="s">
        <v>302</v>
      </c>
      <c r="C154" s="114">
        <v>0</v>
      </c>
      <c r="D154" s="114"/>
      <c r="E154" s="114">
        <f t="shared" si="34"/>
        <v>0</v>
      </c>
      <c r="F154" s="115"/>
      <c r="G154" s="115"/>
      <c r="H154" s="115">
        <f t="shared" si="35"/>
        <v>0</v>
      </c>
      <c r="I154" s="115"/>
      <c r="J154" s="57">
        <f t="shared" ref="J154:J185" si="37">+F154-H154</f>
        <v>0</v>
      </c>
      <c r="K154" s="115">
        <f t="shared" si="36"/>
        <v>0</v>
      </c>
      <c r="L154" s="121" t="e">
        <f t="shared" si="30"/>
        <v>#DIV/0!</v>
      </c>
      <c r="N154" s="31">
        <v>0</v>
      </c>
    </row>
    <row r="155" spans="1:14" ht="6" hidden="1" customHeight="1" x14ac:dyDescent="0.2">
      <c r="A155" s="77">
        <v>307</v>
      </c>
      <c r="B155" s="113" t="s">
        <v>340</v>
      </c>
      <c r="C155" s="114"/>
      <c r="D155" s="114"/>
      <c r="E155" s="114">
        <f t="shared" si="34"/>
        <v>0</v>
      </c>
      <c r="F155" s="115"/>
      <c r="G155" s="115"/>
      <c r="H155" s="115">
        <f t="shared" si="35"/>
        <v>0</v>
      </c>
      <c r="I155" s="115"/>
      <c r="J155" s="57">
        <f t="shared" si="37"/>
        <v>0</v>
      </c>
      <c r="K155" s="115">
        <f t="shared" si="36"/>
        <v>0</v>
      </c>
      <c r="L155" s="121" t="e">
        <f t="shared" si="30"/>
        <v>#DIV/0!</v>
      </c>
      <c r="N155" s="31">
        <v>0</v>
      </c>
    </row>
    <row r="156" spans="1:14" ht="15" customHeight="1" x14ac:dyDescent="0.2">
      <c r="A156" s="77">
        <v>308</v>
      </c>
      <c r="B156" s="113" t="s">
        <v>286</v>
      </c>
      <c r="C156" s="114"/>
      <c r="D156" s="114">
        <v>1000</v>
      </c>
      <c r="E156" s="114">
        <f t="shared" si="34"/>
        <v>1000</v>
      </c>
      <c r="F156" s="115">
        <v>1000</v>
      </c>
      <c r="G156" s="115"/>
      <c r="H156" s="115">
        <f t="shared" si="35"/>
        <v>0</v>
      </c>
      <c r="I156" s="115"/>
      <c r="J156" s="57">
        <f t="shared" si="37"/>
        <v>1000</v>
      </c>
      <c r="K156" s="115">
        <f t="shared" si="36"/>
        <v>1000</v>
      </c>
      <c r="L156" s="121">
        <f t="shared" si="30"/>
        <v>0</v>
      </c>
      <c r="N156" s="31">
        <v>0</v>
      </c>
    </row>
    <row r="157" spans="1:14" ht="0.75" customHeight="1" x14ac:dyDescent="0.2">
      <c r="A157" s="77">
        <v>309</v>
      </c>
      <c r="B157" s="113" t="s">
        <v>242</v>
      </c>
      <c r="C157" s="114"/>
      <c r="D157" s="114"/>
      <c r="E157" s="114">
        <f t="shared" si="34"/>
        <v>0</v>
      </c>
      <c r="F157" s="115"/>
      <c r="G157" s="115"/>
      <c r="H157" s="115">
        <f t="shared" si="35"/>
        <v>0</v>
      </c>
      <c r="I157" s="115"/>
      <c r="J157" s="57">
        <f t="shared" si="37"/>
        <v>0</v>
      </c>
      <c r="K157" s="115">
        <f t="shared" si="36"/>
        <v>0</v>
      </c>
      <c r="L157" s="121" t="e">
        <f t="shared" si="30"/>
        <v>#DIV/0!</v>
      </c>
      <c r="N157" s="31">
        <v>0</v>
      </c>
    </row>
    <row r="158" spans="1:14" ht="12.75" customHeight="1" x14ac:dyDescent="0.2">
      <c r="A158" s="78">
        <v>310</v>
      </c>
      <c r="B158" s="120" t="s">
        <v>238</v>
      </c>
      <c r="C158" s="110">
        <f>+C159+C160+C161</f>
        <v>0</v>
      </c>
      <c r="D158" s="110"/>
      <c r="E158" s="110">
        <f t="shared" si="34"/>
        <v>0</v>
      </c>
      <c r="F158" s="110"/>
      <c r="G158" s="110"/>
      <c r="H158" s="111">
        <f t="shared" si="35"/>
        <v>0</v>
      </c>
      <c r="I158" s="110"/>
      <c r="J158" s="57">
        <f t="shared" si="37"/>
        <v>0</v>
      </c>
      <c r="K158" s="111">
        <f t="shared" si="36"/>
        <v>0</v>
      </c>
      <c r="L158" s="121" t="s">
        <v>4</v>
      </c>
      <c r="N158" s="31">
        <v>0</v>
      </c>
    </row>
    <row r="159" spans="1:14" ht="13.5" hidden="1" customHeight="1" x14ac:dyDescent="0.2">
      <c r="A159" s="77">
        <v>313</v>
      </c>
      <c r="B159" s="113" t="s">
        <v>295</v>
      </c>
      <c r="C159" s="114"/>
      <c r="D159" s="114"/>
      <c r="E159" s="114">
        <f t="shared" si="34"/>
        <v>0</v>
      </c>
      <c r="F159" s="114"/>
      <c r="G159" s="115"/>
      <c r="H159" s="115">
        <f t="shared" si="35"/>
        <v>0</v>
      </c>
      <c r="I159" s="115"/>
      <c r="J159" s="57">
        <f t="shared" si="37"/>
        <v>0</v>
      </c>
      <c r="K159" s="115">
        <f t="shared" si="36"/>
        <v>0</v>
      </c>
      <c r="L159" s="121" t="e">
        <f>+H159*100/F159</f>
        <v>#DIV/0!</v>
      </c>
      <c r="N159" s="31">
        <v>0</v>
      </c>
    </row>
    <row r="160" spans="1:14" ht="15" hidden="1" customHeight="1" x14ac:dyDescent="0.2">
      <c r="A160" s="77">
        <v>314</v>
      </c>
      <c r="B160" s="113" t="s">
        <v>296</v>
      </c>
      <c r="C160" s="114">
        <v>0</v>
      </c>
      <c r="D160" s="114"/>
      <c r="E160" s="114">
        <f t="shared" si="34"/>
        <v>0</v>
      </c>
      <c r="F160" s="114"/>
      <c r="G160" s="115"/>
      <c r="H160" s="115">
        <f t="shared" si="35"/>
        <v>0</v>
      </c>
      <c r="I160" s="115"/>
      <c r="J160" s="57">
        <f t="shared" si="37"/>
        <v>0</v>
      </c>
      <c r="K160" s="115">
        <f t="shared" si="36"/>
        <v>0</v>
      </c>
      <c r="L160" s="121" t="e">
        <f>+H160*100/F160</f>
        <v>#DIV/0!</v>
      </c>
      <c r="N160" s="31">
        <v>0</v>
      </c>
    </row>
    <row r="161" spans="1:14" ht="15" hidden="1" customHeight="1" x14ac:dyDescent="0.2">
      <c r="A161" s="77">
        <v>319</v>
      </c>
      <c r="B161" s="113" t="s">
        <v>278</v>
      </c>
      <c r="C161" s="114"/>
      <c r="D161" s="114"/>
      <c r="E161" s="114">
        <f t="shared" si="34"/>
        <v>0</v>
      </c>
      <c r="F161" s="114"/>
      <c r="G161" s="115"/>
      <c r="H161" s="115">
        <f t="shared" si="35"/>
        <v>0</v>
      </c>
      <c r="I161" s="115"/>
      <c r="J161" s="57">
        <f t="shared" si="37"/>
        <v>0</v>
      </c>
      <c r="K161" s="115">
        <f t="shared" si="36"/>
        <v>0</v>
      </c>
      <c r="L161" s="121" t="e">
        <f>+H161*100/F161</f>
        <v>#DIV/0!</v>
      </c>
      <c r="N161" s="31">
        <v>0</v>
      </c>
    </row>
    <row r="162" spans="1:14" ht="14.25" customHeight="1" x14ac:dyDescent="0.2">
      <c r="A162" s="78">
        <v>320</v>
      </c>
      <c r="B162" s="109" t="s">
        <v>239</v>
      </c>
      <c r="C162" s="110">
        <v>0</v>
      </c>
      <c r="D162" s="110"/>
      <c r="E162" s="110">
        <f t="shared" si="34"/>
        <v>0</v>
      </c>
      <c r="F162" s="111"/>
      <c r="G162" s="111"/>
      <c r="H162" s="111">
        <f t="shared" si="35"/>
        <v>0</v>
      </c>
      <c r="I162" s="111"/>
      <c r="J162" s="62">
        <f t="shared" si="37"/>
        <v>0</v>
      </c>
      <c r="K162" s="111">
        <f t="shared" si="36"/>
        <v>0</v>
      </c>
      <c r="L162" s="121"/>
      <c r="N162" s="31">
        <v>0</v>
      </c>
    </row>
    <row r="163" spans="1:14" ht="15.75" customHeight="1" x14ac:dyDescent="0.2">
      <c r="A163" s="78">
        <v>330</v>
      </c>
      <c r="B163" s="109" t="s">
        <v>352</v>
      </c>
      <c r="C163" s="110">
        <v>0</v>
      </c>
      <c r="D163" s="110">
        <f>SUM(D164)</f>
        <v>480</v>
      </c>
      <c r="E163" s="110">
        <f>SUM(E164)</f>
        <v>480</v>
      </c>
      <c r="F163" s="111">
        <f>SUM(F164)</f>
        <v>480</v>
      </c>
      <c r="G163" s="111">
        <f>G164</f>
        <v>0</v>
      </c>
      <c r="H163" s="111">
        <f t="shared" si="35"/>
        <v>472.94</v>
      </c>
      <c r="I163" s="111"/>
      <c r="J163" s="62">
        <f t="shared" si="37"/>
        <v>7.0600000000000023</v>
      </c>
      <c r="K163" s="111">
        <f t="shared" si="36"/>
        <v>7.0600000000000023</v>
      </c>
      <c r="L163" s="121">
        <f>+H163*100/F163</f>
        <v>98.529166666666669</v>
      </c>
      <c r="N163" s="31">
        <v>472.94</v>
      </c>
    </row>
    <row r="164" spans="1:14" ht="15.75" customHeight="1" x14ac:dyDescent="0.2">
      <c r="A164" s="77">
        <v>332</v>
      </c>
      <c r="B164" s="118" t="s">
        <v>240</v>
      </c>
      <c r="C164" s="110"/>
      <c r="D164" s="114">
        <v>480</v>
      </c>
      <c r="E164" s="114">
        <f t="shared" si="34"/>
        <v>480</v>
      </c>
      <c r="F164" s="115">
        <v>480</v>
      </c>
      <c r="G164" s="111">
        <v>0</v>
      </c>
      <c r="H164" s="111">
        <f t="shared" si="35"/>
        <v>472.94</v>
      </c>
      <c r="I164" s="111"/>
      <c r="J164" s="57">
        <f t="shared" si="37"/>
        <v>7.0600000000000023</v>
      </c>
      <c r="K164" s="115">
        <f t="shared" si="36"/>
        <v>7.0600000000000023</v>
      </c>
      <c r="L164" s="133">
        <f>+H164*100/F164</f>
        <v>98.529166666666669</v>
      </c>
      <c r="N164" s="31">
        <v>472.94</v>
      </c>
    </row>
    <row r="165" spans="1:14" ht="14.25" customHeight="1" x14ac:dyDescent="0.2">
      <c r="A165" s="78">
        <v>340</v>
      </c>
      <c r="B165" s="109" t="s">
        <v>89</v>
      </c>
      <c r="C165" s="110">
        <v>0</v>
      </c>
      <c r="D165" s="110"/>
      <c r="E165" s="110"/>
      <c r="F165" s="111"/>
      <c r="G165" s="111"/>
      <c r="H165" s="111">
        <f t="shared" si="35"/>
        <v>0</v>
      </c>
      <c r="I165" s="111"/>
      <c r="J165" s="62">
        <f t="shared" si="37"/>
        <v>0</v>
      </c>
      <c r="K165" s="111">
        <f t="shared" si="36"/>
        <v>0</v>
      </c>
      <c r="L165" s="121"/>
      <c r="N165" s="31">
        <v>0</v>
      </c>
    </row>
    <row r="166" spans="1:14" ht="14.25" customHeight="1" x14ac:dyDescent="0.2">
      <c r="A166" s="78">
        <v>350</v>
      </c>
      <c r="B166" s="109" t="s">
        <v>241</v>
      </c>
      <c r="C166" s="110">
        <v>0</v>
      </c>
      <c r="D166" s="110"/>
      <c r="E166" s="110">
        <f t="shared" si="34"/>
        <v>0</v>
      </c>
      <c r="F166" s="111"/>
      <c r="G166" s="111"/>
      <c r="H166" s="111">
        <f t="shared" si="35"/>
        <v>0</v>
      </c>
      <c r="I166" s="111"/>
      <c r="J166" s="62">
        <f t="shared" si="37"/>
        <v>0</v>
      </c>
      <c r="K166" s="111">
        <f t="shared" si="36"/>
        <v>0</v>
      </c>
      <c r="L166" s="121"/>
      <c r="N166" s="31">
        <v>0</v>
      </c>
    </row>
    <row r="167" spans="1:14" ht="13.5" customHeight="1" x14ac:dyDescent="0.2">
      <c r="A167" s="78">
        <v>370</v>
      </c>
      <c r="B167" s="109" t="s">
        <v>242</v>
      </c>
      <c r="C167" s="110">
        <v>0</v>
      </c>
      <c r="D167" s="110">
        <v>26300</v>
      </c>
      <c r="E167" s="110">
        <f t="shared" si="34"/>
        <v>26300</v>
      </c>
      <c r="F167" s="111">
        <v>26300</v>
      </c>
      <c r="G167" s="111">
        <v>12080.71</v>
      </c>
      <c r="H167" s="111">
        <f t="shared" si="35"/>
        <v>13655.59</v>
      </c>
      <c r="I167" s="111">
        <v>588.5</v>
      </c>
      <c r="J167" s="62">
        <f t="shared" si="37"/>
        <v>12644.41</v>
      </c>
      <c r="K167" s="111">
        <f t="shared" si="36"/>
        <v>12644.41</v>
      </c>
      <c r="L167" s="121">
        <f>+H167*100/F167</f>
        <v>51.92239543726236</v>
      </c>
      <c r="N167" s="31">
        <v>1574.88</v>
      </c>
    </row>
    <row r="168" spans="1:14" ht="13.5" customHeight="1" x14ac:dyDescent="0.2">
      <c r="A168" s="78">
        <v>380</v>
      </c>
      <c r="B168" s="109" t="s">
        <v>243</v>
      </c>
      <c r="C168" s="110"/>
      <c r="D168" s="110">
        <v>3000</v>
      </c>
      <c r="E168" s="110">
        <f t="shared" si="34"/>
        <v>3000</v>
      </c>
      <c r="F168" s="111">
        <v>3000</v>
      </c>
      <c r="G168" s="111">
        <v>1653.85</v>
      </c>
      <c r="H168" s="111">
        <f t="shared" si="35"/>
        <v>1653.85</v>
      </c>
      <c r="I168" s="111"/>
      <c r="J168" s="62">
        <f t="shared" si="37"/>
        <v>1346.15</v>
      </c>
      <c r="K168" s="111">
        <f t="shared" si="36"/>
        <v>1346.15</v>
      </c>
      <c r="L168" s="121">
        <f>+H168*100/F168</f>
        <v>55.12833333333333</v>
      </c>
      <c r="N168" s="31">
        <v>0</v>
      </c>
    </row>
    <row r="169" spans="1:14" ht="12.75" customHeight="1" x14ac:dyDescent="0.2">
      <c r="A169" s="78">
        <v>390</v>
      </c>
      <c r="B169" s="109" t="s">
        <v>300</v>
      </c>
      <c r="C169" s="122"/>
      <c r="D169" s="123">
        <f>SUM(D170:D174)</f>
        <v>23600</v>
      </c>
      <c r="E169" s="123">
        <f t="shared" si="34"/>
        <v>23600</v>
      </c>
      <c r="F169" s="124">
        <f>SUM(F170:F174)</f>
        <v>23600</v>
      </c>
      <c r="G169" s="124">
        <f>SUM(G170:G173)</f>
        <v>3037.95</v>
      </c>
      <c r="H169" s="125">
        <f>SUM(H170:H174)</f>
        <v>18405.59</v>
      </c>
      <c r="I169" s="111">
        <f>SUM(I170:I174)</f>
        <v>9575.49</v>
      </c>
      <c r="J169" s="62">
        <f t="shared" si="37"/>
        <v>5194.41</v>
      </c>
      <c r="K169" s="126">
        <f t="shared" si="36"/>
        <v>5194.41</v>
      </c>
      <c r="L169" s="121">
        <f>+H169*100/F169</f>
        <v>77.989788135593216</v>
      </c>
      <c r="N169" s="31">
        <v>15367.64</v>
      </c>
    </row>
    <row r="170" spans="1:14" ht="12.75" customHeight="1" x14ac:dyDescent="0.2">
      <c r="A170" s="78">
        <v>391</v>
      </c>
      <c r="B170" s="118" t="s">
        <v>300</v>
      </c>
      <c r="C170" s="127"/>
      <c r="D170" s="101">
        <v>3000</v>
      </c>
      <c r="E170" s="101">
        <f t="shared" si="34"/>
        <v>3000</v>
      </c>
      <c r="F170" s="128">
        <v>3000</v>
      </c>
      <c r="G170" s="128">
        <v>0</v>
      </c>
      <c r="H170" s="129">
        <f t="shared" ref="H170:H173" si="38">+N170+G170</f>
        <v>2873.94</v>
      </c>
      <c r="I170" s="97">
        <v>2873.91</v>
      </c>
      <c r="J170" s="57">
        <f t="shared" si="37"/>
        <v>126.05999999999995</v>
      </c>
      <c r="K170" s="130">
        <f t="shared" si="36"/>
        <v>126.05999999999995</v>
      </c>
      <c r="L170" s="133">
        <f t="shared" ref="L170:L173" si="39">+H170*100/F170</f>
        <v>95.798000000000002</v>
      </c>
      <c r="N170" s="31">
        <v>2873.94</v>
      </c>
    </row>
    <row r="171" spans="1:14" ht="12.75" customHeight="1" x14ac:dyDescent="0.2">
      <c r="A171" s="78">
        <v>393</v>
      </c>
      <c r="B171" s="118" t="s">
        <v>353</v>
      </c>
      <c r="C171" s="127"/>
      <c r="D171" s="101">
        <v>9000</v>
      </c>
      <c r="E171" s="101">
        <f t="shared" si="34"/>
        <v>9000</v>
      </c>
      <c r="F171" s="128">
        <v>9000</v>
      </c>
      <c r="G171" s="128">
        <v>0</v>
      </c>
      <c r="H171" s="129">
        <f t="shared" si="38"/>
        <v>8830.07</v>
      </c>
      <c r="I171" s="97"/>
      <c r="J171" s="57">
        <f t="shared" si="37"/>
        <v>169.93000000000029</v>
      </c>
      <c r="K171" s="130">
        <f t="shared" si="36"/>
        <v>169.93000000000029</v>
      </c>
      <c r="L171" s="133">
        <f t="shared" si="39"/>
        <v>98.111888888888885</v>
      </c>
      <c r="N171" s="31">
        <v>8830.07</v>
      </c>
    </row>
    <row r="172" spans="1:14" ht="12.75" customHeight="1" x14ac:dyDescent="0.2">
      <c r="A172" s="78">
        <v>396</v>
      </c>
      <c r="B172" s="118" t="s">
        <v>300</v>
      </c>
      <c r="C172" s="127"/>
      <c r="D172" s="101">
        <v>500</v>
      </c>
      <c r="E172" s="101">
        <f t="shared" si="34"/>
        <v>500</v>
      </c>
      <c r="F172" s="128">
        <v>500</v>
      </c>
      <c r="G172" s="128">
        <v>0</v>
      </c>
      <c r="H172" s="129">
        <f t="shared" si="38"/>
        <v>464.38</v>
      </c>
      <c r="I172" s="97">
        <v>464.38</v>
      </c>
      <c r="J172" s="57">
        <f t="shared" si="37"/>
        <v>35.620000000000005</v>
      </c>
      <c r="K172" s="130">
        <f t="shared" si="36"/>
        <v>35.620000000000005</v>
      </c>
      <c r="L172" s="133">
        <f t="shared" si="39"/>
        <v>92.876000000000005</v>
      </c>
      <c r="N172" s="31">
        <v>464.38</v>
      </c>
    </row>
    <row r="173" spans="1:14" ht="12.75" customHeight="1" x14ac:dyDescent="0.2">
      <c r="A173" s="78">
        <v>398</v>
      </c>
      <c r="B173" s="118" t="s">
        <v>300</v>
      </c>
      <c r="C173" s="127"/>
      <c r="D173" s="101">
        <v>4400</v>
      </c>
      <c r="E173" s="101">
        <f t="shared" si="34"/>
        <v>4400</v>
      </c>
      <c r="F173" s="128">
        <v>4400</v>
      </c>
      <c r="G173" s="128">
        <v>3037.95</v>
      </c>
      <c r="H173" s="129">
        <f t="shared" si="38"/>
        <v>3915.2999999999997</v>
      </c>
      <c r="I173" s="97">
        <v>3915.3</v>
      </c>
      <c r="J173" s="57">
        <f t="shared" si="37"/>
        <v>484.70000000000027</v>
      </c>
      <c r="K173" s="130">
        <f t="shared" si="36"/>
        <v>484.70000000000027</v>
      </c>
      <c r="L173" s="133">
        <f t="shared" si="39"/>
        <v>88.984090909090909</v>
      </c>
      <c r="N173" s="31">
        <v>877.35</v>
      </c>
    </row>
    <row r="174" spans="1:14" ht="12.75" customHeight="1" x14ac:dyDescent="0.2">
      <c r="A174" s="78">
        <v>399</v>
      </c>
      <c r="B174" s="118" t="s">
        <v>347</v>
      </c>
      <c r="C174" s="127"/>
      <c r="D174" s="131">
        <v>6700</v>
      </c>
      <c r="E174" s="131">
        <f>SUM(C174:D174)</f>
        <v>6700</v>
      </c>
      <c r="F174" s="132">
        <v>6700</v>
      </c>
      <c r="G174" s="132">
        <v>0</v>
      </c>
      <c r="H174" s="115">
        <f>+N174+G174</f>
        <v>2321.9</v>
      </c>
      <c r="I174" s="97">
        <v>2321.9</v>
      </c>
      <c r="J174" s="57">
        <f t="shared" si="37"/>
        <v>4378.1000000000004</v>
      </c>
      <c r="K174" s="130">
        <f t="shared" si="36"/>
        <v>4378.1000000000004</v>
      </c>
      <c r="L174" s="133">
        <f t="shared" ref="L174:L183" si="40">+H174*100/F174</f>
        <v>34.655223880597013</v>
      </c>
      <c r="N174" s="31">
        <v>2321.9</v>
      </c>
    </row>
    <row r="175" spans="1:14" ht="15" customHeight="1" x14ac:dyDescent="0.2">
      <c r="A175" s="153">
        <v>4</v>
      </c>
      <c r="B175" s="178" t="s">
        <v>244</v>
      </c>
      <c r="C175" s="178">
        <f>SUM(C176)</f>
        <v>995142</v>
      </c>
      <c r="D175" s="178">
        <f>+D176+D178</f>
        <v>-199250</v>
      </c>
      <c r="E175" s="178">
        <f t="shared" ref="E175:E182" si="41">+C175+D175</f>
        <v>795892</v>
      </c>
      <c r="F175" s="179">
        <f>+F176+F178</f>
        <v>628006</v>
      </c>
      <c r="G175" s="180">
        <f>+G176+G178</f>
        <v>40131.920000000006</v>
      </c>
      <c r="H175" s="181">
        <f>+H176+H178</f>
        <v>73252.27</v>
      </c>
      <c r="I175" s="182">
        <f>+I176+I178</f>
        <v>7624.39</v>
      </c>
      <c r="J175" s="183">
        <f t="shared" si="37"/>
        <v>554753.73</v>
      </c>
      <c r="K175" s="181">
        <f t="shared" si="36"/>
        <v>722639.73</v>
      </c>
      <c r="L175" s="154">
        <f t="shared" si="40"/>
        <v>11.664262761820748</v>
      </c>
      <c r="N175" s="31">
        <v>34118.410000000003</v>
      </c>
    </row>
    <row r="176" spans="1:14" x14ac:dyDescent="0.2">
      <c r="A176" s="78">
        <v>430</v>
      </c>
      <c r="B176" s="170" t="s">
        <v>245</v>
      </c>
      <c r="C176" s="123">
        <f>SUM(C177)</f>
        <v>995142</v>
      </c>
      <c r="D176" s="170">
        <f>SUM(D177)</f>
        <v>-222690</v>
      </c>
      <c r="E176" s="123">
        <f t="shared" si="41"/>
        <v>772452</v>
      </c>
      <c r="F176" s="184">
        <f>+F177</f>
        <v>604566</v>
      </c>
      <c r="G176" s="185">
        <f>+G177</f>
        <v>38110.980000000003</v>
      </c>
      <c r="H176" s="57">
        <f>+N176+G176</f>
        <v>70480.89</v>
      </c>
      <c r="I176" s="123">
        <f>SUM(I177)</f>
        <v>6874.39</v>
      </c>
      <c r="J176" s="62">
        <f t="shared" si="37"/>
        <v>534085.11</v>
      </c>
      <c r="K176" s="124">
        <f t="shared" si="36"/>
        <v>701971.11</v>
      </c>
      <c r="L176" s="100">
        <f t="shared" si="40"/>
        <v>11.658096882722482</v>
      </c>
      <c r="N176" s="31">
        <v>32369.91</v>
      </c>
    </row>
    <row r="177" spans="1:17" ht="13.5" customHeight="1" x14ac:dyDescent="0.2">
      <c r="A177" s="77">
        <v>439</v>
      </c>
      <c r="B177" s="167" t="s">
        <v>246</v>
      </c>
      <c r="C177" s="101">
        <v>995142</v>
      </c>
      <c r="D177" s="101">
        <f>-222690</f>
        <v>-222690</v>
      </c>
      <c r="E177" s="101">
        <f t="shared" si="41"/>
        <v>772452</v>
      </c>
      <c r="F177" s="168">
        <v>604566</v>
      </c>
      <c r="G177" s="186">
        <v>38110.980000000003</v>
      </c>
      <c r="H177" s="57">
        <f>+N177+G177</f>
        <v>70480.89</v>
      </c>
      <c r="I177" s="101">
        <v>6874.39</v>
      </c>
      <c r="J177" s="57">
        <f t="shared" si="37"/>
        <v>534085.11</v>
      </c>
      <c r="K177" s="128">
        <f t="shared" si="36"/>
        <v>701971.11</v>
      </c>
      <c r="L177" s="96">
        <f t="shared" si="40"/>
        <v>11.658096882722482</v>
      </c>
      <c r="N177" s="31">
        <v>32369.91</v>
      </c>
    </row>
    <row r="178" spans="1:17" ht="13.5" customHeight="1" x14ac:dyDescent="0.2">
      <c r="A178" s="78">
        <v>490</v>
      </c>
      <c r="B178" s="170" t="s">
        <v>247</v>
      </c>
      <c r="C178" s="101">
        <f>SUM(C179)</f>
        <v>0</v>
      </c>
      <c r="D178" s="123">
        <f>+D179</f>
        <v>23440</v>
      </c>
      <c r="E178" s="123">
        <f t="shared" si="41"/>
        <v>23440</v>
      </c>
      <c r="F178" s="184">
        <f>+F179</f>
        <v>23440</v>
      </c>
      <c r="G178" s="99">
        <f>+G179</f>
        <v>2020.94</v>
      </c>
      <c r="H178" s="123">
        <f>+H179</f>
        <v>2771.38</v>
      </c>
      <c r="I178" s="123">
        <f>I179</f>
        <v>750</v>
      </c>
      <c r="J178" s="57">
        <f t="shared" si="37"/>
        <v>20668.62</v>
      </c>
      <c r="K178" s="124">
        <f t="shared" si="36"/>
        <v>20668.62</v>
      </c>
      <c r="L178" s="100">
        <f t="shared" si="40"/>
        <v>11.823293515358362</v>
      </c>
      <c r="N178" s="31">
        <v>1748.5</v>
      </c>
    </row>
    <row r="179" spans="1:17" ht="14.45" customHeight="1" x14ac:dyDescent="0.2">
      <c r="A179" s="77">
        <v>494</v>
      </c>
      <c r="B179" s="167" t="s">
        <v>248</v>
      </c>
      <c r="C179" s="101"/>
      <c r="D179" s="101">
        <v>23440</v>
      </c>
      <c r="E179" s="101">
        <f t="shared" si="41"/>
        <v>23440</v>
      </c>
      <c r="F179" s="97">
        <v>23440</v>
      </c>
      <c r="G179" s="187">
        <v>2020.94</v>
      </c>
      <c r="H179" s="128">
        <f>+N179+G179</f>
        <v>2771.38</v>
      </c>
      <c r="I179" s="128">
        <v>750</v>
      </c>
      <c r="J179" s="57">
        <f t="shared" si="37"/>
        <v>20668.62</v>
      </c>
      <c r="K179" s="128">
        <f t="shared" si="36"/>
        <v>20668.62</v>
      </c>
      <c r="L179" s="96">
        <f t="shared" si="40"/>
        <v>11.823293515358362</v>
      </c>
      <c r="N179" s="31">
        <f>1748.5-998.06</f>
        <v>750.44</v>
      </c>
    </row>
    <row r="180" spans="1:17" ht="15.75" customHeight="1" x14ac:dyDescent="0.2">
      <c r="A180" s="155" t="s">
        <v>249</v>
      </c>
      <c r="B180" s="188" t="s">
        <v>322</v>
      </c>
      <c r="C180" s="182">
        <f>C181+C183+C189+C192+C196</f>
        <v>670580</v>
      </c>
      <c r="D180" s="182">
        <f>+D181+D183+D192+D189+D196</f>
        <v>814400</v>
      </c>
      <c r="E180" s="189">
        <f t="shared" si="41"/>
        <v>1484980</v>
      </c>
      <c r="F180" s="182">
        <f>+F181+F183+F189+F192+F196</f>
        <v>1127430</v>
      </c>
      <c r="G180" s="190">
        <f>+G181+G183+G192+G189+G196</f>
        <v>232339.8</v>
      </c>
      <c r="H180" s="182">
        <f>+H181+H183+H192+H189+H196</f>
        <v>637229.68000000017</v>
      </c>
      <c r="I180" s="182">
        <f>+I181+I183+I192+I189+I196</f>
        <v>622107.35</v>
      </c>
      <c r="J180" s="183">
        <f t="shared" si="37"/>
        <v>490200.31999999983</v>
      </c>
      <c r="K180" s="181">
        <f t="shared" si="36"/>
        <v>847750.31999999983</v>
      </c>
      <c r="L180" s="154">
        <f t="shared" si="40"/>
        <v>56.520553825958167</v>
      </c>
      <c r="N180" s="33">
        <v>404889.88</v>
      </c>
    </row>
    <row r="181" spans="1:17" s="16" customFormat="1" x14ac:dyDescent="0.2">
      <c r="A181" s="71" t="s">
        <v>250</v>
      </c>
      <c r="B181" s="191" t="s">
        <v>251</v>
      </c>
      <c r="C181" s="123">
        <f>SUM(C182)</f>
        <v>118164</v>
      </c>
      <c r="D181" s="123">
        <f>SUM(D182)</f>
        <v>0</v>
      </c>
      <c r="E181" s="123">
        <f t="shared" si="41"/>
        <v>118164</v>
      </c>
      <c r="F181" s="184">
        <f>+F182</f>
        <v>82164</v>
      </c>
      <c r="G181" s="185">
        <f>+G182</f>
        <v>4440.12</v>
      </c>
      <c r="H181" s="124">
        <f>SUM(H182)</f>
        <v>26640.79</v>
      </c>
      <c r="I181" s="123">
        <f>+I182</f>
        <v>26640.720000000001</v>
      </c>
      <c r="J181" s="62">
        <f t="shared" si="37"/>
        <v>55523.21</v>
      </c>
      <c r="K181" s="124">
        <f t="shared" si="36"/>
        <v>91523.209999999992</v>
      </c>
      <c r="L181" s="100">
        <f t="shared" si="40"/>
        <v>32.423920451779367</v>
      </c>
      <c r="N181" s="32">
        <v>22200.670000000002</v>
      </c>
    </row>
    <row r="182" spans="1:17" s="16" customFormat="1" ht="13.5" customHeight="1" x14ac:dyDescent="0.2">
      <c r="A182" s="71" t="s">
        <v>252</v>
      </c>
      <c r="B182" s="169" t="s">
        <v>339</v>
      </c>
      <c r="C182" s="101">
        <v>118164</v>
      </c>
      <c r="D182" s="101"/>
      <c r="E182" s="101">
        <f t="shared" si="41"/>
        <v>118164</v>
      </c>
      <c r="F182" s="168">
        <v>82164</v>
      </c>
      <c r="G182" s="186">
        <v>4440.12</v>
      </c>
      <c r="H182" s="57">
        <f>+N182+G182</f>
        <v>26640.79</v>
      </c>
      <c r="I182" s="101">
        <v>26640.720000000001</v>
      </c>
      <c r="J182" s="57">
        <f t="shared" si="37"/>
        <v>55523.21</v>
      </c>
      <c r="K182" s="128">
        <f t="shared" si="36"/>
        <v>91523.209999999992</v>
      </c>
      <c r="L182" s="96">
        <f t="shared" si="40"/>
        <v>32.423920451779367</v>
      </c>
      <c r="N182" s="32">
        <v>22200.670000000002</v>
      </c>
      <c r="O182" s="16" t="s">
        <v>4</v>
      </c>
      <c r="P182" s="16" t="s">
        <v>4</v>
      </c>
    </row>
    <row r="183" spans="1:17" s="16" customFormat="1" x14ac:dyDescent="0.2">
      <c r="A183" s="75" t="s">
        <v>253</v>
      </c>
      <c r="B183" s="170" t="s">
        <v>120</v>
      </c>
      <c r="C183" s="123">
        <f>+C184+C186+C188+C187+C185</f>
        <v>438286</v>
      </c>
      <c r="D183" s="123">
        <f>SUM(D184:D188)</f>
        <v>806100</v>
      </c>
      <c r="E183" s="123">
        <f>+E184+E187+E188+E185</f>
        <v>1244386</v>
      </c>
      <c r="F183" s="184">
        <f>+F184+F185+F187+F188</f>
        <v>964350</v>
      </c>
      <c r="G183" s="185">
        <f>SUM(G184:G188)</f>
        <v>224213.18</v>
      </c>
      <c r="H183" s="62">
        <f>+N183+G183</f>
        <v>592248.83000000007</v>
      </c>
      <c r="I183" s="123">
        <f>SUM(I184:I188)</f>
        <v>592248.63</v>
      </c>
      <c r="J183" s="62">
        <f t="shared" si="37"/>
        <v>372101.16999999993</v>
      </c>
      <c r="K183" s="124">
        <f t="shared" si="36"/>
        <v>652137.16999999993</v>
      </c>
      <c r="L183" s="100">
        <f t="shared" si="40"/>
        <v>61.414302898325303</v>
      </c>
      <c r="N183" s="32">
        <v>368035.65</v>
      </c>
      <c r="Q183" s="3" t="s">
        <v>4</v>
      </c>
    </row>
    <row r="184" spans="1:17" s="16" customFormat="1" ht="14.25" customHeight="1" x14ac:dyDescent="0.2">
      <c r="A184" s="77">
        <v>611</v>
      </c>
      <c r="B184" s="167" t="s">
        <v>281</v>
      </c>
      <c r="C184" s="101">
        <v>5000</v>
      </c>
      <c r="D184" s="101">
        <v>-3900</v>
      </c>
      <c r="E184" s="101">
        <f t="shared" ref="E184:E194" si="42">+C184+D184</f>
        <v>1100</v>
      </c>
      <c r="F184" s="97">
        <v>1100</v>
      </c>
      <c r="G184" s="187">
        <v>0</v>
      </c>
      <c r="H184" s="57">
        <f>+N184+G184</f>
        <v>0</v>
      </c>
      <c r="I184" s="128">
        <v>0</v>
      </c>
      <c r="J184" s="57">
        <f t="shared" si="37"/>
        <v>1100</v>
      </c>
      <c r="K184" s="128">
        <f t="shared" si="36"/>
        <v>1100</v>
      </c>
      <c r="L184" s="96">
        <f t="shared" ref="L184:L188" si="43">+H184*100/F184</f>
        <v>0</v>
      </c>
      <c r="N184" s="32">
        <v>0</v>
      </c>
    </row>
    <row r="185" spans="1:17" s="16" customFormat="1" ht="13.5" customHeight="1" x14ac:dyDescent="0.2">
      <c r="A185" s="77">
        <v>612</v>
      </c>
      <c r="B185" s="167" t="s">
        <v>312</v>
      </c>
      <c r="C185" s="101">
        <v>280036</v>
      </c>
      <c r="D185" s="101">
        <f>198000-198000</f>
        <v>0</v>
      </c>
      <c r="E185" s="101">
        <f t="shared" si="42"/>
        <v>280036</v>
      </c>
      <c r="F185" s="97">
        <v>0</v>
      </c>
      <c r="G185" s="187">
        <v>0</v>
      </c>
      <c r="H185" s="57">
        <v>0</v>
      </c>
      <c r="I185" s="128">
        <v>0</v>
      </c>
      <c r="J185" s="57">
        <f t="shared" si="37"/>
        <v>0</v>
      </c>
      <c r="K185" s="128">
        <f t="shared" ref="K185:K197" si="44">+E185-H185</f>
        <v>280036</v>
      </c>
      <c r="L185" s="96" t="s">
        <v>4</v>
      </c>
      <c r="N185" s="32">
        <v>0</v>
      </c>
    </row>
    <row r="186" spans="1:17" s="16" customFormat="1" ht="12" hidden="1" customHeight="1" x14ac:dyDescent="0.2">
      <c r="A186" s="77">
        <v>613</v>
      </c>
      <c r="B186" s="167" t="s">
        <v>290</v>
      </c>
      <c r="C186" s="101">
        <v>0</v>
      </c>
      <c r="D186" s="101"/>
      <c r="E186" s="101">
        <f t="shared" si="42"/>
        <v>0</v>
      </c>
      <c r="F186" s="97">
        <v>0</v>
      </c>
      <c r="G186" s="187"/>
      <c r="H186" s="57">
        <f t="shared" ref="H186:H198" si="45">+N186+G186</f>
        <v>0</v>
      </c>
      <c r="I186" s="128"/>
      <c r="J186" s="57">
        <f t="shared" ref="J186:J197" si="46">+F186-H186</f>
        <v>0</v>
      </c>
      <c r="K186" s="128">
        <f t="shared" si="44"/>
        <v>0</v>
      </c>
      <c r="L186" s="96" t="e">
        <f t="shared" si="43"/>
        <v>#DIV/0!</v>
      </c>
      <c r="N186" s="32">
        <v>0</v>
      </c>
    </row>
    <row r="187" spans="1:17" s="16" customFormat="1" ht="12.75" customHeight="1" x14ac:dyDescent="0.2">
      <c r="A187" s="77">
        <v>614</v>
      </c>
      <c r="B187" s="167" t="s">
        <v>289</v>
      </c>
      <c r="C187" s="101">
        <v>150000</v>
      </c>
      <c r="D187" s="101">
        <v>790000</v>
      </c>
      <c r="E187" s="101">
        <f t="shared" si="42"/>
        <v>940000</v>
      </c>
      <c r="F187" s="97">
        <v>940000</v>
      </c>
      <c r="G187" s="187">
        <v>224213.18</v>
      </c>
      <c r="H187" s="57">
        <f t="shared" si="45"/>
        <v>588748.83000000007</v>
      </c>
      <c r="I187" s="128">
        <v>588748.63</v>
      </c>
      <c r="J187" s="57">
        <f t="shared" si="46"/>
        <v>351251.16999999993</v>
      </c>
      <c r="K187" s="128">
        <f t="shared" si="44"/>
        <v>351251.16999999993</v>
      </c>
      <c r="L187" s="96">
        <f t="shared" si="43"/>
        <v>62.63285425531916</v>
      </c>
      <c r="N187" s="32">
        <v>364535.65</v>
      </c>
    </row>
    <row r="188" spans="1:17" s="16" customFormat="1" ht="13.5" customHeight="1" x14ac:dyDescent="0.2">
      <c r="A188" s="77">
        <v>619</v>
      </c>
      <c r="B188" s="167" t="s">
        <v>287</v>
      </c>
      <c r="C188" s="101">
        <v>3250</v>
      </c>
      <c r="D188" s="101">
        <v>20000</v>
      </c>
      <c r="E188" s="101">
        <f t="shared" si="42"/>
        <v>23250</v>
      </c>
      <c r="F188" s="97">
        <v>23250</v>
      </c>
      <c r="G188" s="187">
        <v>0</v>
      </c>
      <c r="H188" s="57">
        <f t="shared" si="45"/>
        <v>3500</v>
      </c>
      <c r="I188" s="128">
        <v>3500</v>
      </c>
      <c r="J188" s="57">
        <f t="shared" si="46"/>
        <v>19750</v>
      </c>
      <c r="K188" s="128">
        <f t="shared" si="44"/>
        <v>19750</v>
      </c>
      <c r="L188" s="96">
        <f t="shared" si="43"/>
        <v>15.053763440860216</v>
      </c>
      <c r="N188" s="32">
        <v>3500</v>
      </c>
    </row>
    <row r="189" spans="1:17" s="16" customFormat="1" ht="13.5" customHeight="1" x14ac:dyDescent="0.2">
      <c r="A189" s="78">
        <v>620</v>
      </c>
      <c r="B189" s="170" t="s">
        <v>254</v>
      </c>
      <c r="C189" s="123">
        <f>+C190+C191</f>
        <v>87458</v>
      </c>
      <c r="D189" s="123">
        <f>+D190+D191</f>
        <v>-11900</v>
      </c>
      <c r="E189" s="123">
        <f t="shared" si="42"/>
        <v>75558</v>
      </c>
      <c r="F189" s="184">
        <f>+F190+F191</f>
        <v>34044</v>
      </c>
      <c r="G189" s="185">
        <f>+G191+G190</f>
        <v>2086.5</v>
      </c>
      <c r="H189" s="62">
        <f t="shared" si="45"/>
        <v>10726.5</v>
      </c>
      <c r="I189" s="123">
        <f>+I191+I190</f>
        <v>1068</v>
      </c>
      <c r="J189" s="62">
        <f t="shared" si="46"/>
        <v>23317.5</v>
      </c>
      <c r="K189" s="124">
        <f t="shared" si="44"/>
        <v>64831.5</v>
      </c>
      <c r="L189" s="100">
        <f>+H189*100/F189</f>
        <v>31.507754670426507</v>
      </c>
      <c r="N189" s="32">
        <v>8640</v>
      </c>
    </row>
    <row r="190" spans="1:17" s="16" customFormat="1" ht="13.5" customHeight="1" x14ac:dyDescent="0.2">
      <c r="A190" s="77" t="s">
        <v>279</v>
      </c>
      <c r="B190" s="167" t="s">
        <v>280</v>
      </c>
      <c r="C190" s="101">
        <v>20977</v>
      </c>
      <c r="D190" s="101">
        <v>-5900</v>
      </c>
      <c r="E190" s="101">
        <f t="shared" si="42"/>
        <v>15077</v>
      </c>
      <c r="F190" s="97">
        <v>3756</v>
      </c>
      <c r="G190" s="187">
        <v>0</v>
      </c>
      <c r="H190" s="57">
        <f t="shared" si="45"/>
        <v>0</v>
      </c>
      <c r="I190" s="128">
        <v>0</v>
      </c>
      <c r="J190" s="57">
        <f t="shared" si="46"/>
        <v>3756</v>
      </c>
      <c r="K190" s="128">
        <f t="shared" si="44"/>
        <v>15077</v>
      </c>
      <c r="L190" s="96" t="s">
        <v>4</v>
      </c>
      <c r="N190" s="32">
        <v>0</v>
      </c>
    </row>
    <row r="191" spans="1:17" s="16" customFormat="1" ht="12" customHeight="1" x14ac:dyDescent="0.2">
      <c r="A191" s="77">
        <v>624</v>
      </c>
      <c r="B191" s="167" t="s">
        <v>255</v>
      </c>
      <c r="C191" s="101">
        <v>66481</v>
      </c>
      <c r="D191" s="101">
        <v>-6000</v>
      </c>
      <c r="E191" s="101">
        <f t="shared" si="42"/>
        <v>60481</v>
      </c>
      <c r="F191" s="168">
        <v>30288</v>
      </c>
      <c r="G191" s="186">
        <v>2086.5</v>
      </c>
      <c r="H191" s="57">
        <f t="shared" si="45"/>
        <v>10726.5</v>
      </c>
      <c r="I191" s="101">
        <v>1068</v>
      </c>
      <c r="J191" s="57">
        <f t="shared" si="46"/>
        <v>19561.5</v>
      </c>
      <c r="K191" s="128">
        <f t="shared" si="44"/>
        <v>49754.5</v>
      </c>
      <c r="L191" s="96">
        <f>+H191*100/F191</f>
        <v>35.415015847860538</v>
      </c>
      <c r="N191" s="32">
        <v>8640</v>
      </c>
    </row>
    <row r="192" spans="1:17" s="16" customFormat="1" x14ac:dyDescent="0.2">
      <c r="A192" s="70" t="s">
        <v>256</v>
      </c>
      <c r="B192" s="191" t="s">
        <v>257</v>
      </c>
      <c r="C192" s="123">
        <f>SUM(C193:C195)</f>
        <v>26672</v>
      </c>
      <c r="D192" s="123">
        <f>SUM(D193:D195)</f>
        <v>5000</v>
      </c>
      <c r="E192" s="123">
        <f t="shared" si="42"/>
        <v>31672</v>
      </c>
      <c r="F192" s="192">
        <f>+F193+F195+F194</f>
        <v>31672</v>
      </c>
      <c r="G192" s="193">
        <f>SUM(G193:G195)</f>
        <v>1600</v>
      </c>
      <c r="H192" s="62">
        <f t="shared" si="45"/>
        <v>5963.5599999999995</v>
      </c>
      <c r="I192" s="192">
        <f>SUM(I193:I195)</f>
        <v>2150</v>
      </c>
      <c r="J192" s="62">
        <f t="shared" si="46"/>
        <v>25708.440000000002</v>
      </c>
      <c r="K192" s="124">
        <f t="shared" si="44"/>
        <v>25708.440000000002</v>
      </c>
      <c r="L192" s="100">
        <f t="shared" ref="L192:L198" si="47">+H192*100/F192</f>
        <v>18.829123516039402</v>
      </c>
      <c r="N192" s="32">
        <v>4363.5599999999995</v>
      </c>
    </row>
    <row r="193" spans="1:14" s="16" customFormat="1" ht="13.5" customHeight="1" x14ac:dyDescent="0.2">
      <c r="A193" s="71">
        <v>662</v>
      </c>
      <c r="B193" s="169" t="s">
        <v>258</v>
      </c>
      <c r="C193" s="101">
        <v>15172</v>
      </c>
      <c r="D193" s="101">
        <v>1500</v>
      </c>
      <c r="E193" s="101">
        <f t="shared" si="42"/>
        <v>16672</v>
      </c>
      <c r="F193" s="97">
        <v>16672</v>
      </c>
      <c r="G193" s="187">
        <v>1250</v>
      </c>
      <c r="H193" s="57">
        <f t="shared" si="45"/>
        <v>1250</v>
      </c>
      <c r="I193" s="128">
        <v>1250</v>
      </c>
      <c r="J193" s="57">
        <f t="shared" si="46"/>
        <v>15422</v>
      </c>
      <c r="K193" s="128">
        <f t="shared" si="44"/>
        <v>15422</v>
      </c>
      <c r="L193" s="96">
        <f t="shared" si="47"/>
        <v>7.4976007677543191</v>
      </c>
      <c r="N193" s="32">
        <v>0</v>
      </c>
    </row>
    <row r="194" spans="1:14" s="16" customFormat="1" ht="12.75" customHeight="1" x14ac:dyDescent="0.2">
      <c r="A194" s="71" t="s">
        <v>259</v>
      </c>
      <c r="B194" s="169" t="s">
        <v>260</v>
      </c>
      <c r="C194" s="101">
        <v>0</v>
      </c>
      <c r="D194" s="101">
        <v>9000</v>
      </c>
      <c r="E194" s="101">
        <f t="shared" si="42"/>
        <v>9000</v>
      </c>
      <c r="F194" s="97">
        <v>9000</v>
      </c>
      <c r="G194" s="187">
        <v>350</v>
      </c>
      <c r="H194" s="57">
        <f t="shared" si="45"/>
        <v>2000</v>
      </c>
      <c r="I194" s="128">
        <v>0</v>
      </c>
      <c r="J194" s="57">
        <f t="shared" si="46"/>
        <v>7000</v>
      </c>
      <c r="K194" s="128">
        <f t="shared" si="44"/>
        <v>7000</v>
      </c>
      <c r="L194" s="96">
        <f t="shared" si="47"/>
        <v>22.222222222222221</v>
      </c>
      <c r="N194" s="32">
        <v>1650</v>
      </c>
    </row>
    <row r="195" spans="1:14" s="16" customFormat="1" ht="12.75" customHeight="1" x14ac:dyDescent="0.2">
      <c r="A195" s="71" t="s">
        <v>261</v>
      </c>
      <c r="B195" s="169" t="s">
        <v>262</v>
      </c>
      <c r="C195" s="101">
        <v>11500</v>
      </c>
      <c r="D195" s="101">
        <v>-5500</v>
      </c>
      <c r="E195" s="101">
        <f>+C195+D195</f>
        <v>6000</v>
      </c>
      <c r="F195" s="97">
        <v>6000</v>
      </c>
      <c r="G195" s="187">
        <v>0</v>
      </c>
      <c r="H195" s="57">
        <f t="shared" si="45"/>
        <v>2713.56</v>
      </c>
      <c r="I195" s="128">
        <v>900</v>
      </c>
      <c r="J195" s="57">
        <f t="shared" si="46"/>
        <v>3286.44</v>
      </c>
      <c r="K195" s="128">
        <f t="shared" si="44"/>
        <v>3286.44</v>
      </c>
      <c r="L195" s="96">
        <f t="shared" si="47"/>
        <v>45.225999999999999</v>
      </c>
      <c r="N195" s="32">
        <v>2713.56</v>
      </c>
    </row>
    <row r="196" spans="1:14" s="16" customFormat="1" ht="13.5" customHeight="1" x14ac:dyDescent="0.2">
      <c r="A196" s="82">
        <v>690</v>
      </c>
      <c r="B196" s="124" t="s">
        <v>284</v>
      </c>
      <c r="C196" s="124">
        <f>+C197</f>
        <v>0</v>
      </c>
      <c r="D196" s="124">
        <f>+D197+D198</f>
        <v>15200</v>
      </c>
      <c r="E196" s="123">
        <f>+C196+D196</f>
        <v>15200</v>
      </c>
      <c r="F196" s="192">
        <f>F198</f>
        <v>15200</v>
      </c>
      <c r="G196" s="193">
        <f>+G197+G198</f>
        <v>0</v>
      </c>
      <c r="H196" s="124">
        <f t="shared" si="45"/>
        <v>1650</v>
      </c>
      <c r="I196" s="124">
        <f>+I197</f>
        <v>0</v>
      </c>
      <c r="J196" s="62">
        <f t="shared" si="46"/>
        <v>13550</v>
      </c>
      <c r="K196" s="124">
        <f t="shared" si="44"/>
        <v>13550</v>
      </c>
      <c r="L196" s="100">
        <f t="shared" si="47"/>
        <v>10.855263157894736</v>
      </c>
      <c r="N196" s="32">
        <v>1650</v>
      </c>
    </row>
    <row r="197" spans="1:14" ht="12" hidden="1" customHeight="1" x14ac:dyDescent="0.2">
      <c r="A197" s="80">
        <v>693</v>
      </c>
      <c r="B197" s="194" t="s">
        <v>305</v>
      </c>
      <c r="C197" s="128"/>
      <c r="D197" s="128"/>
      <c r="E197" s="101">
        <f>+C197+D197</f>
        <v>0</v>
      </c>
      <c r="F197" s="97">
        <v>0</v>
      </c>
      <c r="G197" s="187">
        <v>0</v>
      </c>
      <c r="H197" s="128">
        <f t="shared" si="45"/>
        <v>0</v>
      </c>
      <c r="I197" s="128">
        <v>0</v>
      </c>
      <c r="J197" s="57">
        <f t="shared" si="46"/>
        <v>0</v>
      </c>
      <c r="K197" s="128">
        <f t="shared" si="44"/>
        <v>0</v>
      </c>
      <c r="L197" s="96" t="e">
        <f t="shared" si="47"/>
        <v>#DIV/0!</v>
      </c>
      <c r="N197" s="31">
        <v>0</v>
      </c>
    </row>
    <row r="198" spans="1:14" ht="17.25" customHeight="1" thickBot="1" x14ac:dyDescent="0.25">
      <c r="A198" s="80">
        <v>697</v>
      </c>
      <c r="B198" s="194" t="s">
        <v>293</v>
      </c>
      <c r="C198" s="128"/>
      <c r="D198" s="128">
        <v>15200</v>
      </c>
      <c r="E198" s="101">
        <f>+C198+D198</f>
        <v>15200</v>
      </c>
      <c r="F198" s="97">
        <v>15200</v>
      </c>
      <c r="G198" s="187">
        <v>0</v>
      </c>
      <c r="H198" s="57">
        <f t="shared" si="45"/>
        <v>1650</v>
      </c>
      <c r="I198" s="128"/>
      <c r="J198" s="57">
        <f t="shared" ref="J198" si="48">+F198-H198</f>
        <v>13550</v>
      </c>
      <c r="K198" s="124">
        <f t="shared" ref="K198" si="49">+E198-H198</f>
        <v>13550</v>
      </c>
      <c r="L198" s="96">
        <f t="shared" si="47"/>
        <v>10.855263157894736</v>
      </c>
      <c r="N198" s="31">
        <v>1650</v>
      </c>
    </row>
    <row r="199" spans="1:14" ht="28.9" customHeight="1" thickBot="1" x14ac:dyDescent="0.25">
      <c r="A199" s="81" t="s">
        <v>4</v>
      </c>
      <c r="B199" s="201" t="s">
        <v>263</v>
      </c>
      <c r="C199" s="202">
        <f t="shared" ref="C199:H199" si="50">+C180+C175+C149+C89+C37+C12</f>
        <v>106036141</v>
      </c>
      <c r="D199" s="202">
        <f t="shared" si="50"/>
        <v>0</v>
      </c>
      <c r="E199" s="202">
        <f t="shared" si="50"/>
        <v>106036141</v>
      </c>
      <c r="F199" s="202">
        <f t="shared" si="50"/>
        <v>53018070</v>
      </c>
      <c r="G199" s="203">
        <f>+G180+G175+G149+G89+G37+G12</f>
        <v>7791336.6600000011</v>
      </c>
      <c r="H199" s="202">
        <f t="shared" si="50"/>
        <v>41087874.549999997</v>
      </c>
      <c r="I199" s="202">
        <f>+I180+I175+I149+I89+I37+I12</f>
        <v>38454265.100000001</v>
      </c>
      <c r="J199" s="204">
        <f>+F199-H199</f>
        <v>11930195.450000003</v>
      </c>
      <c r="K199" s="205">
        <f>+E199-H199</f>
        <v>64948266.450000003</v>
      </c>
      <c r="L199" s="206">
        <f>+H199*100/F199</f>
        <v>77.497869217042407</v>
      </c>
      <c r="N199" s="31">
        <v>33297054.129999999</v>
      </c>
    </row>
    <row r="200" spans="1:14" x14ac:dyDescent="0.2">
      <c r="F200" s="13" t="s">
        <v>4</v>
      </c>
    </row>
    <row r="201" spans="1:14" x14ac:dyDescent="0.2">
      <c r="F201" s="15" t="s">
        <v>4</v>
      </c>
    </row>
    <row r="202" spans="1:14" x14ac:dyDescent="0.2">
      <c r="I202" s="25" t="s">
        <v>4</v>
      </c>
    </row>
    <row r="204" spans="1:14" x14ac:dyDescent="0.2">
      <c r="E204" s="15" t="s">
        <v>4</v>
      </c>
    </row>
  </sheetData>
  <mergeCells count="12">
    <mergeCell ref="A2:L2"/>
    <mergeCell ref="A3:L3"/>
    <mergeCell ref="A4:L4"/>
    <mergeCell ref="A5:L5"/>
    <mergeCell ref="C8:F9"/>
    <mergeCell ref="G8:H9"/>
    <mergeCell ref="I8:I10"/>
    <mergeCell ref="J8:K9"/>
    <mergeCell ref="L8:L10"/>
    <mergeCell ref="D10:D11"/>
    <mergeCell ref="B8:B11"/>
    <mergeCell ref="A8:A11"/>
  </mergeCells>
  <pageMargins left="0.31496062992125984" right="0.11811023622047245" top="0.55118110236220474" bottom="0.55118110236220474" header="0.31496062992125984" footer="0.31496062992125984"/>
  <pageSetup scale="8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showZeros="0" workbookViewId="0">
      <selection activeCell="N17" sqref="N17"/>
    </sheetView>
  </sheetViews>
  <sheetFormatPr baseColWidth="10" defaultRowHeight="12.75" x14ac:dyDescent="0.2"/>
  <cols>
    <col min="1" max="1" width="67.28515625" customWidth="1"/>
    <col min="2" max="2" width="16.85546875" hidden="1" customWidth="1"/>
    <col min="3" max="3" width="16.7109375" hidden="1" customWidth="1"/>
    <col min="4" max="4" width="16.28515625" customWidth="1"/>
    <col min="5" max="5" width="14.42578125" customWidth="1"/>
    <col min="6" max="6" width="11.7109375" bestFit="1" customWidth="1"/>
    <col min="7" max="7" width="15.28515625" customWidth="1"/>
    <col min="8" max="8" width="11.7109375" bestFit="1" customWidth="1"/>
    <col min="9" max="9" width="15.5703125" customWidth="1"/>
    <col min="10" max="10" width="16.28515625" hidden="1" customWidth="1"/>
    <col min="11" max="11" width="8.85546875" customWidth="1"/>
    <col min="12" max="12" width="11.42578125" hidden="1" customWidth="1"/>
  </cols>
  <sheetData>
    <row r="1" spans="1:12" ht="20.100000000000001" customHeight="1" x14ac:dyDescent="0.25">
      <c r="A1" s="290" t="s">
        <v>337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2" ht="20.100000000000001" customHeight="1" x14ac:dyDescent="0.25">
      <c r="A2" s="290" t="s">
        <v>348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</row>
    <row r="3" spans="1:12" ht="20.100000000000001" customHeight="1" x14ac:dyDescent="0.25">
      <c r="A3" s="316" t="s">
        <v>356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2" ht="20.100000000000001" customHeight="1" x14ac:dyDescent="0.25">
      <c r="A4" s="316" t="s">
        <v>365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</row>
    <row r="5" spans="1:12" ht="20.100000000000001" customHeight="1" x14ac:dyDescent="0.25">
      <c r="A5" s="17"/>
      <c r="B5" s="17"/>
      <c r="C5" s="17"/>
      <c r="D5" s="17"/>
      <c r="E5" s="17"/>
      <c r="F5" s="17"/>
      <c r="G5" s="18"/>
      <c r="H5" s="18"/>
      <c r="I5" s="18"/>
      <c r="J5" s="18"/>
      <c r="K5" s="16"/>
    </row>
    <row r="6" spans="1:12" ht="30.75" customHeight="1" x14ac:dyDescent="0.2">
      <c r="A6" s="270" t="s">
        <v>271</v>
      </c>
      <c r="B6" s="271" t="s">
        <v>307</v>
      </c>
      <c r="C6" s="272" t="s">
        <v>41</v>
      </c>
      <c r="D6" s="273" t="s">
        <v>291</v>
      </c>
      <c r="E6" s="273" t="s">
        <v>2</v>
      </c>
      <c r="F6" s="273" t="s">
        <v>19</v>
      </c>
      <c r="G6" s="273" t="s">
        <v>294</v>
      </c>
      <c r="H6" s="273" t="s">
        <v>303</v>
      </c>
      <c r="I6" s="273" t="s">
        <v>264</v>
      </c>
      <c r="J6" s="274" t="s">
        <v>330</v>
      </c>
      <c r="K6" s="272" t="s">
        <v>363</v>
      </c>
    </row>
    <row r="7" spans="1:12" ht="20.100000000000001" customHeight="1" x14ac:dyDescent="0.2">
      <c r="A7" s="275" t="s">
        <v>268</v>
      </c>
      <c r="B7" s="276">
        <f>SUM(B8:B11)</f>
        <v>8327592</v>
      </c>
      <c r="C7" s="277">
        <f>SUM(C8:C11)</f>
        <v>5564653</v>
      </c>
      <c r="D7" s="278">
        <f>SUM(B7:C7)</f>
        <v>13892245</v>
      </c>
      <c r="E7" s="279">
        <f>SUM(E8:E11)</f>
        <v>10130419</v>
      </c>
      <c r="F7" s="279">
        <f>SUM(F8:F11)</f>
        <v>2994819.98</v>
      </c>
      <c r="G7" s="279">
        <f>SUM(G8:G11)</f>
        <v>3024962.29</v>
      </c>
      <c r="H7" s="279">
        <f>SUM(H8:H11)</f>
        <v>1675387.45</v>
      </c>
      <c r="I7" s="279">
        <f>+I8+I11+I9+I10</f>
        <v>7105456.71</v>
      </c>
      <c r="J7" s="280">
        <f>+J8+J11+J9+J10</f>
        <v>10867282.709999999</v>
      </c>
      <c r="K7" s="269">
        <f>+G7*100/E7</f>
        <v>29.860189297204784</v>
      </c>
      <c r="L7">
        <v>30142.309999999998</v>
      </c>
    </row>
    <row r="8" spans="1:12" ht="20.100000000000001" customHeight="1" x14ac:dyDescent="0.2">
      <c r="A8" s="210" t="s">
        <v>269</v>
      </c>
      <c r="B8" s="211">
        <v>7627600</v>
      </c>
      <c r="C8" s="212">
        <v>5738713</v>
      </c>
      <c r="D8" s="213">
        <f>SUM(B8:C8)</f>
        <v>13366313</v>
      </c>
      <c r="E8" s="213">
        <v>9933893</v>
      </c>
      <c r="F8" s="213">
        <v>2992111.6</v>
      </c>
      <c r="G8" s="213">
        <f>L8+F8</f>
        <v>3008626.35</v>
      </c>
      <c r="H8" s="213">
        <v>1662508.89</v>
      </c>
      <c r="I8" s="213">
        <f>+E8-G8</f>
        <v>6925266.6500000004</v>
      </c>
      <c r="J8" s="214">
        <f t="shared" ref="J8:J16" si="0">+D8-G8</f>
        <v>10357686.65</v>
      </c>
      <c r="K8" s="215">
        <f t="shared" ref="K8:K13" si="1">+G8*100/E8</f>
        <v>30.286478322244864</v>
      </c>
      <c r="L8">
        <v>16514.75</v>
      </c>
    </row>
    <row r="9" spans="1:12" ht="18.75" customHeight="1" x14ac:dyDescent="0.2">
      <c r="A9" s="216" t="s">
        <v>354</v>
      </c>
      <c r="B9" s="217">
        <v>215650</v>
      </c>
      <c r="C9" s="212">
        <v>-53984</v>
      </c>
      <c r="D9" s="213">
        <f>SUM(B9:C9)</f>
        <v>161666</v>
      </c>
      <c r="E9" s="213">
        <v>50214</v>
      </c>
      <c r="F9" s="213">
        <v>0</v>
      </c>
      <c r="G9" s="213">
        <f>L9+F9</f>
        <v>4286.46</v>
      </c>
      <c r="H9" s="213">
        <v>4286.46</v>
      </c>
      <c r="I9" s="213">
        <f>+E9-G9</f>
        <v>45927.54</v>
      </c>
      <c r="J9" s="214">
        <f>+D9-G9</f>
        <v>157379.54</v>
      </c>
      <c r="K9" s="215">
        <f>+G9*100/E9</f>
        <v>8.5363842753017085</v>
      </c>
      <c r="L9">
        <v>4286.46</v>
      </c>
    </row>
    <row r="10" spans="1:12" ht="42.75" customHeight="1" x14ac:dyDescent="0.2">
      <c r="A10" s="218" t="s">
        <v>308</v>
      </c>
      <c r="B10" s="226">
        <v>148750</v>
      </c>
      <c r="C10" s="219">
        <v>22300</v>
      </c>
      <c r="D10" s="220">
        <f>SUM(B10:C10)</f>
        <v>171050</v>
      </c>
      <c r="E10" s="220">
        <v>104112</v>
      </c>
      <c r="F10" s="220">
        <v>2708.38</v>
      </c>
      <c r="G10" s="220">
        <f>L10+F10</f>
        <v>11460.98</v>
      </c>
      <c r="H10" s="220">
        <v>8003.6</v>
      </c>
      <c r="I10" s="220">
        <f>+E10-G10</f>
        <v>92651.02</v>
      </c>
      <c r="J10" s="221">
        <f>+D10-G10</f>
        <v>159589.01999999999</v>
      </c>
      <c r="K10" s="215">
        <f>+G10*100/E10</f>
        <v>11.008317965268173</v>
      </c>
      <c r="L10">
        <v>8752.6</v>
      </c>
    </row>
    <row r="11" spans="1:12" ht="20.100000000000001" customHeight="1" x14ac:dyDescent="0.2">
      <c r="A11" s="216" t="s">
        <v>297</v>
      </c>
      <c r="B11" s="211">
        <v>335592</v>
      </c>
      <c r="C11" s="212">
        <v>-142376</v>
      </c>
      <c r="D11" s="213">
        <f>SUM(B11:C11)</f>
        <v>193216</v>
      </c>
      <c r="E11" s="213">
        <v>42200</v>
      </c>
      <c r="F11" s="213">
        <v>0</v>
      </c>
      <c r="G11" s="213">
        <f>L11+F11</f>
        <v>588.5</v>
      </c>
      <c r="H11" s="213">
        <v>588.5</v>
      </c>
      <c r="I11" s="213">
        <f>+E11-G11</f>
        <v>41611.5</v>
      </c>
      <c r="J11" s="214">
        <f>+D11-G11</f>
        <v>192627.5</v>
      </c>
      <c r="K11" s="215">
        <f>+G11*100/E11</f>
        <v>1.3945497630331753</v>
      </c>
      <c r="L11">
        <v>588.5</v>
      </c>
    </row>
    <row r="12" spans="1:12" ht="20.100000000000001" customHeight="1" x14ac:dyDescent="0.2">
      <c r="A12" s="281" t="s">
        <v>270</v>
      </c>
      <c r="B12" s="282">
        <f>SUM(B13:B17)</f>
        <v>788425</v>
      </c>
      <c r="C12" s="283">
        <f>SUM(C13:C17)</f>
        <v>234938</v>
      </c>
      <c r="D12" s="284">
        <f>B12+C12</f>
        <v>1023363</v>
      </c>
      <c r="E12" s="284">
        <f>SUM(E13:E17)</f>
        <v>658824</v>
      </c>
      <c r="F12" s="284">
        <f>SUM(F13:F17)</f>
        <v>107764.7</v>
      </c>
      <c r="G12" s="279">
        <f>SUM(G13:G17)</f>
        <v>138001.49</v>
      </c>
      <c r="H12" s="284">
        <f>SUM(H13:H17)</f>
        <v>10400.9</v>
      </c>
      <c r="I12" s="284">
        <f>E12-G12</f>
        <v>520822.51</v>
      </c>
      <c r="J12" s="280">
        <f t="shared" si="0"/>
        <v>885361.51</v>
      </c>
      <c r="K12" s="269">
        <f>+G12*100/E12</f>
        <v>20.946639770257306</v>
      </c>
      <c r="L12">
        <v>30236.79</v>
      </c>
    </row>
    <row r="13" spans="1:12" ht="27" customHeight="1" x14ac:dyDescent="0.2">
      <c r="A13" s="227" t="s">
        <v>316</v>
      </c>
      <c r="B13" s="228">
        <v>33425</v>
      </c>
      <c r="C13" s="229">
        <v>-3000</v>
      </c>
      <c r="D13" s="230">
        <f>SUM(B13:C13)</f>
        <v>30425</v>
      </c>
      <c r="E13" s="220">
        <v>15384</v>
      </c>
      <c r="F13" s="220"/>
      <c r="G13" s="220">
        <v>0</v>
      </c>
      <c r="H13" s="220">
        <v>0</v>
      </c>
      <c r="I13" s="220">
        <f t="shared" ref="I13" si="2">+E13-G13</f>
        <v>15384</v>
      </c>
      <c r="J13" s="221">
        <f t="shared" si="0"/>
        <v>30425</v>
      </c>
      <c r="K13" s="215">
        <f t="shared" si="1"/>
        <v>0</v>
      </c>
      <c r="L13">
        <v>0</v>
      </c>
    </row>
    <row r="14" spans="1:12" ht="33" customHeight="1" x14ac:dyDescent="0.2">
      <c r="A14" s="227" t="s">
        <v>355</v>
      </c>
      <c r="B14" s="222"/>
      <c r="C14" s="223">
        <v>124300</v>
      </c>
      <c r="D14" s="224">
        <f>SUM(B14:C14)</f>
        <v>124300</v>
      </c>
      <c r="E14" s="213">
        <v>124300</v>
      </c>
      <c r="F14" s="213">
        <v>17795.86</v>
      </c>
      <c r="G14" s="213">
        <f>+L14+F14</f>
        <v>19308.66</v>
      </c>
      <c r="H14" s="213"/>
      <c r="I14" s="213"/>
      <c r="J14" s="214"/>
      <c r="K14" s="215"/>
      <c r="L14">
        <v>1512.8</v>
      </c>
    </row>
    <row r="15" spans="1:12" ht="20.100000000000001" customHeight="1" x14ac:dyDescent="0.2">
      <c r="A15" s="227" t="s">
        <v>331</v>
      </c>
      <c r="B15" s="222"/>
      <c r="C15" s="223">
        <v>454500</v>
      </c>
      <c r="D15" s="224">
        <f>SUM(B15:C15)</f>
        <v>454500</v>
      </c>
      <c r="E15" s="213">
        <v>454500</v>
      </c>
      <c r="F15" s="213">
        <v>87729.86</v>
      </c>
      <c r="G15" s="213">
        <f>L15+F15</f>
        <v>115301.46</v>
      </c>
      <c r="H15" s="213">
        <v>10400.9</v>
      </c>
      <c r="I15" s="213">
        <f t="shared" ref="I15:I16" si="3">+E15-G15</f>
        <v>339198.54</v>
      </c>
      <c r="J15" s="214">
        <f t="shared" si="0"/>
        <v>339198.54</v>
      </c>
      <c r="K15" s="215">
        <f>+G15*100/E15</f>
        <v>25.368858085808579</v>
      </c>
      <c r="L15">
        <v>27571.600000000002</v>
      </c>
    </row>
    <row r="16" spans="1:12" ht="35.25" customHeight="1" x14ac:dyDescent="0.2">
      <c r="A16" s="227" t="s">
        <v>317</v>
      </c>
      <c r="B16" s="228">
        <v>200000</v>
      </c>
      <c r="C16" s="229">
        <v>-110000</v>
      </c>
      <c r="D16" s="230">
        <f>SUM(B16:C16)</f>
        <v>90000</v>
      </c>
      <c r="E16" s="220">
        <v>0</v>
      </c>
      <c r="F16" s="220"/>
      <c r="G16" s="220">
        <v>0</v>
      </c>
      <c r="H16" s="220"/>
      <c r="I16" s="220">
        <f t="shared" si="3"/>
        <v>0</v>
      </c>
      <c r="J16" s="221">
        <f t="shared" si="0"/>
        <v>90000</v>
      </c>
      <c r="K16" s="215">
        <v>0</v>
      </c>
      <c r="L16" s="231">
        <v>0</v>
      </c>
    </row>
    <row r="17" spans="1:12" ht="33.75" customHeight="1" x14ac:dyDescent="0.2">
      <c r="A17" s="227" t="s">
        <v>318</v>
      </c>
      <c r="B17" s="228">
        <v>555000</v>
      </c>
      <c r="C17" s="229">
        <v>-230862</v>
      </c>
      <c r="D17" s="230">
        <f>SUM(B17:C17)</f>
        <v>324138</v>
      </c>
      <c r="E17" s="220">
        <v>64640</v>
      </c>
      <c r="F17" s="220">
        <v>2238.98</v>
      </c>
      <c r="G17" s="220">
        <f>+L17+F17</f>
        <v>3391.37</v>
      </c>
      <c r="H17" s="220"/>
      <c r="I17" s="220">
        <f>+E17-G17</f>
        <v>61248.63</v>
      </c>
      <c r="J17" s="221">
        <f>+D17-G17</f>
        <v>320746.63</v>
      </c>
      <c r="K17" s="215"/>
      <c r="L17">
        <v>1152.3900000000001</v>
      </c>
    </row>
    <row r="18" spans="1:12" ht="20.100000000000001" customHeight="1" x14ac:dyDescent="0.2">
      <c r="A18" s="281" t="s">
        <v>309</v>
      </c>
      <c r="B18" s="276">
        <f>SUM(B19:B21)</f>
        <v>94517</v>
      </c>
      <c r="C18" s="277"/>
      <c r="D18" s="278">
        <f>SUM(D19:D21)</f>
        <v>94517</v>
      </c>
      <c r="E18" s="278">
        <f>SUM(E19:E21)</f>
        <v>51984</v>
      </c>
      <c r="F18" s="278">
        <f>SUM(F19:F21)</f>
        <v>0</v>
      </c>
      <c r="G18" s="279">
        <f>L18+F18</f>
        <v>0</v>
      </c>
      <c r="H18" s="278">
        <f>SUM(H19:H21)</f>
        <v>0</v>
      </c>
      <c r="I18" s="279">
        <f>E18-G18</f>
        <v>51984</v>
      </c>
      <c r="J18" s="280">
        <f>D18-G18</f>
        <v>94517</v>
      </c>
      <c r="K18" s="269">
        <f>+G18*100/E18</f>
        <v>0</v>
      </c>
      <c r="L18">
        <v>0</v>
      </c>
    </row>
    <row r="19" spans="1:12" ht="20.100000000000001" customHeight="1" x14ac:dyDescent="0.2">
      <c r="A19" s="232" t="s">
        <v>310</v>
      </c>
      <c r="B19" s="222">
        <v>500</v>
      </c>
      <c r="C19" s="225"/>
      <c r="D19" s="224">
        <f>SUM(B19:C19)</f>
        <v>500</v>
      </c>
      <c r="E19" s="213">
        <v>275</v>
      </c>
      <c r="F19" s="213">
        <v>0</v>
      </c>
      <c r="G19" s="220">
        <f t="shared" ref="G19:G21" si="4">+L19+F19</f>
        <v>0</v>
      </c>
      <c r="H19" s="213">
        <v>0</v>
      </c>
      <c r="I19" s="213">
        <f>E19-G19</f>
        <v>275</v>
      </c>
      <c r="J19" s="214">
        <f>D19-G19</f>
        <v>500</v>
      </c>
      <c r="K19" s="215">
        <f>+G19*100/E19</f>
        <v>0</v>
      </c>
      <c r="L19">
        <v>0</v>
      </c>
    </row>
    <row r="20" spans="1:12" ht="20.100000000000001" customHeight="1" x14ac:dyDescent="0.2">
      <c r="A20" s="232" t="s">
        <v>304</v>
      </c>
      <c r="B20" s="222">
        <v>19017</v>
      </c>
      <c r="C20" s="225">
        <v>0</v>
      </c>
      <c r="D20" s="224">
        <f>SUM(B20:C20)</f>
        <v>19017</v>
      </c>
      <c r="E20" s="224">
        <v>10459</v>
      </c>
      <c r="F20" s="224">
        <v>0</v>
      </c>
      <c r="G20" s="220">
        <f t="shared" si="4"/>
        <v>0</v>
      </c>
      <c r="H20" s="213"/>
      <c r="I20" s="213">
        <f t="shared" ref="I20:I21" si="5">E20-G20</f>
        <v>10459</v>
      </c>
      <c r="J20" s="214">
        <f>+D20-G20</f>
        <v>19017</v>
      </c>
      <c r="K20" s="215"/>
      <c r="L20">
        <v>0</v>
      </c>
    </row>
    <row r="21" spans="1:12" ht="28.15" customHeight="1" x14ac:dyDescent="0.2">
      <c r="A21" s="233" t="s">
        <v>315</v>
      </c>
      <c r="B21" s="228">
        <v>75000</v>
      </c>
      <c r="C21" s="229"/>
      <c r="D21" s="230">
        <f>SUM(B21:C21)</f>
        <v>75000</v>
      </c>
      <c r="E21" s="230">
        <v>41250</v>
      </c>
      <c r="F21" s="230">
        <v>0</v>
      </c>
      <c r="G21" s="220">
        <f t="shared" si="4"/>
        <v>0</v>
      </c>
      <c r="H21" s="220"/>
      <c r="I21" s="220">
        <f t="shared" si="5"/>
        <v>41250</v>
      </c>
      <c r="J21" s="214">
        <f t="shared" ref="J21" si="6">+D21-G21</f>
        <v>75000</v>
      </c>
      <c r="K21" s="215">
        <v>0</v>
      </c>
      <c r="L21">
        <v>0</v>
      </c>
    </row>
    <row r="22" spans="1:12" ht="20.100000000000001" customHeight="1" x14ac:dyDescent="0.2">
      <c r="A22" s="285" t="s">
        <v>17</v>
      </c>
      <c r="B22" s="286">
        <f>B7+B12+B18</f>
        <v>9210534</v>
      </c>
      <c r="C22" s="287">
        <f>C7+C12+C18</f>
        <v>5799591</v>
      </c>
      <c r="D22" s="288">
        <f>SUM(B22:C22)</f>
        <v>15010125</v>
      </c>
      <c r="E22" s="288">
        <f>E7+E12+E18</f>
        <v>10841227</v>
      </c>
      <c r="F22" s="288">
        <f>F7+F12+F18</f>
        <v>3102584.68</v>
      </c>
      <c r="G22" s="288">
        <f>L22+F22</f>
        <v>3162963.7800000003</v>
      </c>
      <c r="H22" s="288">
        <f>H7+H12+H18</f>
        <v>1685788.3499999999</v>
      </c>
      <c r="I22" s="288">
        <f>E22-G22</f>
        <v>7678263.2199999997</v>
      </c>
      <c r="J22" s="289">
        <f>D22-G22</f>
        <v>11847161.219999999</v>
      </c>
      <c r="K22" s="269">
        <f>+G22*100/E22</f>
        <v>29.175330246290386</v>
      </c>
      <c r="L22">
        <v>60379.1</v>
      </c>
    </row>
    <row r="23" spans="1:12" ht="20.100000000000001" customHeight="1" x14ac:dyDescent="0.2">
      <c r="A23" s="29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t="s">
        <v>4</v>
      </c>
    </row>
  </sheetData>
  <mergeCells count="4">
    <mergeCell ref="A1:K1"/>
    <mergeCell ref="A2:K2"/>
    <mergeCell ref="A3:K3"/>
    <mergeCell ref="A4:K4"/>
  </mergeCells>
  <pageMargins left="0.51181102362204722" right="0.31496062992125984" top="0.74803149606299213" bottom="0.74803149606299213" header="0.31496062992125984" footer="0.31496062992125984"/>
  <pageSetup scale="80" fitToWidth="0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</vt:lpstr>
      <vt:lpstr>Funcionamiento</vt:lpstr>
      <vt:lpstr>Inversiones</vt:lpstr>
      <vt:lpstr>Ingresos!Área_de_impresión</vt:lpstr>
      <vt:lpstr>Funcionamiento!Títulos_a_imprimir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CASTILLO</dc:creator>
  <cp:lastModifiedBy>JAIME YOUNG</cp:lastModifiedBy>
  <cp:lastPrinted>2021-07-13T18:03:07Z</cp:lastPrinted>
  <dcterms:created xsi:type="dcterms:W3CDTF">2010-01-07T20:52:23Z</dcterms:created>
  <dcterms:modified xsi:type="dcterms:W3CDTF">2021-07-14T17:57:22Z</dcterms:modified>
</cp:coreProperties>
</file>