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0 2021\INFORME EJECUCIÓN 2021\PAGINA WEB\OCTUBRE\"/>
    </mc:Choice>
  </mc:AlternateContent>
  <bookViews>
    <workbookView xWindow="0" yWindow="0" windowWidth="28800" windowHeight="11400" tabRatio="876" activeTab="1"/>
  </bookViews>
  <sheets>
    <sheet name="funcionamiento" sheetId="24" r:id="rId1"/>
    <sheet name="Inversiones" sheetId="23" r:id="rId2"/>
  </sheets>
  <externalReferences>
    <externalReference r:id="rId3"/>
  </externalReferences>
  <definedNames>
    <definedName name="a">"$#REF!.$CP$1"</definedName>
    <definedName name="_xlnm.Print_Area" localSheetId="1">Inversiones!$A$1:$N$58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0">funcionamiento!$4:$11</definedName>
  </definedNames>
  <calcPr calcId="162913"/>
</workbook>
</file>

<file path=xl/calcChain.xml><?xml version="1.0" encoding="utf-8"?>
<calcChain xmlns="http://schemas.openxmlformats.org/spreadsheetml/2006/main">
  <c r="I16" i="23" l="1"/>
  <c r="I50" i="23"/>
  <c r="H38" i="23"/>
  <c r="H37" i="23"/>
  <c r="H31" i="23"/>
  <c r="E31" i="23"/>
  <c r="D22" i="23"/>
  <c r="F199" i="24"/>
  <c r="D199" i="24"/>
  <c r="D192" i="24"/>
  <c r="D180" i="24"/>
  <c r="I172" i="24"/>
  <c r="F140" i="24"/>
  <c r="D140" i="24"/>
  <c r="G139" i="24"/>
  <c r="G135" i="24"/>
  <c r="G129" i="24"/>
  <c r="G128" i="24"/>
  <c r="G123" i="24"/>
  <c r="G121" i="24" l="1"/>
  <c r="G120" i="24"/>
  <c r="G119" i="24"/>
  <c r="G115" i="24"/>
  <c r="G97" i="24"/>
  <c r="G70" i="24"/>
  <c r="D69" i="24"/>
  <c r="H16" i="24"/>
  <c r="E20" i="24"/>
  <c r="F36" i="23" l="1"/>
  <c r="D10" i="23"/>
  <c r="D50" i="23"/>
  <c r="J188" i="24" l="1"/>
  <c r="G172" i="24"/>
  <c r="J160" i="24"/>
  <c r="J153" i="24"/>
  <c r="E168" i="24"/>
  <c r="F151" i="24" l="1"/>
  <c r="D151" i="24"/>
  <c r="E136" i="24"/>
  <c r="G91" i="24"/>
  <c r="H92" i="24" l="1"/>
  <c r="J92" i="24" s="1"/>
  <c r="F80" i="24"/>
  <c r="D80" i="24"/>
  <c r="G80" i="24"/>
  <c r="J87" i="24"/>
  <c r="K87" i="24"/>
  <c r="E87" i="24"/>
  <c r="D54" i="24"/>
  <c r="H52" i="24"/>
  <c r="J52" i="24" s="1"/>
  <c r="H20" i="24"/>
  <c r="M52" i="24" l="1"/>
  <c r="K52" i="24"/>
  <c r="E41" i="23" l="1"/>
  <c r="J21" i="23"/>
  <c r="F16" i="23"/>
  <c r="D16" i="23"/>
  <c r="G16" i="23"/>
  <c r="H23" i="23"/>
  <c r="H22" i="23"/>
  <c r="H17" i="23"/>
  <c r="N17" i="23" s="1"/>
  <c r="E17" i="23"/>
  <c r="I151" i="24"/>
  <c r="I150" i="24" s="1"/>
  <c r="K153" i="24"/>
  <c r="E153" i="24"/>
  <c r="J17" i="23" l="1"/>
  <c r="G45" i="24"/>
  <c r="I13" i="24"/>
  <c r="H42" i="23" l="1"/>
  <c r="G151" i="24" l="1"/>
  <c r="H154" i="24"/>
  <c r="J154" i="24" s="1"/>
  <c r="I130" i="24"/>
  <c r="H104" i="24"/>
  <c r="J104" i="24" s="1"/>
  <c r="G100" i="24"/>
  <c r="H147" i="24"/>
  <c r="J147" i="24" s="1"/>
  <c r="F57" i="24" l="1"/>
  <c r="H62" i="24"/>
  <c r="J62" i="24" s="1"/>
  <c r="I36" i="23" l="1"/>
  <c r="G50" i="23"/>
  <c r="I47" i="23"/>
  <c r="G47" i="23"/>
  <c r="H52" i="23"/>
  <c r="H50" i="23" s="1"/>
  <c r="H48" i="23"/>
  <c r="N48" i="23" s="1"/>
  <c r="H45" i="23"/>
  <c r="H44" i="23"/>
  <c r="H43" i="23"/>
  <c r="H40" i="23"/>
  <c r="H39" i="23"/>
  <c r="H34" i="23"/>
  <c r="H30" i="23"/>
  <c r="D47" i="23"/>
  <c r="H20" i="23"/>
  <c r="H47" i="23" l="1"/>
  <c r="G166" i="24"/>
  <c r="G150" i="24" s="1"/>
  <c r="H84" i="24"/>
  <c r="J84" i="24" s="1"/>
  <c r="H81" i="24"/>
  <c r="J81" i="24" s="1"/>
  <c r="D49" i="24"/>
  <c r="H19" i="24" l="1"/>
  <c r="J19" i="24" s="1"/>
  <c r="N41" i="23" l="1"/>
  <c r="N40" i="23"/>
  <c r="N38" i="23"/>
  <c r="N37" i="23"/>
  <c r="N42" i="23"/>
  <c r="N39" i="23"/>
  <c r="I25" i="23"/>
  <c r="N30" i="23"/>
  <c r="H16" i="23"/>
  <c r="I181" i="24" l="1"/>
  <c r="H176" i="24"/>
  <c r="H175" i="24"/>
  <c r="H174" i="24"/>
  <c r="H173" i="24"/>
  <c r="H167" i="24"/>
  <c r="J167" i="24" s="1"/>
  <c r="M154" i="24"/>
  <c r="K154" i="24"/>
  <c r="I140" i="24"/>
  <c r="F130" i="24"/>
  <c r="H91" i="24"/>
  <c r="I45" i="24"/>
  <c r="I61" i="24"/>
  <c r="F45" i="24"/>
  <c r="H88" i="24"/>
  <c r="J88" i="24" s="1"/>
  <c r="H86" i="24"/>
  <c r="J86" i="24" s="1"/>
  <c r="H85" i="24"/>
  <c r="J85" i="24" s="1"/>
  <c r="H51" i="24"/>
  <c r="I38" i="24"/>
  <c r="F17" i="24"/>
  <c r="E154" i="24"/>
  <c r="L154" i="24" s="1"/>
  <c r="D73" i="24"/>
  <c r="D61" i="24"/>
  <c r="D45" i="24"/>
  <c r="E52" i="24"/>
  <c r="M173" i="24" l="1"/>
  <c r="J173" i="24"/>
  <c r="M174" i="24"/>
  <c r="J174" i="24"/>
  <c r="M175" i="24"/>
  <c r="J175" i="24"/>
  <c r="M176" i="24"/>
  <c r="J176" i="24"/>
  <c r="K51" i="24"/>
  <c r="J51" i="24"/>
  <c r="M84" i="24"/>
  <c r="M81" i="24"/>
  <c r="M51" i="24"/>
  <c r="F25" i="23" l="1"/>
  <c r="E42" i="23"/>
  <c r="G36" i="23"/>
  <c r="H36" i="23" s="1"/>
  <c r="E40" i="23"/>
  <c r="E37" i="23"/>
  <c r="G25" i="23"/>
  <c r="E30" i="23"/>
  <c r="J23" i="23"/>
  <c r="N23" i="23"/>
  <c r="E23" i="23"/>
  <c r="M23" i="23" s="1"/>
  <c r="E21" i="23"/>
  <c r="M21" i="23" s="1"/>
  <c r="E20" i="23"/>
  <c r="E14" i="23"/>
  <c r="H25" i="23" l="1"/>
  <c r="N25" i="23" s="1"/>
  <c r="M167" i="24"/>
  <c r="E190" i="24"/>
  <c r="I124" i="24"/>
  <c r="F100" i="24"/>
  <c r="F94" i="24"/>
  <c r="D116" i="24"/>
  <c r="G94" i="24"/>
  <c r="H201" i="24"/>
  <c r="J201" i="24" s="1"/>
  <c r="D188" i="24"/>
  <c r="I179" i="24"/>
  <c r="F172" i="24"/>
  <c r="D172" i="24"/>
  <c r="K176" i="24"/>
  <c r="K175" i="24"/>
  <c r="K174" i="24"/>
  <c r="K173" i="24"/>
  <c r="H177" i="24"/>
  <c r="J177" i="24" s="1"/>
  <c r="E173" i="24"/>
  <c r="L173" i="24" s="1"/>
  <c r="E176" i="24"/>
  <c r="L176" i="24" s="1"/>
  <c r="E175" i="24"/>
  <c r="L175" i="24" s="1"/>
  <c r="E174" i="24"/>
  <c r="L174" i="24" s="1"/>
  <c r="K167" i="24"/>
  <c r="F166" i="24"/>
  <c r="F150" i="24" s="1"/>
  <c r="D166" i="24"/>
  <c r="E167" i="24"/>
  <c r="L167" i="24" s="1"/>
  <c r="E144" i="24"/>
  <c r="H144" i="24"/>
  <c r="E108" i="24"/>
  <c r="H107" i="24"/>
  <c r="J107" i="24" s="1"/>
  <c r="E95" i="24"/>
  <c r="F91" i="24"/>
  <c r="I80" i="24"/>
  <c r="H83" i="24"/>
  <c r="E51" i="24"/>
  <c r="I30" i="24"/>
  <c r="D150" i="24" l="1"/>
  <c r="M83" i="24"/>
  <c r="J83" i="24"/>
  <c r="K144" i="24"/>
  <c r="J144" i="24"/>
  <c r="K177" i="24"/>
  <c r="H172" i="24"/>
  <c r="J172" i="24" s="1"/>
  <c r="D186" i="24"/>
  <c r="M177" i="24"/>
  <c r="M144" i="24"/>
  <c r="K83" i="24"/>
  <c r="E166" i="24"/>
  <c r="L144" i="24"/>
  <c r="L55" i="23" l="1"/>
  <c r="K55" i="23"/>
  <c r="K53" i="23" s="1"/>
  <c r="K52" i="23" s="1"/>
  <c r="K51" i="23" s="1"/>
  <c r="K50" i="23" s="1"/>
  <c r="K48" i="23" s="1"/>
  <c r="K47" i="23" s="1"/>
  <c r="K45" i="23" s="1"/>
  <c r="K44" i="23" s="1"/>
  <c r="K43" i="23" s="1"/>
  <c r="K42" i="23" s="1"/>
  <c r="K41" i="23" s="1"/>
  <c r="K40" i="23" s="1"/>
  <c r="K39" i="23" s="1"/>
  <c r="K38" i="23" s="1"/>
  <c r="K37" i="23" s="1"/>
  <c r="K36" i="23" s="1"/>
  <c r="K34" i="23" s="1"/>
  <c r="K33" i="23" s="1"/>
  <c r="K32" i="23" s="1"/>
  <c r="K31" i="23" s="1"/>
  <c r="K30" i="23" s="1"/>
  <c r="K29" i="23" s="1"/>
  <c r="K28" i="23" s="1"/>
  <c r="K27" i="23" s="1"/>
  <c r="K26" i="23" s="1"/>
  <c r="K25" i="23" s="1"/>
  <c r="K22" i="23" s="1"/>
  <c r="K20" i="23" s="1"/>
  <c r="K19" i="23" s="1"/>
  <c r="K18" i="23" s="1"/>
  <c r="K16" i="23" s="1"/>
  <c r="K14" i="23" s="1"/>
  <c r="K13" i="23" s="1"/>
  <c r="K12" i="23" s="1"/>
  <c r="K11" i="23" s="1"/>
  <c r="L53" i="23"/>
  <c r="J53" i="23"/>
  <c r="L52" i="23"/>
  <c r="L51" i="23"/>
  <c r="L50" i="23"/>
  <c r="L48" i="23"/>
  <c r="J48" i="23"/>
  <c r="L47" i="23"/>
  <c r="L45" i="23"/>
  <c r="J45" i="23"/>
  <c r="L44" i="23"/>
  <c r="J44" i="23"/>
  <c r="L43" i="23"/>
  <c r="J43" i="23"/>
  <c r="M42" i="23"/>
  <c r="L42" i="23"/>
  <c r="J42" i="23"/>
  <c r="M41" i="23"/>
  <c r="L41" i="23"/>
  <c r="J41" i="23"/>
  <c r="M40" i="23"/>
  <c r="L40" i="23"/>
  <c r="J40" i="23"/>
  <c r="L39" i="23"/>
  <c r="J39" i="23"/>
  <c r="L38" i="23"/>
  <c r="J38" i="23"/>
  <c r="M37" i="23"/>
  <c r="L37" i="23"/>
  <c r="J37" i="23"/>
  <c r="L36" i="23"/>
  <c r="L34" i="23"/>
  <c r="M33" i="23"/>
  <c r="L33" i="23"/>
  <c r="J33" i="23"/>
  <c r="M32" i="23"/>
  <c r="L32" i="23"/>
  <c r="J32" i="23"/>
  <c r="M31" i="23"/>
  <c r="L31" i="23"/>
  <c r="J31" i="23"/>
  <c r="M30" i="23"/>
  <c r="L30" i="23"/>
  <c r="J30" i="23"/>
  <c r="M29" i="23"/>
  <c r="L29" i="23"/>
  <c r="L28" i="23"/>
  <c r="J28" i="23"/>
  <c r="M27" i="23"/>
  <c r="L27" i="23"/>
  <c r="J27" i="23"/>
  <c r="M26" i="23"/>
  <c r="L26" i="23"/>
  <c r="J26" i="23"/>
  <c r="L25" i="23"/>
  <c r="L22" i="23"/>
  <c r="J22" i="23"/>
  <c r="L20" i="23"/>
  <c r="L19" i="23"/>
  <c r="J19" i="23"/>
  <c r="L18" i="23"/>
  <c r="J18" i="23"/>
  <c r="L16" i="23"/>
  <c r="L14" i="23"/>
  <c r="J14" i="23"/>
  <c r="L13" i="23"/>
  <c r="J13" i="23"/>
  <c r="L12" i="23"/>
  <c r="J12" i="23"/>
  <c r="L11" i="23"/>
  <c r="N45" i="23"/>
  <c r="N44" i="23"/>
  <c r="N43" i="23"/>
  <c r="N52" i="23"/>
  <c r="N22" i="23"/>
  <c r="N18" i="23"/>
  <c r="N14" i="23"/>
  <c r="N13" i="23"/>
  <c r="N12" i="23"/>
  <c r="F50" i="23"/>
  <c r="N50" i="23" s="1"/>
  <c r="F47" i="23"/>
  <c r="J47" i="23" s="1"/>
  <c r="C36" i="23"/>
  <c r="I10" i="23"/>
  <c r="I55" i="23" s="1"/>
  <c r="G10" i="23"/>
  <c r="E53" i="23"/>
  <c r="M53" i="23" s="1"/>
  <c r="E52" i="23"/>
  <c r="M52" i="23" s="1"/>
  <c r="E51" i="23"/>
  <c r="M51" i="23" s="1"/>
  <c r="E48" i="23"/>
  <c r="E47" i="23" s="1"/>
  <c r="M47" i="23" s="1"/>
  <c r="D36" i="23"/>
  <c r="E45" i="23"/>
  <c r="M45" i="23" s="1"/>
  <c r="E44" i="23"/>
  <c r="M44" i="23" s="1"/>
  <c r="E43" i="23"/>
  <c r="M43" i="23" s="1"/>
  <c r="E39" i="23"/>
  <c r="M39" i="23" s="1"/>
  <c r="E38" i="23"/>
  <c r="M38" i="23" s="1"/>
  <c r="J25" i="23"/>
  <c r="D25" i="23"/>
  <c r="E34" i="23"/>
  <c r="E28" i="23"/>
  <c r="M28" i="23" s="1"/>
  <c r="N16" i="23"/>
  <c r="C16" i="23"/>
  <c r="E22" i="23"/>
  <c r="M22" i="23" s="1"/>
  <c r="E19" i="23"/>
  <c r="M19" i="23" s="1"/>
  <c r="E18" i="23"/>
  <c r="M18" i="23" s="1"/>
  <c r="M14" i="23"/>
  <c r="E13" i="23"/>
  <c r="M13" i="23" s="1"/>
  <c r="F11" i="23"/>
  <c r="F10" i="23" s="1"/>
  <c r="E12" i="23"/>
  <c r="E11" i="23" s="1"/>
  <c r="G55" i="23" l="1"/>
  <c r="J36" i="23"/>
  <c r="N36" i="23"/>
  <c r="E36" i="23"/>
  <c r="M36" i="23" s="1"/>
  <c r="E16" i="23"/>
  <c r="M16" i="23" s="1"/>
  <c r="J16" i="23"/>
  <c r="J50" i="23"/>
  <c r="F55" i="23"/>
  <c r="M12" i="23"/>
  <c r="M48" i="23"/>
  <c r="D55" i="23"/>
  <c r="N47" i="23"/>
  <c r="E50" i="23"/>
  <c r="M50" i="23" s="1"/>
  <c r="E15" i="24" l="1"/>
  <c r="E177" i="24"/>
  <c r="L177" i="24" s="1"/>
  <c r="H113" i="24"/>
  <c r="J113" i="24" s="1"/>
  <c r="H80" i="24"/>
  <c r="J80" i="24" s="1"/>
  <c r="D71" i="24"/>
  <c r="G66" i="24"/>
  <c r="E81" i="24"/>
  <c r="E88" i="24"/>
  <c r="E86" i="24"/>
  <c r="E84" i="24"/>
  <c r="E83" i="24"/>
  <c r="L83" i="24" s="1"/>
  <c r="M80" i="24" l="1"/>
  <c r="K201" i="24" l="1"/>
  <c r="D66" i="24"/>
  <c r="E197" i="24"/>
  <c r="E85" i="24"/>
  <c r="E82" i="24"/>
  <c r="H82" i="24"/>
  <c r="C80" i="24"/>
  <c r="H198" i="24"/>
  <c r="J198" i="24" s="1"/>
  <c r="H197" i="24"/>
  <c r="J197" i="24" s="1"/>
  <c r="H196" i="24"/>
  <c r="J196" i="24" s="1"/>
  <c r="H194" i="24"/>
  <c r="J194" i="24" s="1"/>
  <c r="H193" i="24"/>
  <c r="J193" i="24" s="1"/>
  <c r="H191" i="24"/>
  <c r="H190" i="24"/>
  <c r="H189" i="24"/>
  <c r="H187" i="24"/>
  <c r="H185" i="24"/>
  <c r="J185" i="24" s="1"/>
  <c r="H180" i="24"/>
  <c r="J180" i="24" s="1"/>
  <c r="H139" i="24"/>
  <c r="H138" i="24"/>
  <c r="H137" i="24"/>
  <c r="H136" i="24"/>
  <c r="J136" i="24" s="1"/>
  <c r="H135" i="24"/>
  <c r="J135" i="24" s="1"/>
  <c r="H134" i="24"/>
  <c r="J134" i="24" s="1"/>
  <c r="H133" i="24"/>
  <c r="J133" i="24" s="1"/>
  <c r="H132" i="24"/>
  <c r="J132" i="24" s="1"/>
  <c r="H131" i="24"/>
  <c r="J131" i="24" s="1"/>
  <c r="H129" i="24"/>
  <c r="J129" i="24" s="1"/>
  <c r="H128" i="24"/>
  <c r="J128" i="24" s="1"/>
  <c r="H127" i="24"/>
  <c r="J127" i="24" s="1"/>
  <c r="H126" i="24"/>
  <c r="J126" i="24" s="1"/>
  <c r="H125" i="24"/>
  <c r="J125" i="24" s="1"/>
  <c r="H123" i="24"/>
  <c r="J123" i="24" s="1"/>
  <c r="H122" i="24"/>
  <c r="J122" i="24" s="1"/>
  <c r="H121" i="24"/>
  <c r="J121" i="24" s="1"/>
  <c r="H120" i="24"/>
  <c r="J120" i="24" s="1"/>
  <c r="H119" i="24"/>
  <c r="J119" i="24" s="1"/>
  <c r="H118" i="24"/>
  <c r="J118" i="24" s="1"/>
  <c r="H117" i="24"/>
  <c r="J117" i="24" s="1"/>
  <c r="H115" i="24"/>
  <c r="J115" i="24" s="1"/>
  <c r="H114" i="24"/>
  <c r="J114" i="24" s="1"/>
  <c r="H112" i="24"/>
  <c r="J112" i="24" s="1"/>
  <c r="H111" i="24"/>
  <c r="J111" i="24" s="1"/>
  <c r="H109" i="24"/>
  <c r="J109" i="24" s="1"/>
  <c r="H108" i="24"/>
  <c r="J108" i="24" s="1"/>
  <c r="H105" i="24"/>
  <c r="J105" i="24" s="1"/>
  <c r="H103" i="24"/>
  <c r="J103" i="24" s="1"/>
  <c r="H102" i="24"/>
  <c r="J102" i="24" s="1"/>
  <c r="H101" i="24"/>
  <c r="J101" i="24" s="1"/>
  <c r="H99" i="24"/>
  <c r="J99" i="24" s="1"/>
  <c r="H98" i="24"/>
  <c r="J98" i="24" s="1"/>
  <c r="H97" i="24"/>
  <c r="J97" i="24" s="1"/>
  <c r="H96" i="24"/>
  <c r="J96" i="24" s="1"/>
  <c r="H95" i="24"/>
  <c r="J95" i="24" s="1"/>
  <c r="H93" i="24"/>
  <c r="J93" i="24" s="1"/>
  <c r="H79" i="24"/>
  <c r="H78" i="24"/>
  <c r="H77" i="24"/>
  <c r="H76" i="24"/>
  <c r="H75" i="24"/>
  <c r="H74" i="24"/>
  <c r="H72" i="24"/>
  <c r="H70" i="24"/>
  <c r="H69" i="24"/>
  <c r="H68" i="24"/>
  <c r="H67" i="24"/>
  <c r="H65" i="24"/>
  <c r="H64" i="24"/>
  <c r="H63" i="24"/>
  <c r="M62" i="24"/>
  <c r="H60" i="24"/>
  <c r="H59" i="24"/>
  <c r="H58" i="24"/>
  <c r="H56" i="24"/>
  <c r="H55" i="24"/>
  <c r="H53" i="24"/>
  <c r="H50" i="24"/>
  <c r="H49" i="24"/>
  <c r="H48" i="24"/>
  <c r="H47" i="24"/>
  <c r="H46" i="24"/>
  <c r="H44" i="24"/>
  <c r="H43" i="24"/>
  <c r="H42" i="24"/>
  <c r="H41" i="24"/>
  <c r="H40" i="24"/>
  <c r="H39" i="24"/>
  <c r="M190" i="24" l="1"/>
  <c r="J190" i="24"/>
  <c r="M191" i="24"/>
  <c r="J191" i="24"/>
  <c r="M187" i="24"/>
  <c r="J187" i="24"/>
  <c r="M189" i="24"/>
  <c r="J189" i="24"/>
  <c r="M68" i="24"/>
  <c r="J68" i="24"/>
  <c r="M137" i="24"/>
  <c r="J137" i="24"/>
  <c r="M40" i="24"/>
  <c r="J40" i="24"/>
  <c r="M44" i="24"/>
  <c r="J44" i="24"/>
  <c r="M56" i="24"/>
  <c r="J56" i="24"/>
  <c r="M67" i="24"/>
  <c r="J67" i="24"/>
  <c r="M72" i="24"/>
  <c r="J72" i="24"/>
  <c r="M77" i="24"/>
  <c r="J77" i="24"/>
  <c r="M82" i="24"/>
  <c r="J82" i="24"/>
  <c r="M46" i="24"/>
  <c r="J46" i="24"/>
  <c r="M41" i="24"/>
  <c r="J41" i="24"/>
  <c r="M63" i="24"/>
  <c r="J63" i="24"/>
  <c r="M42" i="24"/>
  <c r="J42" i="24"/>
  <c r="M53" i="24"/>
  <c r="J53" i="24"/>
  <c r="M59" i="24"/>
  <c r="J59" i="24"/>
  <c r="M64" i="24"/>
  <c r="J64" i="24"/>
  <c r="M69" i="24"/>
  <c r="J69" i="24"/>
  <c r="M58" i="24"/>
  <c r="J58" i="24"/>
  <c r="M74" i="24"/>
  <c r="J74" i="24"/>
  <c r="M39" i="24"/>
  <c r="J39" i="24"/>
  <c r="M43" i="24"/>
  <c r="J43" i="24"/>
  <c r="M48" i="24"/>
  <c r="J48" i="24"/>
  <c r="M55" i="24"/>
  <c r="J55" i="24"/>
  <c r="M60" i="24"/>
  <c r="J60" i="24"/>
  <c r="M65" i="24"/>
  <c r="J65" i="24"/>
  <c r="M76" i="24"/>
  <c r="J76" i="24"/>
  <c r="J139" i="24"/>
  <c r="K138" i="24"/>
  <c r="J138" i="24"/>
  <c r="M70" i="24"/>
  <c r="J70" i="24"/>
  <c r="M79" i="24"/>
  <c r="J79" i="24"/>
  <c r="M78" i="24"/>
  <c r="J78" i="24"/>
  <c r="M75" i="24"/>
  <c r="J75" i="24"/>
  <c r="M50" i="24"/>
  <c r="J50" i="24"/>
  <c r="M49" i="24"/>
  <c r="J49" i="24"/>
  <c r="M47" i="24"/>
  <c r="J47" i="24"/>
  <c r="M85" i="24"/>
  <c r="E80" i="24"/>
  <c r="K82" i="24"/>
  <c r="L85" i="24"/>
  <c r="L82" i="24"/>
  <c r="K85" i="24"/>
  <c r="J38" i="24" l="1"/>
  <c r="J45" i="24"/>
  <c r="K80" i="24"/>
  <c r="L80" i="24"/>
  <c r="C66" i="24" l="1"/>
  <c r="F66" i="24"/>
  <c r="F71" i="24"/>
  <c r="C71" i="24"/>
  <c r="C57" i="24" l="1"/>
  <c r="D13" i="24"/>
  <c r="D17" i="24"/>
  <c r="D23" i="24"/>
  <c r="D28" i="24"/>
  <c r="D30" i="24"/>
  <c r="D38" i="24"/>
  <c r="D57" i="24"/>
  <c r="D91" i="24"/>
  <c r="D94" i="24"/>
  <c r="D100" i="24"/>
  <c r="D106" i="24"/>
  <c r="D110" i="24"/>
  <c r="D124" i="24"/>
  <c r="D130" i="24"/>
  <c r="D179" i="24"/>
  <c r="D181" i="24"/>
  <c r="D184" i="24"/>
  <c r="D195" i="24"/>
  <c r="E14" i="24"/>
  <c r="E16" i="24"/>
  <c r="E18" i="24"/>
  <c r="E21" i="24"/>
  <c r="E22" i="24"/>
  <c r="E24" i="24"/>
  <c r="E25" i="24"/>
  <c r="E26" i="24"/>
  <c r="E27" i="24"/>
  <c r="E29" i="24"/>
  <c r="E31" i="24"/>
  <c r="E32" i="24"/>
  <c r="E33" i="24"/>
  <c r="E34" i="24"/>
  <c r="E35" i="24"/>
  <c r="E39" i="24"/>
  <c r="E40" i="24"/>
  <c r="E41" i="24"/>
  <c r="E42" i="24"/>
  <c r="E43" i="24"/>
  <c r="E44" i="24"/>
  <c r="E46" i="24"/>
  <c r="E48" i="24"/>
  <c r="E49" i="24"/>
  <c r="E50" i="24"/>
  <c r="E53" i="24"/>
  <c r="E55" i="24"/>
  <c r="E56" i="24"/>
  <c r="E58" i="24"/>
  <c r="E59" i="24"/>
  <c r="E60" i="24"/>
  <c r="E62" i="24"/>
  <c r="E63" i="24"/>
  <c r="E64" i="24"/>
  <c r="E65" i="24"/>
  <c r="E67" i="24"/>
  <c r="E68" i="24"/>
  <c r="E69" i="24"/>
  <c r="E70" i="24"/>
  <c r="E72" i="24"/>
  <c r="E74" i="24"/>
  <c r="E75" i="24"/>
  <c r="E76" i="24"/>
  <c r="E77" i="24"/>
  <c r="E78" i="24"/>
  <c r="E79" i="24"/>
  <c r="E92" i="24"/>
  <c r="E93" i="24"/>
  <c r="E96" i="24"/>
  <c r="E97" i="24"/>
  <c r="E98" i="24"/>
  <c r="E99" i="24"/>
  <c r="E101" i="24"/>
  <c r="E102" i="24"/>
  <c r="E103" i="24"/>
  <c r="E104" i="24"/>
  <c r="E105" i="24"/>
  <c r="D90" i="24" l="1"/>
  <c r="D183" i="24"/>
  <c r="D37" i="24"/>
  <c r="E66" i="24"/>
  <c r="D12" i="24"/>
  <c r="D178" i="24"/>
  <c r="E28" i="24"/>
  <c r="E13" i="24"/>
  <c r="H11" i="23" l="1"/>
  <c r="H10" i="23" l="1"/>
  <c r="N11" i="23"/>
  <c r="M11" i="23"/>
  <c r="J11" i="23"/>
  <c r="H55" i="23" l="1"/>
  <c r="N10" i="23"/>
  <c r="J10" i="23"/>
  <c r="H151" i="24"/>
  <c r="J151" i="24" s="1"/>
  <c r="H152" i="24"/>
  <c r="H155" i="24"/>
  <c r="H156" i="24"/>
  <c r="H157" i="24"/>
  <c r="H158" i="24"/>
  <c r="H159" i="24"/>
  <c r="H161" i="24"/>
  <c r="J161" i="24" s="1"/>
  <c r="H162" i="24"/>
  <c r="H163" i="24"/>
  <c r="H164" i="24"/>
  <c r="H165" i="24"/>
  <c r="H166" i="24"/>
  <c r="J166" i="24" s="1"/>
  <c r="H168" i="24"/>
  <c r="J168" i="24" s="1"/>
  <c r="H169" i="24"/>
  <c r="H170" i="24"/>
  <c r="J170" i="24" s="1"/>
  <c r="H171" i="24"/>
  <c r="J171" i="24" s="1"/>
  <c r="M163" i="24" l="1"/>
  <c r="J163" i="24"/>
  <c r="M152" i="24"/>
  <c r="J152" i="24"/>
  <c r="M162" i="24"/>
  <c r="J162" i="24"/>
  <c r="M157" i="24"/>
  <c r="J157" i="24"/>
  <c r="J165" i="24"/>
  <c r="M156" i="24"/>
  <c r="J156" i="24"/>
  <c r="M158" i="24"/>
  <c r="J158" i="24"/>
  <c r="J169" i="24"/>
  <c r="M164" i="24"/>
  <c r="J164" i="24"/>
  <c r="J159" i="24"/>
  <c r="M159" i="24"/>
  <c r="M155" i="24"/>
  <c r="J155" i="24"/>
  <c r="K161" i="24"/>
  <c r="K168" i="24"/>
  <c r="M171" i="24"/>
  <c r="M166" i="24"/>
  <c r="M151" i="24"/>
  <c r="M170" i="24"/>
  <c r="N55" i="23"/>
  <c r="J55" i="23"/>
  <c r="H35" i="24"/>
  <c r="H34" i="24"/>
  <c r="H33" i="24"/>
  <c r="H32" i="24"/>
  <c r="H31" i="24"/>
  <c r="H29" i="24"/>
  <c r="M29" i="24" s="1"/>
  <c r="J150" i="24" l="1"/>
  <c r="M31" i="24"/>
  <c r="J31" i="24"/>
  <c r="M33" i="24"/>
  <c r="J33" i="24"/>
  <c r="M34" i="24"/>
  <c r="J34" i="24"/>
  <c r="M35" i="24"/>
  <c r="J35" i="24"/>
  <c r="M32" i="24"/>
  <c r="J32" i="24"/>
  <c r="L29" i="24"/>
  <c r="E170" i="24"/>
  <c r="J30" i="24" l="1"/>
  <c r="E191" i="24" l="1"/>
  <c r="K180" i="24" l="1"/>
  <c r="K135" i="24"/>
  <c r="K133" i="24"/>
  <c r="K129" i="24"/>
  <c r="K128" i="24"/>
  <c r="K123" i="24"/>
  <c r="K121" i="24"/>
  <c r="K120" i="24"/>
  <c r="K119" i="24"/>
  <c r="K118" i="24"/>
  <c r="K42" i="24"/>
  <c r="K29" i="24"/>
  <c r="K171" i="24" l="1"/>
  <c r="K170" i="24"/>
  <c r="K169" i="24"/>
  <c r="K166" i="24"/>
  <c r="K165" i="24"/>
  <c r="K109" i="24"/>
  <c r="K108" i="24"/>
  <c r="K107" i="24"/>
  <c r="K105" i="24"/>
  <c r="K104" i="24"/>
  <c r="K103" i="24"/>
  <c r="K102" i="24"/>
  <c r="K101" i="24"/>
  <c r="K99" i="24"/>
  <c r="K98" i="24"/>
  <c r="K97" i="24"/>
  <c r="K96" i="24"/>
  <c r="K95" i="24"/>
  <c r="K93" i="24"/>
  <c r="F116" i="24"/>
  <c r="K172" i="24" l="1"/>
  <c r="K92" i="24"/>
  <c r="G116" i="24" l="1"/>
  <c r="K131" i="24"/>
  <c r="K70" i="24"/>
  <c r="K62" i="24"/>
  <c r="K44" i="24"/>
  <c r="K43" i="24"/>
  <c r="K39" i="24"/>
  <c r="K33" i="24"/>
  <c r="H22" i="24"/>
  <c r="H21" i="24"/>
  <c r="L21" i="24" s="1"/>
  <c r="H18" i="24"/>
  <c r="J16" i="24"/>
  <c r="H200" i="24"/>
  <c r="K198" i="24"/>
  <c r="K197" i="24"/>
  <c r="K196" i="24"/>
  <c r="K191" i="24"/>
  <c r="K190" i="24"/>
  <c r="K189" i="24"/>
  <c r="K188" i="24"/>
  <c r="K187" i="24"/>
  <c r="H182" i="24"/>
  <c r="K164" i="24"/>
  <c r="K163" i="24"/>
  <c r="K162" i="24"/>
  <c r="K159" i="24"/>
  <c r="K158" i="24"/>
  <c r="K157" i="24"/>
  <c r="K156" i="24"/>
  <c r="K155" i="24"/>
  <c r="K152" i="24"/>
  <c r="H149" i="24"/>
  <c r="J149" i="24" s="1"/>
  <c r="H148" i="24"/>
  <c r="J148" i="24" s="1"/>
  <c r="H146" i="24"/>
  <c r="J146" i="24" s="1"/>
  <c r="H145" i="24"/>
  <c r="J145" i="24" s="1"/>
  <c r="H143" i="24"/>
  <c r="J143" i="24" s="1"/>
  <c r="H142" i="24"/>
  <c r="J142" i="24" s="1"/>
  <c r="H141" i="24"/>
  <c r="K139" i="24"/>
  <c r="K137" i="24"/>
  <c r="K136" i="24"/>
  <c r="K134" i="24"/>
  <c r="K132" i="24"/>
  <c r="K127" i="24"/>
  <c r="K126" i="24"/>
  <c r="K125" i="24"/>
  <c r="K122" i="24"/>
  <c r="K117" i="24"/>
  <c r="K115" i="24"/>
  <c r="K114" i="24"/>
  <c r="K113" i="24"/>
  <c r="K112" i="24"/>
  <c r="K111" i="24"/>
  <c r="K79" i="24"/>
  <c r="K78" i="24"/>
  <c r="K77" i="24"/>
  <c r="K76" i="24"/>
  <c r="K75" i="24"/>
  <c r="K74" i="24"/>
  <c r="K72" i="24"/>
  <c r="K69" i="24"/>
  <c r="K68" i="24"/>
  <c r="K67" i="24"/>
  <c r="K65" i="24"/>
  <c r="K64" i="24"/>
  <c r="K63" i="24"/>
  <c r="K60" i="24"/>
  <c r="K59" i="24"/>
  <c r="K58" i="24"/>
  <c r="K56" i="24"/>
  <c r="K55" i="24"/>
  <c r="K53" i="24"/>
  <c r="K50" i="24"/>
  <c r="K49" i="24"/>
  <c r="K48" i="24"/>
  <c r="K47" i="24"/>
  <c r="K46" i="24"/>
  <c r="K40" i="24"/>
  <c r="K35" i="24"/>
  <c r="K34" i="24"/>
  <c r="K32" i="24"/>
  <c r="K31" i="24"/>
  <c r="H27" i="24"/>
  <c r="H26" i="24"/>
  <c r="H25" i="24"/>
  <c r="H24" i="24"/>
  <c r="K19" i="24"/>
  <c r="H15" i="24"/>
  <c r="J15" i="24" s="1"/>
  <c r="H14" i="24"/>
  <c r="J14" i="24" s="1"/>
  <c r="K200" i="24" l="1"/>
  <c r="J200" i="24"/>
  <c r="M182" i="24"/>
  <c r="J182" i="24"/>
  <c r="K141" i="24"/>
  <c r="J141" i="24"/>
  <c r="K27" i="24"/>
  <c r="J27" i="24"/>
  <c r="K26" i="24"/>
  <c r="J26" i="24"/>
  <c r="K25" i="24"/>
  <c r="J25" i="24"/>
  <c r="K24" i="24"/>
  <c r="J24" i="24"/>
  <c r="K18" i="24"/>
  <c r="J18" i="24"/>
  <c r="M22" i="24"/>
  <c r="K142" i="24"/>
  <c r="M142" i="24"/>
  <c r="K147" i="24"/>
  <c r="M147" i="24"/>
  <c r="K143" i="24"/>
  <c r="M143" i="24"/>
  <c r="K148" i="24"/>
  <c r="M148" i="24"/>
  <c r="K145" i="24"/>
  <c r="M145" i="24"/>
  <c r="K149" i="24"/>
  <c r="M149" i="24"/>
  <c r="K146" i="24"/>
  <c r="M146" i="24"/>
  <c r="H116" i="24"/>
  <c r="K15" i="24"/>
  <c r="K21" i="24"/>
  <c r="K14" i="24"/>
  <c r="K16" i="24"/>
  <c r="K151" i="24"/>
  <c r="H150" i="24"/>
  <c r="K193" i="24"/>
  <c r="H181" i="24"/>
  <c r="J181" i="24" s="1"/>
  <c r="K182" i="24"/>
  <c r="K194" i="24"/>
  <c r="H184" i="24"/>
  <c r="K185" i="24"/>
  <c r="K22" i="24"/>
  <c r="K41" i="24"/>
  <c r="H23" i="24"/>
  <c r="H13" i="24"/>
  <c r="H17" i="24" l="1"/>
  <c r="J20" i="24"/>
  <c r="K116" i="24"/>
  <c r="K20" i="24"/>
  <c r="K91" i="24" l="1"/>
  <c r="E164" i="24" l="1"/>
  <c r="H66" i="24" l="1"/>
  <c r="L164" i="24"/>
  <c r="M66" i="24" l="1"/>
  <c r="F61" i="24"/>
  <c r="G57" i="24"/>
  <c r="I71" i="24"/>
  <c r="H57" i="24" l="1"/>
  <c r="G61" i="24" l="1"/>
  <c r="F195" i="24"/>
  <c r="H61" i="24" l="1"/>
  <c r="L65" i="24"/>
  <c r="M61" i="24" l="1"/>
  <c r="J61" i="24"/>
  <c r="K61" i="24"/>
  <c r="F186" i="24"/>
  <c r="C186" i="24"/>
  <c r="F181" i="24"/>
  <c r="M181" i="24" s="1"/>
  <c r="K181" i="24" l="1"/>
  <c r="F38" i="24"/>
  <c r="L28" i="24" l="1"/>
  <c r="G28" i="24"/>
  <c r="F28" i="24"/>
  <c r="C28" i="24"/>
  <c r="H28" i="24" l="1"/>
  <c r="M28" i="24" l="1"/>
  <c r="K28" i="24"/>
  <c r="F184" i="24"/>
  <c r="F192" i="24"/>
  <c r="F179" i="24"/>
  <c r="K150" i="24"/>
  <c r="F110" i="24"/>
  <c r="F106" i="24"/>
  <c r="G130" i="24"/>
  <c r="F124" i="24"/>
  <c r="G124" i="24"/>
  <c r="G106" i="24"/>
  <c r="F73" i="24"/>
  <c r="G73" i="24"/>
  <c r="F30" i="24"/>
  <c r="F23" i="24"/>
  <c r="F13" i="24"/>
  <c r="K13" i="24" s="1"/>
  <c r="F90" i="24" l="1"/>
  <c r="M57" i="24"/>
  <c r="F37" i="24"/>
  <c r="F12" i="24"/>
  <c r="K57" i="24"/>
  <c r="H73" i="24"/>
  <c r="H106" i="24"/>
  <c r="H100" i="24"/>
  <c r="H130" i="24"/>
  <c r="J130" i="24" s="1"/>
  <c r="H124" i="24"/>
  <c r="J124" i="24" s="1"/>
  <c r="F183" i="24"/>
  <c r="H94" i="24"/>
  <c r="K23" i="24"/>
  <c r="K17" i="24"/>
  <c r="K184" i="24"/>
  <c r="K66" i="24"/>
  <c r="F178" i="24"/>
  <c r="M73" i="24" l="1"/>
  <c r="F202" i="24"/>
  <c r="K106" i="24"/>
  <c r="K130" i="24"/>
  <c r="K100" i="24"/>
  <c r="K124" i="24"/>
  <c r="K73" i="24"/>
  <c r="K94" i="24"/>
  <c r="I195" i="24" l="1"/>
  <c r="I199" i="24"/>
  <c r="E188" i="24" l="1"/>
  <c r="L188" i="24" l="1"/>
  <c r="E143" i="24"/>
  <c r="L143" i="24" l="1"/>
  <c r="E146" i="24" l="1"/>
  <c r="L146" i="24" s="1"/>
  <c r="E142" i="24" l="1"/>
  <c r="L142" i="24" s="1"/>
  <c r="C47" i="23" l="1"/>
  <c r="E117" i="24" l="1"/>
  <c r="C116" i="24" l="1"/>
  <c r="G195" i="24" l="1"/>
  <c r="G199" i="24"/>
  <c r="H195" i="24" l="1"/>
  <c r="H199" i="24"/>
  <c r="K195" i="24"/>
  <c r="J199" i="24" l="1"/>
  <c r="J195" i="24"/>
  <c r="K199" i="24"/>
  <c r="M103" i="24" l="1"/>
  <c r="M138" i="24"/>
  <c r="M135" i="24"/>
  <c r="M122" i="24"/>
  <c r="L41" i="24"/>
  <c r="L96" i="24"/>
  <c r="L92" i="24"/>
  <c r="C50" i="23"/>
  <c r="C11" i="23"/>
  <c r="C10" i="23" s="1"/>
  <c r="E10" i="23" s="1"/>
  <c r="M10" i="23" s="1"/>
  <c r="M128" i="24"/>
  <c r="M118" i="24"/>
  <c r="M114" i="24"/>
  <c r="M112" i="24"/>
  <c r="C13" i="24"/>
  <c r="G13" i="24"/>
  <c r="C17" i="24"/>
  <c r="E17" i="24" s="1"/>
  <c r="G17" i="24"/>
  <c r="I17" i="24"/>
  <c r="C23" i="24"/>
  <c r="E23" i="24" s="1"/>
  <c r="G23" i="24"/>
  <c r="I23" i="24"/>
  <c r="L24" i="24"/>
  <c r="L25" i="24"/>
  <c r="C30" i="24"/>
  <c r="E30" i="24" s="1"/>
  <c r="G30" i="24"/>
  <c r="L35" i="24"/>
  <c r="C38" i="24"/>
  <c r="G38" i="24"/>
  <c r="C45" i="24"/>
  <c r="E45" i="24" s="1"/>
  <c r="C54" i="24"/>
  <c r="E54" i="24" s="1"/>
  <c r="I54" i="24"/>
  <c r="L55" i="24"/>
  <c r="L56" i="24"/>
  <c r="E57" i="24"/>
  <c r="I57" i="24"/>
  <c r="J57" i="24" s="1"/>
  <c r="L58" i="24"/>
  <c r="C61" i="24"/>
  <c r="E61" i="24" s="1"/>
  <c r="L62" i="24"/>
  <c r="I66" i="24"/>
  <c r="G71" i="24"/>
  <c r="G37" i="24" s="1"/>
  <c r="H37" i="24" s="1"/>
  <c r="C73" i="24"/>
  <c r="E73" i="24" s="1"/>
  <c r="I73" i="24"/>
  <c r="C91" i="24"/>
  <c r="E91" i="24" s="1"/>
  <c r="I91" i="24"/>
  <c r="M92" i="24"/>
  <c r="C94" i="24"/>
  <c r="E94" i="24" s="1"/>
  <c r="I94" i="24"/>
  <c r="M96" i="24"/>
  <c r="C100" i="24"/>
  <c r="E100" i="24" s="1"/>
  <c r="I100" i="24"/>
  <c r="M104" i="24"/>
  <c r="C106" i="24"/>
  <c r="I106" i="24"/>
  <c r="E107" i="24"/>
  <c r="E109" i="24"/>
  <c r="C110" i="24"/>
  <c r="G110" i="24"/>
  <c r="I110" i="24"/>
  <c r="E111" i="24"/>
  <c r="M111" i="24"/>
  <c r="E112" i="24"/>
  <c r="E113" i="24"/>
  <c r="E114" i="24"/>
  <c r="E115" i="24"/>
  <c r="L115" i="24" s="1"/>
  <c r="I116" i="24"/>
  <c r="E118" i="24"/>
  <c r="L118" i="24" s="1"/>
  <c r="E119" i="24"/>
  <c r="E120" i="24"/>
  <c r="L120" i="24" s="1"/>
  <c r="E121" i="24"/>
  <c r="L121" i="24" s="1"/>
  <c r="E122" i="24"/>
  <c r="L122" i="24" s="1"/>
  <c r="E123" i="24"/>
  <c r="L123" i="24" s="1"/>
  <c r="M123" i="24"/>
  <c r="C124" i="24"/>
  <c r="E125" i="24"/>
  <c r="E126" i="24"/>
  <c r="M126" i="24"/>
  <c r="E127" i="24"/>
  <c r="E128" i="24"/>
  <c r="L128" i="24" s="1"/>
  <c r="E129" i="24"/>
  <c r="C130" i="24"/>
  <c r="E131" i="24"/>
  <c r="E132" i="24"/>
  <c r="E133" i="24"/>
  <c r="E134" i="24"/>
  <c r="L134" i="24" s="1"/>
  <c r="E135" i="24"/>
  <c r="L136" i="24"/>
  <c r="E137" i="24"/>
  <c r="L137" i="24" s="1"/>
  <c r="E138" i="24"/>
  <c r="L138" i="24" s="1"/>
  <c r="E139" i="24"/>
  <c r="M139" i="24"/>
  <c r="C140" i="24"/>
  <c r="G140" i="24"/>
  <c r="E141" i="24"/>
  <c r="E145" i="24"/>
  <c r="L145" i="24" s="1"/>
  <c r="E147" i="24"/>
  <c r="L147" i="24" s="1"/>
  <c r="E148" i="24"/>
  <c r="E149" i="24"/>
  <c r="C151" i="24"/>
  <c r="E152" i="24"/>
  <c r="L152" i="24" s="1"/>
  <c r="E155" i="24"/>
  <c r="E156" i="24"/>
  <c r="E157" i="24"/>
  <c r="L157" i="24" s="1"/>
  <c r="E158" i="24"/>
  <c r="E159" i="24"/>
  <c r="C161" i="24"/>
  <c r="E162" i="24"/>
  <c r="E163" i="24"/>
  <c r="E165" i="24"/>
  <c r="E169" i="24"/>
  <c r="E171" i="24"/>
  <c r="E172" i="24"/>
  <c r="C179" i="24"/>
  <c r="C178" i="24" s="1"/>
  <c r="G179" i="24"/>
  <c r="E180" i="24"/>
  <c r="M180" i="24"/>
  <c r="C181" i="24"/>
  <c r="G181" i="24"/>
  <c r="E182" i="24"/>
  <c r="C184" i="24"/>
  <c r="G184" i="24"/>
  <c r="I184" i="24"/>
  <c r="J184" i="24" s="1"/>
  <c r="E185" i="24"/>
  <c r="G186" i="24"/>
  <c r="I186" i="24"/>
  <c r="E187" i="24"/>
  <c r="E186" i="24" s="1"/>
  <c r="E189" i="24"/>
  <c r="C192" i="24"/>
  <c r="G192" i="24"/>
  <c r="I192" i="24"/>
  <c r="E193" i="24"/>
  <c r="E194" i="24"/>
  <c r="C195" i="24"/>
  <c r="E196" i="24"/>
  <c r="E198" i="24"/>
  <c r="C199" i="24"/>
  <c r="E200" i="24"/>
  <c r="E201" i="24"/>
  <c r="L201" i="24" s="1"/>
  <c r="M172" i="24"/>
  <c r="M120" i="24"/>
  <c r="M26" i="24"/>
  <c r="M121" i="24"/>
  <c r="M115" i="24"/>
  <c r="J116" i="24" l="1"/>
  <c r="J106" i="24"/>
  <c r="J100" i="24"/>
  <c r="J94" i="24"/>
  <c r="J91" i="24"/>
  <c r="J66" i="24"/>
  <c r="J73" i="24"/>
  <c r="I37" i="24"/>
  <c r="I12" i="24"/>
  <c r="H140" i="24"/>
  <c r="G90" i="24"/>
  <c r="C183" i="24"/>
  <c r="E183" i="24" s="1"/>
  <c r="G12" i="24"/>
  <c r="H110" i="24"/>
  <c r="H45" i="24"/>
  <c r="M45" i="24" s="1"/>
  <c r="H54" i="24"/>
  <c r="H179" i="24"/>
  <c r="H192" i="24"/>
  <c r="I183" i="24"/>
  <c r="L139" i="24"/>
  <c r="H38" i="24"/>
  <c r="H186" i="24"/>
  <c r="G183" i="24"/>
  <c r="H30" i="24"/>
  <c r="H12" i="24" s="1"/>
  <c r="C25" i="23"/>
  <c r="E25" i="23" s="1"/>
  <c r="C37" i="24"/>
  <c r="H71" i="24"/>
  <c r="E38" i="24"/>
  <c r="E71" i="24"/>
  <c r="M197" i="24"/>
  <c r="M194" i="24"/>
  <c r="M200" i="24"/>
  <c r="M201" i="24"/>
  <c r="M199" i="24"/>
  <c r="M107" i="24"/>
  <c r="M109" i="24"/>
  <c r="M99" i="24"/>
  <c r="M21" i="24"/>
  <c r="M20" i="24"/>
  <c r="M18" i="24"/>
  <c r="I178" i="24"/>
  <c r="E130" i="24"/>
  <c r="M95" i="24"/>
  <c r="L15" i="24"/>
  <c r="M15" i="24"/>
  <c r="M14" i="24"/>
  <c r="L14" i="24"/>
  <c r="L93" i="24"/>
  <c r="L75" i="24"/>
  <c r="M93" i="24"/>
  <c r="L105" i="24"/>
  <c r="L190" i="24"/>
  <c r="M105" i="24"/>
  <c r="L20" i="24"/>
  <c r="L200" i="24"/>
  <c r="L64" i="24"/>
  <c r="L189" i="24"/>
  <c r="M198" i="24"/>
  <c r="M101" i="24"/>
  <c r="L19" i="24"/>
  <c r="E184" i="24"/>
  <c r="L67" i="24"/>
  <c r="E195" i="24"/>
  <c r="E140" i="24"/>
  <c r="L79" i="24"/>
  <c r="C12" i="24"/>
  <c r="E12" i="24" s="1"/>
  <c r="E181" i="24"/>
  <c r="G178" i="24"/>
  <c r="E179" i="24"/>
  <c r="E124" i="24"/>
  <c r="C90" i="24"/>
  <c r="L76" i="24"/>
  <c r="M196" i="24"/>
  <c r="L185" i="24"/>
  <c r="M117" i="24"/>
  <c r="E192" i="24"/>
  <c r="E178" i="24"/>
  <c r="L172" i="24"/>
  <c r="L165" i="24"/>
  <c r="L163" i="24"/>
  <c r="L149" i="24"/>
  <c r="L141" i="24"/>
  <c r="E106" i="24"/>
  <c r="L108" i="24"/>
  <c r="L39" i="24"/>
  <c r="L197" i="24"/>
  <c r="L170" i="24"/>
  <c r="L180" i="24"/>
  <c r="M127" i="24"/>
  <c r="L127" i="24"/>
  <c r="L63" i="24"/>
  <c r="L169" i="24"/>
  <c r="L168" i="24"/>
  <c r="L162" i="24"/>
  <c r="L114" i="24"/>
  <c r="L60" i="24"/>
  <c r="L156" i="24"/>
  <c r="L155" i="24"/>
  <c r="L194" i="24"/>
  <c r="L166" i="24"/>
  <c r="L133" i="24"/>
  <c r="M133" i="24"/>
  <c r="L109" i="24"/>
  <c r="L101" i="24"/>
  <c r="M97" i="24"/>
  <c r="L50" i="24"/>
  <c r="L26" i="24"/>
  <c r="M24" i="24"/>
  <c r="L198" i="24"/>
  <c r="M185" i="24"/>
  <c r="L158" i="24"/>
  <c r="M136" i="24"/>
  <c r="M125" i="24"/>
  <c r="L159" i="24"/>
  <c r="L126" i="24"/>
  <c r="M141" i="24"/>
  <c r="M134" i="24"/>
  <c r="L148" i="24"/>
  <c r="L125" i="24"/>
  <c r="L98" i="24"/>
  <c r="L104" i="24"/>
  <c r="L97" i="24"/>
  <c r="M98" i="24"/>
  <c r="L111" i="24"/>
  <c r="L32" i="24"/>
  <c r="L191" i="24"/>
  <c r="L78" i="24"/>
  <c r="L74" i="24"/>
  <c r="M132" i="24"/>
  <c r="L132" i="24"/>
  <c r="M124" i="24"/>
  <c r="L129" i="24"/>
  <c r="M129" i="24"/>
  <c r="L112" i="24"/>
  <c r="L107" i="24"/>
  <c r="L95" i="24"/>
  <c r="L72" i="24"/>
  <c r="L59" i="24"/>
  <c r="L49" i="24"/>
  <c r="L48" i="24"/>
  <c r="L47" i="24"/>
  <c r="L46" i="24"/>
  <c r="L43" i="24"/>
  <c r="L34" i="24"/>
  <c r="M25" i="24"/>
  <c r="M19" i="24"/>
  <c r="L182" i="24"/>
  <c r="L196" i="24"/>
  <c r="L193" i="24"/>
  <c r="L187" i="24"/>
  <c r="L171" i="24"/>
  <c r="L135" i="24"/>
  <c r="L117" i="24"/>
  <c r="L103" i="24"/>
  <c r="L113" i="24"/>
  <c r="M113" i="24"/>
  <c r="L99" i="24"/>
  <c r="L53" i="24"/>
  <c r="L70" i="24"/>
  <c r="L77" i="24"/>
  <c r="L31" i="24"/>
  <c r="L16" i="24"/>
  <c r="L44" i="24"/>
  <c r="L33" i="24"/>
  <c r="M16" i="24"/>
  <c r="M27" i="24"/>
  <c r="L40" i="24"/>
  <c r="L27" i="24"/>
  <c r="E199" i="24"/>
  <c r="E116" i="24"/>
  <c r="L69" i="24"/>
  <c r="M102" i="24"/>
  <c r="L102" i="24"/>
  <c r="E161" i="24"/>
  <c r="C150" i="24"/>
  <c r="M131" i="24"/>
  <c r="M119" i="24"/>
  <c r="L119" i="24"/>
  <c r="L68" i="24"/>
  <c r="L42" i="24"/>
  <c r="L18" i="24"/>
  <c r="L131" i="24"/>
  <c r="E110" i="24"/>
  <c r="M108" i="24"/>
  <c r="J179" i="24" l="1"/>
  <c r="J178" i="24" s="1"/>
  <c r="K186" i="24"/>
  <c r="J186" i="24"/>
  <c r="K192" i="24"/>
  <c r="J192" i="24"/>
  <c r="M71" i="24"/>
  <c r="J71" i="24"/>
  <c r="J12" i="24"/>
  <c r="M54" i="24"/>
  <c r="J54" i="24"/>
  <c r="M140" i="24"/>
  <c r="J140" i="24"/>
  <c r="J110" i="24"/>
  <c r="G202" i="24"/>
  <c r="M38" i="24"/>
  <c r="M30" i="24"/>
  <c r="K140" i="24"/>
  <c r="K54" i="24"/>
  <c r="H178" i="24"/>
  <c r="E55" i="23"/>
  <c r="M55" i="23" s="1"/>
  <c r="M25" i="23"/>
  <c r="C202" i="24"/>
  <c r="H90" i="24"/>
  <c r="K110" i="24"/>
  <c r="H183" i="24"/>
  <c r="H202" i="24" s="1"/>
  <c r="M110" i="24"/>
  <c r="L54" i="24"/>
  <c r="K45" i="24"/>
  <c r="L179" i="24"/>
  <c r="M179" i="24"/>
  <c r="L199" i="24"/>
  <c r="K38" i="24"/>
  <c r="K179" i="24"/>
  <c r="K30" i="24"/>
  <c r="E37" i="24"/>
  <c r="E90" i="24"/>
  <c r="K71" i="24"/>
  <c r="M186" i="24"/>
  <c r="M184" i="24"/>
  <c r="M192" i="24"/>
  <c r="M13" i="24"/>
  <c r="M17" i="24"/>
  <c r="L23" i="24"/>
  <c r="C55" i="23"/>
  <c r="L181" i="24"/>
  <c r="L140" i="24"/>
  <c r="L38" i="24"/>
  <c r="M100" i="24"/>
  <c r="L184" i="24"/>
  <c r="L192" i="24"/>
  <c r="M195" i="24"/>
  <c r="L100" i="24"/>
  <c r="L195" i="24"/>
  <c r="L57" i="24"/>
  <c r="L61" i="24"/>
  <c r="L66" i="24"/>
  <c r="L124" i="24"/>
  <c r="L116" i="24"/>
  <c r="M116" i="24"/>
  <c r="L13" i="24"/>
  <c r="L17" i="24"/>
  <c r="L73" i="24"/>
  <c r="L186" i="24"/>
  <c r="L94" i="24"/>
  <c r="M94" i="24"/>
  <c r="L71" i="24"/>
  <c r="L45" i="24"/>
  <c r="L30" i="24"/>
  <c r="M23" i="24"/>
  <c r="M106" i="24"/>
  <c r="L106" i="24"/>
  <c r="L110" i="24"/>
  <c r="L161" i="24"/>
  <c r="M91" i="24"/>
  <c r="L91" i="24"/>
  <c r="K10" i="23"/>
  <c r="M130" i="24"/>
  <c r="L130" i="24"/>
  <c r="J37" i="24" l="1"/>
  <c r="J183" i="24"/>
  <c r="J90" i="24"/>
  <c r="K90" i="24"/>
  <c r="M178" i="24"/>
  <c r="K178" i="24"/>
  <c r="L178" i="24"/>
  <c r="K183" i="24"/>
  <c r="K37" i="24"/>
  <c r="L12" i="24"/>
  <c r="M37" i="24"/>
  <c r="L37" i="24"/>
  <c r="L183" i="24"/>
  <c r="M183" i="24"/>
  <c r="L90" i="24"/>
  <c r="L10" i="23"/>
  <c r="M90" i="24"/>
  <c r="M150" i="24"/>
  <c r="J202" i="24" l="1"/>
  <c r="L22" i="24" l="1"/>
  <c r="K12" i="24" l="1"/>
  <c r="M12" i="24"/>
  <c r="K202" i="24" l="1"/>
  <c r="M202" i="24"/>
  <c r="E151" i="24" l="1"/>
  <c r="D202" i="24"/>
  <c r="E150" i="24" l="1"/>
  <c r="L150" i="24" s="1"/>
  <c r="L151" i="24"/>
  <c r="E202" i="24" l="1"/>
  <c r="L202" i="24" l="1"/>
  <c r="J34" i="23" l="1"/>
  <c r="M34" i="23"/>
  <c r="N34" i="23"/>
  <c r="K86" i="24" l="1"/>
  <c r="L86" i="24"/>
  <c r="M86" i="24"/>
  <c r="L88" i="24"/>
  <c r="K88" i="24"/>
  <c r="M88" i="24"/>
  <c r="M20" i="23" l="1"/>
  <c r="J20" i="23"/>
  <c r="N20" i="23"/>
  <c r="I90" i="24" l="1"/>
  <c r="I202" i="24" s="1"/>
</calcChain>
</file>

<file path=xl/sharedStrings.xml><?xml version="1.0" encoding="utf-8"?>
<sst xmlns="http://schemas.openxmlformats.org/spreadsheetml/2006/main" count="589" uniqueCount="339">
  <si>
    <t>DETALLE</t>
  </si>
  <si>
    <t>ASIGNADO</t>
  </si>
  <si>
    <t xml:space="preserve"> </t>
  </si>
  <si>
    <t>MODIFICADO</t>
  </si>
  <si>
    <t>EJECUTADO</t>
  </si>
  <si>
    <t>SALDO</t>
  </si>
  <si>
    <t>A LA FECHA</t>
  </si>
  <si>
    <t>ANUAL</t>
  </si>
  <si>
    <t>PRESUPUESTO</t>
  </si>
  <si>
    <t>MENSUAL</t>
  </si>
  <si>
    <t>EJECUCIÓN</t>
  </si>
  <si>
    <t>PAGADO ACUMUL.</t>
  </si>
  <si>
    <t>LEY</t>
  </si>
  <si>
    <t>AJUSTE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</si>
  <si>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</si>
  <si>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</si>
  <si>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</si>
  <si>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</si>
  <si>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</si>
  <si>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</si>
  <si>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</si>
  <si>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</si>
  <si>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</si>
  <si>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</si>
  <si>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</si>
  <si>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</si>
  <si>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</si>
  <si>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</si>
  <si>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</si>
  <si>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</si>
  <si>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</si>
  <si>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</si>
  <si>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</si>
  <si>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</si>
  <si>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</si>
  <si>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</si>
  <si>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</si>
  <si>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</si>
  <si>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</si>
  <si>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</si>
  <si>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</si>
  <si>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</si>
  <si>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</si>
  <si>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</si>
  <si>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</si>
  <si>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</si>
  <si>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</si>
  <si>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</si>
  <si>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</si>
  <si>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</si>
  <si>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</si>
  <si>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</si>
  <si>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</si>
  <si>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</si>
  <si>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</si>
  <si>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</si>
  <si>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</si>
  <si>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</si>
  <si>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</si>
  <si>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</si>
  <si>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</si>
  <si>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</si>
  <si>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</si>
  <si>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</si>
  <si>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</si>
  <si>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</si>
  <si>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</si>
  <si>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</si>
  <si>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</si>
  <si>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</si>
  <si>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</si>
  <si>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</si>
  <si>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</si>
  <si>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</si>
  <si>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</si>
  <si>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</si>
  <si>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</si>
  <si>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</si>
  <si>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</si>
  <si>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</si>
  <si>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</si>
  <si>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</si>
  <si>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</si>
  <si>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</si>
  <si>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</si>
  <si>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</si>
  <si>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</si>
  <si>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</si>
  <si>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</si>
  <si>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</si>
  <si>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</si>
  <si>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</si>
  <si>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</si>
  <si>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</si>
  <si>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</si>
  <si>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</si>
  <si>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</si>
  <si>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</si>
  <si>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</si>
  <si>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</si>
  <si>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</si>
  <si>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</si>
  <si>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</si>
  <si>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</si>
  <si>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</si>
  <si>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</si>
  <si>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</si>
  <si>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</si>
  <si>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</si>
  <si>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</si>
  <si>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</si>
  <si>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</si>
  <si>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</si>
  <si>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</si>
  <si>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</si>
  <si>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</si>
  <si>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</si>
  <si>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</si>
  <si>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</si>
  <si>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</si>
  <si>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</si>
  <si>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</si>
  <si>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</si>
  <si>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</si>
  <si>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</si>
  <si>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</si>
  <si>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</si>
  <si>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</si>
  <si>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</si>
  <si>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</si>
  <si>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</si>
  <si>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</si>
  <si>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</si>
  <si>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</si>
  <si>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</si>
  <si>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</si>
  <si>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</si>
  <si>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</si>
  <si>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</si>
  <si>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</si>
  <si>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</si>
  <si>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</si>
  <si>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</si>
  <si>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</si>
  <si>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</si>
  <si>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</si>
  <si>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</si>
  <si>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</si>
  <si>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</si>
  <si>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</si>
  <si>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</si>
  <si>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</si>
  <si>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</si>
  <si>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</si>
  <si>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</si>
  <si>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</si>
  <si>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</si>
  <si>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</si>
  <si>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</si>
  <si>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</si>
  <si>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</si>
  <si>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</si>
  <si>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</si>
  <si>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</si>
  <si>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</si>
  <si>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</si>
  <si>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</si>
  <si>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</si>
  <si>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</si>
  <si>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</si>
  <si>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</si>
  <si>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</si>
  <si>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</si>
  <si>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</si>
  <si>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</si>
  <si>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</si>
  <si>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</si>
  <si>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</si>
  <si>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</si>
  <si>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</si>
  <si>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</si>
  <si>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</si>
  <si>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</si>
  <si>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</si>
  <si>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</si>
  <si>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</si>
  <si>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</si>
  <si>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</si>
  <si>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</si>
  <si>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</si>
  <si>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</si>
  <si>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</si>
  <si>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</si>
  <si>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</si>
  <si>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</si>
  <si>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</si>
  <si>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</si>
  <si>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</si>
  <si>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</si>
  <si>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</si>
  <si>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</si>
  <si>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</si>
  <si>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</si>
  <si>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</si>
  <si>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</si>
  <si>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</si>
  <si>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</si>
  <si>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</si>
  <si>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</si>
  <si>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</si>
  <si>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</si>
  <si>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</si>
  <si>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</si>
  <si>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</si>
  <si>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</si>
  <si>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</si>
  <si>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</si>
  <si>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</si>
  <si>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</si>
  <si>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</si>
  <si>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</si>
  <si>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</si>
  <si>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TRANSFERECIAS CORR.</t>
  </si>
  <si>
    <t>600</t>
  </si>
  <si>
    <t>PENSIONES Y JUBILACIONES</t>
  </si>
  <si>
    <t>609</t>
  </si>
  <si>
    <t>610</t>
  </si>
  <si>
    <t>BECAS DE ESTUDIO</t>
  </si>
  <si>
    <t>ADIEST. Y ESTUDIOS</t>
  </si>
  <si>
    <t>660</t>
  </si>
  <si>
    <t>TRANSF. AL EXTERIOR</t>
  </si>
  <si>
    <t>CUOTA  ORG. CENTROAM.</t>
  </si>
  <si>
    <t>663</t>
  </si>
  <si>
    <t>CUOTA  ORG. INTERAM.</t>
  </si>
  <si>
    <t>664</t>
  </si>
  <si>
    <t>CUOTA A ORG. MUNDIALES</t>
  </si>
  <si>
    <t>TOTAL FUNCIONAMIENTO</t>
  </si>
  <si>
    <t>163</t>
  </si>
  <si>
    <t>GASTOS JUDICIALES</t>
  </si>
  <si>
    <t>GAS</t>
  </si>
  <si>
    <t>099</t>
  </si>
  <si>
    <t>132</t>
  </si>
  <si>
    <t>PROMOCION Y PUBLICIDAD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</si>
  <si>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</si>
  <si>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</si>
  <si>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</si>
  <si>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</si>
  <si>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</si>
  <si>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</si>
  <si>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DONATIVOS A PERSONAS</t>
  </si>
  <si>
    <t>096</t>
  </si>
  <si>
    <t>CRED.REC.POR DECIMO III</t>
  </si>
  <si>
    <t>CRED. REC. POR TRANSF.COM</t>
  </si>
  <si>
    <t>MANT. DE EQUIPOS DE COMP.</t>
  </si>
  <si>
    <t xml:space="preserve">MAQ. Y EQUIPO DE TALLERES </t>
  </si>
  <si>
    <t>OTRAS TRANSFERENCIAS</t>
  </si>
  <si>
    <t>CONSULTORIAS Y SERV</t>
  </si>
  <si>
    <t>INDEMNIZ. POR RETIRO VOL.</t>
  </si>
  <si>
    <t>INDEMNIZ. ESPECIALES</t>
  </si>
  <si>
    <t>CRED.REC.POR REPUESTOS</t>
  </si>
  <si>
    <t>CR. REC.TRASNF. EXTERIOR</t>
  </si>
  <si>
    <t>Maq. Y Equipo Industrial</t>
  </si>
  <si>
    <t>Maq. Y Equipo de Talleres y Almacenes</t>
  </si>
  <si>
    <t>094</t>
  </si>
  <si>
    <t>CRED. REC. GASTOS E REPRES.</t>
  </si>
  <si>
    <t>CR.RECONOCIDO POR MAQ. Y EQ.</t>
  </si>
  <si>
    <t>MAT. Y EQUIPO DE SEGURIDAD</t>
  </si>
  <si>
    <t>MAQ. Y EQUIPO DE ENERGIA</t>
  </si>
  <si>
    <t>004</t>
  </si>
  <si>
    <t>PERSONAL TRANSITORIO</t>
  </si>
  <si>
    <t>CONSTRUCCIONES POR CONTRATO</t>
  </si>
  <si>
    <t>EDIFICACIONES</t>
  </si>
  <si>
    <t>TOTAL INVERSION</t>
  </si>
  <si>
    <t>PRODUCTOS DE PAPEL Y CARTON</t>
  </si>
  <si>
    <t>PAGADO</t>
  </si>
  <si>
    <t>BECAS DE ESTUDIOS</t>
  </si>
  <si>
    <t>CD.REC. TEXTILES Y VESTUARIOS</t>
  </si>
  <si>
    <t>CD.REC.POR MATERIALES CONST.</t>
  </si>
  <si>
    <t>EQUIIPO MEDICO, LABORATORIOS</t>
  </si>
  <si>
    <t>INDEMNIZACIONES LABORALES</t>
  </si>
  <si>
    <t>DECIMO TERCER MES</t>
  </si>
  <si>
    <t>CONTRIBUCIÓN SEG. SOCIAL</t>
  </si>
  <si>
    <t>081</t>
  </si>
  <si>
    <t>GRATIFICACIÓN O AGUINALDO</t>
  </si>
  <si>
    <t>CR.REC.PROD. QUIMICOS Y CONEXOS</t>
  </si>
  <si>
    <t>TRANSPORTE DE BIENES</t>
  </si>
  <si>
    <t>MAT. Y SUMINISTROS DE COMP.</t>
  </si>
  <si>
    <t xml:space="preserve">SALDO </t>
  </si>
  <si>
    <t>TRANSFERENCIAS CORR.</t>
  </si>
  <si>
    <t>IMPRESIÓN Y ENCUADERNACIÓN</t>
  </si>
  <si>
    <t>O/G</t>
  </si>
  <si>
    <t>6=2-4</t>
  </si>
  <si>
    <t>7=1-4</t>
  </si>
  <si>
    <t>8=4/2*100</t>
  </si>
  <si>
    <t>EJECUCIÓN  PORCENTUAL</t>
  </si>
  <si>
    <t>6=2-7</t>
  </si>
  <si>
    <t>8=4/2</t>
  </si>
  <si>
    <t>CRED.REC. POR SERVICIOS NO PERS.</t>
  </si>
  <si>
    <t>CRED.REC.POR SERV. BÁSICOS</t>
  </si>
  <si>
    <t>CRED.REC.POR TRANSP. PERSONAS</t>
  </si>
  <si>
    <t>UNIVERSIDAD TECNOLÓGICA DE PANAMÁ</t>
  </si>
  <si>
    <t>DIRECCIÓN NACIONAL DE PRESUPUESTO</t>
  </si>
  <si>
    <t xml:space="preserve">CUADRO A-6A. EJECUCION PRESUPUESTARIA  DE FUNCIONAMIENTO </t>
  </si>
  <si>
    <t>OTRAS PENSIONES Y JUBILACIONES</t>
  </si>
  <si>
    <t>MAQ. Y EQUIPO ACUEDUC. Y RIEGO</t>
  </si>
  <si>
    <t>AJUSTES</t>
  </si>
  <si>
    <t>CRE.REC.POR Cont. Seguridad Soc.</t>
  </si>
  <si>
    <t>CRED.REC.POR AlQUILERES</t>
  </si>
  <si>
    <t>CRED.REC.POR IMPRESIÓN Y ENC.</t>
  </si>
  <si>
    <t>CRED.REC.POR VIÁTICOS</t>
  </si>
  <si>
    <t>CRED.REC.POR SERV. COMERCIALES</t>
  </si>
  <si>
    <t>CRED.REC.POR MANTO. Y REPARAC.</t>
  </si>
  <si>
    <t>CR.RECONOCIDO   EQUIPO COMP.</t>
  </si>
  <si>
    <t>CRÉDITO REC.  MATER.Y SUMIN.</t>
  </si>
  <si>
    <t xml:space="preserve">MATERIALES DE CONSTRUCCION </t>
  </si>
  <si>
    <t>MAQUINARIA Y EQ.  TRANSPORTE</t>
  </si>
  <si>
    <t>CRÉDITO REC. DE MAQ.Y EQUIPO</t>
  </si>
  <si>
    <t>TRANSF.CORRIENTES  INSTITUC.</t>
  </si>
  <si>
    <t>EJECUCIÓN         %</t>
  </si>
  <si>
    <t>SERVICIO TRASMISION DATOS</t>
  </si>
  <si>
    <t>CD.REC. PRODUCTO DE PAPEL</t>
  </si>
  <si>
    <t>MAQ. Y EQUIPO CONSTRUCCIONES</t>
  </si>
  <si>
    <t>EQUIPO MÉDICO Y LABORATORIO</t>
  </si>
  <si>
    <t>CR.RECONOCIDO  EQ. EDUCACIONAL</t>
  </si>
  <si>
    <t>CONSULTORÍA</t>
  </si>
  <si>
    <t>CR.REC.  SERV. NO PERSONALES</t>
  </si>
  <si>
    <t>CRED. REC. POR SOBRESURLDOS</t>
  </si>
  <si>
    <t>SERVICIO DE TELEFONÍA CELULAR</t>
  </si>
  <si>
    <t>MAQ. Y  EQUIPO  INDUSTRIAL</t>
  </si>
  <si>
    <t>MAQ. Y  EQUIPO  COMUNICACIONES</t>
  </si>
  <si>
    <t>013</t>
  </si>
  <si>
    <t>CUADRO  A-8.   EJECUCION PRESUPUESTARIA DE INVERSIONES</t>
  </si>
  <si>
    <t>MAQ. Y  EQUIPO AGROPECUARIO</t>
  </si>
  <si>
    <t>SERVICIOS BÁSICOS</t>
  </si>
  <si>
    <t>EJECUCIÓN POR PAGAR</t>
  </si>
  <si>
    <t>CRED.REC.POR CONSULTORÍAS</t>
  </si>
  <si>
    <t xml:space="preserve"> OBJETO DE GASTO: AL 30 DE OCTUBRE DE 2021</t>
  </si>
  <si>
    <t>CR. REC.TRASNF. CORRIENTES</t>
  </si>
  <si>
    <t xml:space="preserve">  A NIVEL DE CUENTAS  AL 30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</si>
</sst>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€]#,##0.00\ ;[$€]\(#,##0.00\);[$€]\-#\ ;@\ "/>
    <numFmt numFmtId="165" formatCode="#,##0\ ;\(#,##0\)"/>
    <numFmt numFmtId="166" formatCode="0.0"/>
    <numFmt numFmtId="169" formatCode="0.00\ "/>
    <numFmt numFmtId="174" formatCode="#,##0\ ;[Red]\-#,##0\ "/>
    <numFmt numFmtId="175" formatCode="0.00\ ;[Red]\-0.00\ "/>
  </numFmts>
  <fonts count="37" x14ac:knownFonts="1">
    <font>
      <sz val="10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7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2060"/>
      <name val="Arial Black"/>
      <family val="2"/>
    </font>
    <font>
      <sz val="9"/>
      <color theme="4" tint="-0.499984740745262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color rgb="FF002060"/>
      <name val="Arial"/>
      <family val="2"/>
    </font>
    <font>
      <sz val="9"/>
      <color rgb="FF002060"/>
      <name val="Arial Black"/>
      <family val="2"/>
    </font>
    <font>
      <b/>
      <sz val="10"/>
      <color rgb="FF002060"/>
      <name val="Arial Black"/>
      <family val="2"/>
    </font>
    <font>
      <b/>
      <sz val="9"/>
      <color rgb="FF002060"/>
      <name val="Franklin Gothic Book"/>
      <family val="2"/>
    </font>
    <font>
      <b/>
      <sz val="12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2"/>
      </right>
      <top/>
      <bottom/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rgb="FF000066"/>
      </left>
      <right style="thin">
        <color rgb="FF000066"/>
      </right>
      <top/>
      <bottom/>
      <diagonal/>
    </border>
    <border>
      <left style="thin">
        <color rgb="FF000066"/>
      </left>
      <right style="thin">
        <color rgb="FF000066"/>
      </right>
      <top/>
      <bottom style="medium">
        <color rgb="FF000066"/>
      </bottom>
      <diagonal/>
    </border>
    <border>
      <left style="thin">
        <color indexed="62"/>
      </left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 style="thin">
        <color indexed="62"/>
      </left>
      <right/>
      <top style="medium">
        <color rgb="FF000066"/>
      </top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rgb="FF000066"/>
      </top>
      <bottom style="medium">
        <color rgb="FF000066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indexed="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indexed="62"/>
      </bottom>
      <diagonal/>
    </border>
    <border>
      <left style="thin">
        <color theme="3" tint="-0.499984740745262"/>
      </left>
      <right/>
      <top style="thin">
        <color rgb="FF000066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indexed="62"/>
      </bottom>
      <diagonal/>
    </border>
    <border>
      <left/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3" tint="-0.499984740745262"/>
      </right>
      <top/>
      <bottom style="medium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auto="1"/>
      </bottom>
      <diagonal/>
    </border>
    <border>
      <left/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/>
      <top style="medium">
        <color auto="1"/>
      </top>
      <bottom style="medium">
        <color auto="1"/>
      </bottom>
      <diagonal/>
    </border>
    <border>
      <left style="thin">
        <color rgb="FF002060"/>
      </left>
      <right/>
      <top/>
      <bottom style="thin">
        <color auto="1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/>
      <diagonal/>
    </border>
    <border>
      <left/>
      <right style="thin">
        <color rgb="FF002060"/>
      </right>
      <top/>
      <bottom style="thin">
        <color indexed="64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rgb="FF000066"/>
      </bottom>
      <diagonal/>
    </border>
    <border>
      <left style="thin">
        <color rgb="FF002060"/>
      </left>
      <right/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0066"/>
      </top>
      <bottom/>
      <diagonal/>
    </border>
    <border>
      <left style="thin">
        <color rgb="FF002060"/>
      </left>
      <right style="thin">
        <color rgb="FF002060"/>
      </right>
      <top style="thin">
        <color rgb="FF000066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rgb="FF000066"/>
      </bottom>
      <diagonal/>
    </border>
    <border>
      <left style="thin">
        <color indexed="62"/>
      </left>
      <right style="thin">
        <color indexed="64"/>
      </right>
      <top style="medium">
        <color rgb="FF000066"/>
      </top>
      <bottom style="medium">
        <color rgb="FF000066"/>
      </bottom>
      <diagonal/>
    </border>
    <border>
      <left style="thin">
        <color theme="3" tint="-0.24994659260841701"/>
      </left>
      <right style="thin">
        <color indexed="62"/>
      </right>
      <top/>
      <bottom/>
      <diagonal/>
    </border>
  </borders>
  <cellStyleXfs count="3">
    <xf numFmtId="0" fontId="0" fillId="0" borderId="0"/>
    <xf numFmtId="164" fontId="11" fillId="0" borderId="0" applyFill="0" applyBorder="0" applyAlignment="0" applyProtection="0"/>
    <xf numFmtId="0" fontId="11" fillId="0" borderId="0"/>
  </cellStyleXfs>
  <cellXfs count="322">
    <xf numFmtId="0" fontId="0" fillId="0" borderId="0" xfId="0"/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7" fillId="0" borderId="0" xfId="0" applyFont="1"/>
    <xf numFmtId="3" fontId="0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Protection="1"/>
    <xf numFmtId="169" fontId="5" fillId="0" borderId="0" xfId="0" applyNumberFormat="1" applyFont="1" applyBorder="1" applyAlignment="1" applyProtection="1">
      <alignment horizontal="left"/>
    </xf>
    <xf numFmtId="174" fontId="6" fillId="0" borderId="0" xfId="0" applyNumberFormat="1" applyFont="1" applyFill="1" applyBorder="1" applyProtection="1"/>
    <xf numFmtId="0" fontId="10" fillId="0" borderId="0" xfId="0" applyFont="1"/>
    <xf numFmtId="49" fontId="5" fillId="0" borderId="0" xfId="0" applyNumberFormat="1" applyFont="1" applyBorder="1" applyAlignment="1" applyProtection="1">
      <alignment horizontal="left"/>
    </xf>
    <xf numFmtId="3" fontId="6" fillId="0" borderId="2" xfId="0" applyNumberFormat="1" applyFont="1" applyFill="1" applyBorder="1" applyProtection="1"/>
    <xf numFmtId="174" fontId="3" fillId="0" borderId="0" xfId="0" applyNumberFormat="1" applyFont="1" applyBorder="1" applyAlignment="1">
      <alignment horizontal="center"/>
    </xf>
    <xf numFmtId="0" fontId="1" fillId="0" borderId="0" xfId="0" applyFont="1"/>
    <xf numFmtId="3" fontId="3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 applyProtection="1"/>
    <xf numFmtId="4" fontId="8" fillId="0" borderId="3" xfId="0" applyNumberFormat="1" applyFont="1" applyFill="1" applyBorder="1" applyProtection="1"/>
    <xf numFmtId="0" fontId="12" fillId="0" borderId="0" xfId="0" applyFont="1"/>
    <xf numFmtId="3" fontId="9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7" fillId="0" borderId="0" xfId="0" applyFont="1"/>
    <xf numFmtId="0" fontId="18" fillId="0" borderId="0" xfId="0" applyFont="1"/>
    <xf numFmtId="3" fontId="17" fillId="0" borderId="0" xfId="0" applyNumberFormat="1" applyFont="1"/>
    <xf numFmtId="0" fontId="0" fillId="0" borderId="0" xfId="0" applyFont="1"/>
    <xf numFmtId="0" fontId="7" fillId="0" borderId="0" xfId="0" applyFont="1" applyBorder="1"/>
    <xf numFmtId="4" fontId="0" fillId="0" borderId="0" xfId="0" applyNumberFormat="1" applyBorder="1"/>
    <xf numFmtId="3" fontId="21" fillId="0" borderId="0" xfId="0" applyNumberFormat="1" applyFont="1"/>
    <xf numFmtId="0" fontId="23" fillId="0" borderId="0" xfId="0" applyFont="1"/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169" fontId="1" fillId="0" borderId="0" xfId="0" applyNumberFormat="1" applyFont="1" applyBorder="1" applyAlignment="1" applyProtection="1">
      <alignment horizontal="left"/>
    </xf>
    <xf numFmtId="4" fontId="0" fillId="0" borderId="0" xfId="0" applyNumberFormat="1"/>
    <xf numFmtId="4" fontId="0" fillId="0" borderId="0" xfId="0" applyNumberFormat="1" applyFont="1"/>
    <xf numFmtId="0" fontId="28" fillId="0" borderId="0" xfId="0" applyFont="1"/>
    <xf numFmtId="0" fontId="29" fillId="0" borderId="0" xfId="0" applyFont="1"/>
    <xf numFmtId="3" fontId="22" fillId="0" borderId="10" xfId="0" applyNumberFormat="1" applyFont="1" applyBorder="1" applyAlignment="1" applyProtection="1">
      <alignment horizontal="left"/>
    </xf>
    <xf numFmtId="3" fontId="22" fillId="0" borderId="7" xfId="0" applyNumberFormat="1" applyFont="1" applyBorder="1" applyAlignment="1" applyProtection="1">
      <alignment horizontal="left"/>
    </xf>
    <xf numFmtId="3" fontId="22" fillId="0" borderId="7" xfId="0" applyNumberFormat="1" applyFont="1" applyFill="1" applyBorder="1" applyProtection="1"/>
    <xf numFmtId="37" fontId="22" fillId="0" borderId="7" xfId="0" applyNumberFormat="1" applyFont="1" applyFill="1" applyBorder="1" applyAlignment="1" applyProtection="1"/>
    <xf numFmtId="3" fontId="22" fillId="0" borderId="7" xfId="0" applyNumberFormat="1" applyFont="1" applyBorder="1"/>
    <xf numFmtId="3" fontId="30" fillId="0" borderId="10" xfId="0" applyNumberFormat="1" applyFont="1" applyBorder="1" applyAlignment="1" applyProtection="1">
      <alignment horizontal="left"/>
    </xf>
    <xf numFmtId="3" fontId="30" fillId="0" borderId="7" xfId="0" applyNumberFormat="1" applyFont="1" applyBorder="1" applyAlignment="1" applyProtection="1">
      <alignment horizontal="left"/>
    </xf>
    <xf numFmtId="3" fontId="30" fillId="0" borderId="7" xfId="0" applyNumberFormat="1" applyFont="1" applyFill="1" applyBorder="1" applyProtection="1"/>
    <xf numFmtId="3" fontId="30" fillId="0" borderId="7" xfId="0" applyNumberFormat="1" applyFont="1" applyBorder="1"/>
    <xf numFmtId="3" fontId="22" fillId="0" borderId="7" xfId="0" applyNumberFormat="1" applyFont="1" applyFill="1" applyBorder="1" applyAlignment="1" applyProtection="1">
      <alignment horizontal="right"/>
    </xf>
    <xf numFmtId="3" fontId="22" fillId="0" borderId="7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 applyProtection="1"/>
    <xf numFmtId="3" fontId="30" fillId="0" borderId="10" xfId="0" applyNumberFormat="1" applyFont="1" applyFill="1" applyBorder="1" applyAlignment="1" applyProtection="1"/>
    <xf numFmtId="3" fontId="22" fillId="0" borderId="10" xfId="0" applyNumberFormat="1" applyFont="1" applyFill="1" applyBorder="1" applyAlignment="1" applyProtection="1">
      <alignment horizontal="left"/>
    </xf>
    <xf numFmtId="3" fontId="30" fillId="0" borderId="10" xfId="0" applyNumberFormat="1" applyFont="1" applyFill="1" applyBorder="1" applyAlignment="1" applyProtection="1">
      <alignment horizontal="left" vertical="center" wrapText="1"/>
    </xf>
    <xf numFmtId="3" fontId="30" fillId="0" borderId="0" xfId="0" applyNumberFormat="1" applyFont="1" applyBorder="1" applyAlignment="1" applyProtection="1">
      <alignment horizontal="left"/>
    </xf>
    <xf numFmtId="3" fontId="22" fillId="0" borderId="0" xfId="0" applyNumberFormat="1" applyFont="1" applyBorder="1" applyAlignment="1" applyProtection="1">
      <alignment horizontal="left"/>
    </xf>
    <xf numFmtId="0" fontId="22" fillId="0" borderId="0" xfId="0" applyFont="1" applyAlignment="1">
      <alignment horizontal="left"/>
    </xf>
    <xf numFmtId="3" fontId="30" fillId="0" borderId="1" xfId="0" applyNumberFormat="1" applyFont="1" applyBorder="1" applyAlignment="1" applyProtection="1">
      <alignment horizontal="left" vertical="center"/>
    </xf>
    <xf numFmtId="3" fontId="22" fillId="0" borderId="0" xfId="0" applyNumberFormat="1" applyFont="1" applyFill="1" applyBorder="1" applyAlignment="1" applyProtection="1"/>
    <xf numFmtId="3" fontId="30" fillId="0" borderId="0" xfId="0" applyNumberFormat="1" applyFont="1" applyFill="1" applyBorder="1" applyAlignment="1" applyProtection="1"/>
    <xf numFmtId="3" fontId="30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3" fontId="30" fillId="0" borderId="0" xfId="0" applyNumberFormat="1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36" xfId="0" applyNumberFormat="1" applyFont="1" applyBorder="1" applyAlignment="1" applyProtection="1">
      <alignment horizontal="left"/>
    </xf>
    <xf numFmtId="3" fontId="30" fillId="0" borderId="0" xfId="0" applyNumberFormat="1" applyFont="1" applyBorder="1" applyAlignment="1">
      <alignment horizontal="left"/>
    </xf>
    <xf numFmtId="3" fontId="22" fillId="0" borderId="7" xfId="0" applyNumberFormat="1" applyFont="1" applyFill="1" applyBorder="1" applyAlignment="1" applyProtection="1"/>
    <xf numFmtId="3" fontId="30" fillId="0" borderId="7" xfId="0" applyNumberFormat="1" applyFont="1" applyFill="1" applyBorder="1" applyAlignment="1" applyProtection="1"/>
    <xf numFmtId="3" fontId="30" fillId="0" borderId="7" xfId="0" applyNumberFormat="1" applyFont="1" applyFill="1" applyBorder="1" applyAlignment="1" applyProtection="1">
      <alignment vertical="center" wrapText="1"/>
    </xf>
    <xf numFmtId="3" fontId="30" fillId="0" borderId="7" xfId="0" applyNumberFormat="1" applyFont="1" applyFill="1" applyBorder="1" applyAlignment="1"/>
    <xf numFmtId="3" fontId="22" fillId="0" borderId="23" xfId="0" applyNumberFormat="1" applyFont="1" applyBorder="1" applyAlignment="1" applyProtection="1">
      <alignment horizontal="left"/>
    </xf>
    <xf numFmtId="0" fontId="22" fillId="0" borderId="23" xfId="0" applyFont="1" applyBorder="1"/>
    <xf numFmtId="3" fontId="22" fillId="0" borderId="24" xfId="0" applyNumberFormat="1" applyFont="1" applyBorder="1" applyAlignment="1" applyProtection="1">
      <alignment horizontal="left"/>
    </xf>
    <xf numFmtId="3" fontId="22" fillId="0" borderId="24" xfId="0" applyNumberFormat="1" applyFont="1" applyFill="1" applyBorder="1" applyProtection="1"/>
    <xf numFmtId="3" fontId="22" fillId="0" borderId="24" xfId="0" applyNumberFormat="1" applyFont="1" applyBorder="1"/>
    <xf numFmtId="3" fontId="30" fillId="0" borderId="21" xfId="0" applyNumberFormat="1" applyFont="1" applyFill="1" applyBorder="1" applyAlignment="1" applyProtection="1">
      <alignment vertical="center"/>
    </xf>
    <xf numFmtId="3" fontId="30" fillId="0" borderId="7" xfId="0" applyNumberFormat="1" applyFont="1" applyBorder="1" applyAlignment="1">
      <alignment vertical="center"/>
    </xf>
    <xf numFmtId="3" fontId="22" fillId="0" borderId="21" xfId="0" applyNumberFormat="1" applyFont="1" applyFill="1" applyBorder="1" applyProtection="1"/>
    <xf numFmtId="3" fontId="22" fillId="0" borderId="0" xfId="0" applyNumberFormat="1" applyFont="1" applyBorder="1"/>
    <xf numFmtId="3" fontId="22" fillId="0" borderId="21" xfId="0" applyNumberFormat="1" applyFont="1" applyBorder="1"/>
    <xf numFmtId="3" fontId="30" fillId="0" borderId="21" xfId="0" applyNumberFormat="1" applyFont="1" applyFill="1" applyBorder="1" applyProtection="1"/>
    <xf numFmtId="3" fontId="22" fillId="0" borderId="16" xfId="0" applyNumberFormat="1" applyFont="1" applyFill="1" applyBorder="1" applyProtection="1"/>
    <xf numFmtId="3" fontId="30" fillId="0" borderId="15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3" fontId="22" fillId="0" borderId="14" xfId="0" applyNumberFormat="1" applyFont="1" applyBorder="1"/>
    <xf numFmtId="3" fontId="22" fillId="0" borderId="15" xfId="0" applyNumberFormat="1" applyFont="1" applyBorder="1"/>
    <xf numFmtId="3" fontId="22" fillId="0" borderId="14" xfId="0" applyNumberFormat="1" applyFont="1" applyFill="1" applyBorder="1" applyProtection="1"/>
    <xf numFmtId="3" fontId="22" fillId="0" borderId="15" xfId="0" applyNumberFormat="1" applyFont="1" applyFill="1" applyBorder="1" applyProtection="1"/>
    <xf numFmtId="3" fontId="30" fillId="0" borderId="14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/>
    <xf numFmtId="3" fontId="30" fillId="0" borderId="20" xfId="0" applyNumberFormat="1" applyFont="1" applyFill="1" applyBorder="1" applyProtection="1"/>
    <xf numFmtId="3" fontId="30" fillId="0" borderId="20" xfId="0" applyNumberFormat="1" applyFont="1" applyBorder="1"/>
    <xf numFmtId="3" fontId="22" fillId="0" borderId="20" xfId="0" applyNumberFormat="1" applyFont="1" applyBorder="1" applyAlignment="1" applyProtection="1">
      <alignment horizontal="left"/>
    </xf>
    <xf numFmtId="3" fontId="22" fillId="0" borderId="20" xfId="0" applyNumberFormat="1" applyFont="1" applyFill="1" applyBorder="1" applyProtection="1"/>
    <xf numFmtId="3" fontId="22" fillId="0" borderId="20" xfId="0" applyNumberFormat="1" applyFont="1" applyBorder="1"/>
    <xf numFmtId="0" fontId="22" fillId="0" borderId="20" xfId="0" applyFont="1" applyBorder="1"/>
    <xf numFmtId="3" fontId="22" fillId="0" borderId="20" xfId="0" applyNumberFormat="1" applyFont="1" applyFill="1" applyBorder="1" applyAlignment="1" applyProtection="1"/>
    <xf numFmtId="4" fontId="22" fillId="0" borderId="20" xfId="0" applyNumberFormat="1" applyFont="1" applyBorder="1"/>
    <xf numFmtId="3" fontId="30" fillId="0" borderId="20" xfId="0" applyNumberFormat="1" applyFont="1" applyBorder="1" applyAlignment="1" applyProtection="1">
      <alignment horizontal="left"/>
    </xf>
    <xf numFmtId="3" fontId="30" fillId="0" borderId="28" xfId="0" applyNumberFormat="1" applyFont="1" applyFill="1" applyBorder="1" applyProtection="1"/>
    <xf numFmtId="3" fontId="30" fillId="0" borderId="16" xfId="0" applyNumberFormat="1" applyFont="1" applyFill="1" applyBorder="1" applyProtection="1"/>
    <xf numFmtId="3" fontId="30" fillId="0" borderId="16" xfId="0" applyNumberFormat="1" applyFont="1" applyBorder="1"/>
    <xf numFmtId="3" fontId="30" fillId="0" borderId="29" xfId="0" applyNumberFormat="1" applyFont="1" applyBorder="1"/>
    <xf numFmtId="3" fontId="30" fillId="0" borderId="33" xfId="0" applyNumberFormat="1" applyFont="1" applyBorder="1"/>
    <xf numFmtId="3" fontId="30" fillId="0" borderId="0" xfId="0" applyNumberFormat="1" applyFont="1" applyFill="1" applyBorder="1" applyProtection="1"/>
    <xf numFmtId="3" fontId="22" fillId="0" borderId="16" xfId="0" applyNumberFormat="1" applyFont="1" applyBorder="1"/>
    <xf numFmtId="3" fontId="22" fillId="0" borderId="29" xfId="0" applyNumberFormat="1" applyFont="1" applyBorder="1"/>
    <xf numFmtId="3" fontId="22" fillId="0" borderId="33" xfId="0" applyNumberFormat="1" applyFont="1" applyBorder="1"/>
    <xf numFmtId="3" fontId="22" fillId="0" borderId="32" xfId="0" applyNumberFormat="1" applyFont="1" applyFill="1" applyBorder="1" applyProtection="1"/>
    <xf numFmtId="3" fontId="22" fillId="0" borderId="32" xfId="0" applyNumberFormat="1" applyFont="1" applyBorder="1"/>
    <xf numFmtId="3" fontId="7" fillId="0" borderId="18" xfId="0" applyNumberFormat="1" applyFont="1" applyBorder="1" applyAlignment="1" applyProtection="1">
      <alignment horizontal="left" vertical="center"/>
    </xf>
    <xf numFmtId="3" fontId="30" fillId="0" borderId="8" xfId="0" applyNumberFormat="1" applyFont="1" applyBorder="1" applyAlignment="1" applyProtection="1">
      <alignment horizontal="left" vertical="center"/>
    </xf>
    <xf numFmtId="3" fontId="30" fillId="0" borderId="8" xfId="0" applyNumberFormat="1" applyFont="1" applyFill="1" applyBorder="1" applyAlignment="1" applyProtection="1">
      <alignment vertical="center"/>
    </xf>
    <xf numFmtId="3" fontId="30" fillId="0" borderId="8" xfId="0" applyNumberFormat="1" applyFont="1" applyBorder="1" applyAlignment="1">
      <alignment vertical="center"/>
    </xf>
    <xf numFmtId="3" fontId="7" fillId="0" borderId="11" xfId="0" applyNumberFormat="1" applyFont="1" applyBorder="1" applyAlignment="1" applyProtection="1">
      <alignment horizontal="left" vertical="center"/>
    </xf>
    <xf numFmtId="3" fontId="30" fillId="0" borderId="35" xfId="0" applyNumberFormat="1" applyFont="1" applyBorder="1" applyAlignment="1" applyProtection="1">
      <alignment horizontal="left" vertical="center"/>
    </xf>
    <xf numFmtId="3" fontId="30" fillId="0" borderId="25" xfId="0" applyNumberFormat="1" applyFont="1" applyFill="1" applyBorder="1" applyAlignment="1" applyProtection="1">
      <alignment vertical="center"/>
    </xf>
    <xf numFmtId="3" fontId="30" fillId="0" borderId="26" xfId="0" applyNumberFormat="1" applyFont="1" applyFill="1" applyBorder="1" applyAlignment="1" applyProtection="1">
      <alignment vertical="center"/>
    </xf>
    <xf numFmtId="3" fontId="30" fillId="0" borderId="27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3" fontId="30" fillId="0" borderId="36" xfId="0" applyNumberFormat="1" applyFont="1" applyBorder="1" applyAlignment="1" applyProtection="1">
      <alignment horizontal="left"/>
    </xf>
    <xf numFmtId="3" fontId="30" fillId="0" borderId="37" xfId="0" applyNumberFormat="1" applyFont="1" applyBorder="1" applyAlignment="1" applyProtection="1">
      <alignment horizontal="left"/>
    </xf>
    <xf numFmtId="3" fontId="30" fillId="0" borderId="37" xfId="0" applyNumberFormat="1" applyFont="1" applyFill="1" applyBorder="1" applyProtection="1"/>
    <xf numFmtId="3" fontId="30" fillId="0" borderId="37" xfId="0" applyNumberFormat="1" applyFont="1" applyBorder="1"/>
    <xf numFmtId="3" fontId="30" fillId="0" borderId="38" xfId="0" applyNumberFormat="1" applyFont="1" applyBorder="1"/>
    <xf numFmtId="3" fontId="30" fillId="0" borderId="5" xfId="0" applyNumberFormat="1" applyFont="1" applyFill="1" applyBorder="1" applyAlignment="1" applyProtection="1">
      <alignment horizontal="left" vertical="center"/>
    </xf>
    <xf numFmtId="3" fontId="30" fillId="0" borderId="5" xfId="0" applyNumberFormat="1" applyFont="1" applyBorder="1" applyAlignment="1" applyProtection="1">
      <alignment horizontal="left" vertical="center"/>
    </xf>
    <xf numFmtId="0" fontId="30" fillId="2" borderId="7" xfId="0" applyFont="1" applyFill="1" applyBorder="1" applyAlignment="1">
      <alignment horizontal="center" vertical="center" wrapText="1"/>
    </xf>
    <xf numFmtId="175" fontId="30" fillId="2" borderId="7" xfId="0" applyNumberFormat="1" applyFont="1" applyFill="1" applyBorder="1" applyAlignment="1">
      <alignment horizontal="center" vertical="center"/>
    </xf>
    <xf numFmtId="3" fontId="30" fillId="2" borderId="30" xfId="0" applyNumberFormat="1" applyFont="1" applyFill="1" applyBorder="1" applyAlignment="1" applyProtection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175" fontId="30" fillId="2" borderId="30" xfId="0" applyNumberFormat="1" applyFont="1" applyFill="1" applyBorder="1" applyAlignment="1">
      <alignment horizontal="center"/>
    </xf>
    <xf numFmtId="49" fontId="30" fillId="2" borderId="31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horizontal="left" vertical="center"/>
    </xf>
    <xf numFmtId="3" fontId="30" fillId="0" borderId="44" xfId="0" applyNumberFormat="1" applyFont="1" applyFill="1" applyBorder="1" applyAlignment="1" applyProtection="1">
      <alignment vertical="center"/>
    </xf>
    <xf numFmtId="3" fontId="30" fillId="0" borderId="41" xfId="0" applyNumberFormat="1" applyFont="1" applyBorder="1" applyAlignment="1" applyProtection="1">
      <alignment horizontal="left" vertical="center"/>
    </xf>
    <xf numFmtId="3" fontId="30" fillId="0" borderId="16" xfId="0" applyNumberFormat="1" applyFont="1" applyFill="1" applyBorder="1" applyAlignment="1" applyProtection="1">
      <alignment vertical="center"/>
    </xf>
    <xf numFmtId="3" fontId="30" fillId="0" borderId="16" xfId="0" applyNumberFormat="1" applyFont="1" applyBorder="1" applyAlignment="1">
      <alignment vertical="center"/>
    </xf>
    <xf numFmtId="3" fontId="22" fillId="0" borderId="16" xfId="0" applyNumberFormat="1" applyFont="1" applyFill="1" applyBorder="1" applyAlignment="1" applyProtection="1"/>
    <xf numFmtId="3" fontId="22" fillId="0" borderId="22" xfId="0" applyNumberFormat="1" applyFont="1" applyFill="1" applyBorder="1" applyProtection="1"/>
    <xf numFmtId="3" fontId="22" fillId="0" borderId="16" xfId="0" applyNumberFormat="1" applyFont="1" applyBorder="1" applyAlignment="1" applyProtection="1">
      <alignment horizontal="left"/>
    </xf>
    <xf numFmtId="3" fontId="30" fillId="0" borderId="16" xfId="0" applyNumberFormat="1" applyFont="1" applyFill="1" applyBorder="1" applyAlignment="1" applyProtection="1"/>
    <xf numFmtId="3" fontId="22" fillId="0" borderId="16" xfId="0" applyNumberFormat="1" applyFont="1" applyFill="1" applyBorder="1" applyAlignment="1" applyProtection="1">
      <alignment horizontal="right"/>
    </xf>
    <xf numFmtId="3" fontId="30" fillId="0" borderId="22" xfId="0" applyNumberFormat="1" applyFont="1" applyFill="1" applyBorder="1" applyAlignment="1" applyProtection="1">
      <alignment vertical="center"/>
    </xf>
    <xf numFmtId="3" fontId="22" fillId="0" borderId="42" xfId="0" applyNumberFormat="1" applyFont="1" applyBorder="1" applyAlignment="1" applyProtection="1">
      <alignment horizontal="left"/>
    </xf>
    <xf numFmtId="3" fontId="22" fillId="0" borderId="41" xfId="0" applyNumberFormat="1" applyFont="1" applyFill="1" applyBorder="1" applyProtection="1"/>
    <xf numFmtId="3" fontId="30" fillId="0" borderId="42" xfId="0" applyNumberFormat="1" applyFont="1" applyFill="1" applyBorder="1" applyAlignment="1" applyProtection="1">
      <alignment vertical="center"/>
    </xf>
    <xf numFmtId="3" fontId="30" fillId="0" borderId="41" xfId="0" applyNumberFormat="1" applyFont="1" applyFill="1" applyBorder="1" applyAlignment="1" applyProtection="1">
      <alignment vertical="center"/>
    </xf>
    <xf numFmtId="3" fontId="30" fillId="0" borderId="43" xfId="0" applyNumberFormat="1" applyFont="1" applyFill="1" applyBorder="1" applyAlignment="1" applyProtection="1">
      <alignment vertical="center"/>
    </xf>
    <xf numFmtId="3" fontId="30" fillId="0" borderId="46" xfId="0" applyNumberFormat="1" applyFont="1" applyFill="1" applyBorder="1" applyAlignment="1" applyProtection="1">
      <alignment vertical="center"/>
    </xf>
    <xf numFmtId="3" fontId="30" fillId="0" borderId="47" xfId="0" applyNumberFormat="1" applyFont="1" applyFill="1" applyBorder="1" applyAlignment="1" applyProtection="1">
      <alignment vertical="center"/>
    </xf>
    <xf numFmtId="3" fontId="30" fillId="0" borderId="48" xfId="0" applyNumberFormat="1" applyFont="1" applyBorder="1" applyAlignment="1">
      <alignment vertical="center"/>
    </xf>
    <xf numFmtId="3" fontId="30" fillId="0" borderId="48" xfId="0" applyNumberFormat="1" applyFont="1" applyFill="1" applyBorder="1" applyAlignment="1" applyProtection="1">
      <alignment vertical="center"/>
    </xf>
    <xf numFmtId="3" fontId="30" fillId="0" borderId="44" xfId="0" applyNumberFormat="1" applyFont="1" applyBorder="1" applyAlignment="1">
      <alignment vertical="center"/>
    </xf>
    <xf numFmtId="3" fontId="30" fillId="0" borderId="22" xfId="0" applyNumberFormat="1" applyFont="1" applyFill="1" applyBorder="1" applyProtection="1"/>
    <xf numFmtId="3" fontId="30" fillId="0" borderId="19" xfId="0" applyNumberFormat="1" applyFont="1" applyFill="1" applyBorder="1" applyProtection="1"/>
    <xf numFmtId="3" fontId="22" fillId="0" borderId="19" xfId="0" applyNumberFormat="1" applyFont="1" applyFill="1" applyBorder="1" applyProtection="1"/>
    <xf numFmtId="3" fontId="22" fillId="0" borderId="19" xfId="0" applyNumberFormat="1" applyFont="1" applyBorder="1"/>
    <xf numFmtId="3" fontId="30" fillId="0" borderId="48" xfId="0" applyNumberFormat="1" applyFont="1" applyBorder="1" applyAlignment="1" applyProtection="1">
      <alignment horizontal="left" vertical="center"/>
    </xf>
    <xf numFmtId="3" fontId="30" fillId="0" borderId="48" xfId="0" applyNumberFormat="1" applyFont="1" applyFill="1" applyBorder="1" applyProtection="1"/>
    <xf numFmtId="3" fontId="30" fillId="0" borderId="49" xfId="0" applyNumberFormat="1" applyFont="1" applyFill="1" applyBorder="1" applyAlignment="1" applyProtection="1">
      <alignment vertical="center"/>
    </xf>
    <xf numFmtId="3" fontId="30" fillId="0" borderId="16" xfId="0" applyNumberFormat="1" applyFont="1" applyBorder="1" applyAlignment="1" applyProtection="1">
      <alignment horizontal="left"/>
    </xf>
    <xf numFmtId="3" fontId="30" fillId="0" borderId="0" xfId="0" applyNumberFormat="1" applyFont="1" applyBorder="1"/>
    <xf numFmtId="3" fontId="30" fillId="0" borderId="19" xfId="0" applyNumberFormat="1" applyFont="1" applyBorder="1"/>
    <xf numFmtId="3" fontId="22" fillId="0" borderId="16" xfId="0" applyNumberFormat="1" applyFont="1" applyBorder="1" applyAlignment="1">
      <alignment horizontal="left"/>
    </xf>
    <xf numFmtId="0" fontId="30" fillId="2" borderId="50" xfId="0" applyFont="1" applyFill="1" applyBorder="1" applyAlignment="1">
      <alignment horizontal="center"/>
    </xf>
    <xf numFmtId="3" fontId="30" fillId="2" borderId="50" xfId="0" applyNumberFormat="1" applyFont="1" applyFill="1" applyBorder="1" applyAlignment="1">
      <alignment horizontal="center"/>
    </xf>
    <xf numFmtId="3" fontId="30" fillId="2" borderId="50" xfId="0" applyNumberFormat="1" applyFont="1" applyFill="1" applyBorder="1" applyAlignment="1" applyProtection="1">
      <alignment horizontal="center"/>
    </xf>
    <xf numFmtId="0" fontId="30" fillId="2" borderId="51" xfId="0" applyFont="1" applyFill="1" applyBorder="1" applyAlignment="1">
      <alignment horizontal="center"/>
    </xf>
    <xf numFmtId="3" fontId="30" fillId="2" borderId="51" xfId="0" applyNumberFormat="1" applyFont="1" applyFill="1" applyBorder="1" applyAlignment="1">
      <alignment horizontal="center"/>
    </xf>
    <xf numFmtId="3" fontId="30" fillId="2" borderId="51" xfId="0" applyNumberFormat="1" applyFont="1" applyFill="1" applyBorder="1" applyAlignment="1" applyProtection="1">
      <alignment horizontal="center"/>
    </xf>
    <xf numFmtId="3" fontId="7" fillId="0" borderId="59" xfId="0" applyNumberFormat="1" applyFont="1" applyBorder="1" applyAlignment="1" applyProtection="1">
      <alignment horizontal="left" vertical="center"/>
    </xf>
    <xf numFmtId="3" fontId="7" fillId="0" borderId="59" xfId="0" applyNumberFormat="1" applyFont="1" applyFill="1" applyBorder="1" applyAlignment="1" applyProtection="1">
      <alignment vertical="center"/>
    </xf>
    <xf numFmtId="3" fontId="7" fillId="0" borderId="60" xfId="0" applyNumberFormat="1" applyFont="1" applyFill="1" applyBorder="1" applyAlignment="1" applyProtection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169" fontId="5" fillId="0" borderId="0" xfId="0" applyNumberFormat="1" applyFont="1" applyBorder="1" applyAlignment="1" applyProtection="1">
      <alignment horizontal="left"/>
    </xf>
    <xf numFmtId="49" fontId="22" fillId="0" borderId="10" xfId="0" applyNumberFormat="1" applyFont="1" applyBorder="1" applyAlignment="1" applyProtection="1">
      <alignment horizontal="left"/>
    </xf>
    <xf numFmtId="4" fontId="17" fillId="0" borderId="0" xfId="0" applyNumberFormat="1" applyFont="1"/>
    <xf numFmtId="166" fontId="14" fillId="0" borderId="15" xfId="0" applyNumberFormat="1" applyFont="1" applyBorder="1"/>
    <xf numFmtId="3" fontId="14" fillId="0" borderId="14" xfId="0" applyNumberFormat="1" applyFont="1" applyFill="1" applyBorder="1" applyProtection="1"/>
    <xf numFmtId="3" fontId="14" fillId="0" borderId="14" xfId="0" applyNumberFormat="1" applyFont="1" applyBorder="1" applyAlignment="1" applyProtection="1">
      <alignment horizontal="left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/>
    <xf numFmtId="0" fontId="33" fillId="0" borderId="0" xfId="0" applyFont="1"/>
    <xf numFmtId="169" fontId="18" fillId="0" borderId="0" xfId="0" applyNumberFormat="1" applyFont="1" applyBorder="1" applyAlignment="1" applyProtection="1">
      <alignment horizontal="left"/>
    </xf>
    <xf numFmtId="169" fontId="32" fillId="0" borderId="0" xfId="0" applyNumberFormat="1" applyFont="1" applyBorder="1" applyAlignment="1" applyProtection="1">
      <alignment horizontal="left"/>
    </xf>
    <xf numFmtId="3" fontId="15" fillId="0" borderId="0" xfId="0" applyNumberFormat="1" applyFont="1" applyFill="1" applyBorder="1" applyProtection="1"/>
    <xf numFmtId="174" fontId="15" fillId="0" borderId="0" xfId="0" applyNumberFormat="1" applyFont="1" applyFill="1" applyBorder="1" applyProtection="1"/>
    <xf numFmtId="166" fontId="3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Protection="1"/>
    <xf numFmtId="0" fontId="16" fillId="3" borderId="74" xfId="0" applyFont="1" applyFill="1" applyBorder="1" applyAlignment="1">
      <alignment horizontal="center"/>
    </xf>
    <xf numFmtId="0" fontId="16" fillId="3" borderId="74" xfId="0" applyFont="1" applyFill="1" applyBorder="1"/>
    <xf numFmtId="0" fontId="16" fillId="3" borderId="64" xfId="0" applyFont="1" applyFill="1" applyBorder="1"/>
    <xf numFmtId="0" fontId="16" fillId="3" borderId="64" xfId="0" applyFont="1" applyFill="1" applyBorder="1" applyAlignment="1">
      <alignment horizontal="center"/>
    </xf>
    <xf numFmtId="0" fontId="16" fillId="3" borderId="64" xfId="0" applyFont="1" applyFill="1" applyBorder="1" applyAlignment="1">
      <alignment horizontal="center" vertical="center"/>
    </xf>
    <xf numFmtId="0" fontId="16" fillId="3" borderId="75" xfId="0" applyFont="1" applyFill="1" applyBorder="1"/>
    <xf numFmtId="0" fontId="16" fillId="3" borderId="61" xfId="0" applyFont="1" applyFill="1" applyBorder="1" applyAlignment="1">
      <alignment horizontal="center" wrapText="1"/>
    </xf>
    <xf numFmtId="3" fontId="16" fillId="0" borderId="76" xfId="0" applyNumberFormat="1" applyFont="1" applyBorder="1" applyAlignment="1" applyProtection="1">
      <alignment horizontal="left"/>
    </xf>
    <xf numFmtId="3" fontId="15" fillId="0" borderId="75" xfId="0" applyNumberFormat="1" applyFont="1" applyBorder="1" applyAlignment="1" applyProtection="1">
      <alignment horizontal="left"/>
    </xf>
    <xf numFmtId="3" fontId="16" fillId="0" borderId="75" xfId="0" applyNumberFormat="1" applyFont="1" applyFill="1" applyBorder="1" applyProtection="1"/>
    <xf numFmtId="3" fontId="16" fillId="0" borderId="75" xfId="0" applyNumberFormat="1" applyFont="1" applyBorder="1"/>
    <xf numFmtId="3" fontId="16" fillId="0" borderId="75" xfId="0" applyNumberFormat="1" applyFont="1" applyBorder="1" applyAlignment="1">
      <alignment horizontal="center"/>
    </xf>
    <xf numFmtId="166" fontId="16" fillId="0" borderId="77" xfId="0" applyNumberFormat="1" applyFont="1" applyBorder="1"/>
    <xf numFmtId="3" fontId="14" fillId="0" borderId="62" xfId="0" applyNumberFormat="1" applyFont="1" applyBorder="1" applyAlignment="1" applyProtection="1">
      <alignment horizontal="left"/>
    </xf>
    <xf numFmtId="49" fontId="14" fillId="0" borderId="62" xfId="0" applyNumberFormat="1" applyFont="1" applyBorder="1" applyAlignment="1" applyProtection="1">
      <alignment horizontal="left"/>
    </xf>
    <xf numFmtId="3" fontId="14" fillId="0" borderId="14" xfId="0" applyNumberFormat="1" applyFont="1" applyFill="1" applyBorder="1" applyAlignment="1" applyProtection="1"/>
    <xf numFmtId="49" fontId="28" fillId="0" borderId="62" xfId="0" applyNumberFormat="1" applyFont="1" applyBorder="1" applyAlignment="1" applyProtection="1">
      <alignment horizontal="left"/>
    </xf>
    <xf numFmtId="3" fontId="28" fillId="0" borderId="14" xfId="0" applyNumberFormat="1" applyFont="1" applyFill="1" applyBorder="1" applyAlignment="1" applyProtection="1"/>
    <xf numFmtId="3" fontId="28" fillId="0" borderId="14" xfId="0" applyNumberFormat="1" applyFont="1" applyFill="1" applyBorder="1" applyProtection="1"/>
    <xf numFmtId="3" fontId="34" fillId="0" borderId="14" xfId="0" applyNumberFormat="1" applyFont="1" applyFill="1" applyBorder="1" applyProtection="1"/>
    <xf numFmtId="3" fontId="28" fillId="0" borderId="14" xfId="0" applyNumberFormat="1" applyFont="1" applyBorder="1"/>
    <xf numFmtId="3" fontId="28" fillId="0" borderId="14" xfId="0" applyNumberFormat="1" applyFont="1" applyBorder="1" applyAlignment="1">
      <alignment horizontal="center"/>
    </xf>
    <xf numFmtId="166" fontId="28" fillId="0" borderId="15" xfId="0" applyNumberFormat="1" applyFont="1" applyBorder="1"/>
    <xf numFmtId="3" fontId="16" fillId="0" borderId="65" xfId="0" applyNumberFormat="1" applyFont="1" applyBorder="1" applyAlignment="1" applyProtection="1">
      <alignment horizontal="left"/>
    </xf>
    <xf numFmtId="3" fontId="15" fillId="0" borderId="66" xfId="0" applyNumberFormat="1" applyFont="1" applyBorder="1" applyAlignment="1" applyProtection="1">
      <alignment horizontal="left"/>
    </xf>
    <xf numFmtId="3" fontId="16" fillId="0" borderId="66" xfId="0" applyNumberFormat="1" applyFont="1" applyFill="1" applyBorder="1" applyProtection="1"/>
    <xf numFmtId="3" fontId="16" fillId="0" borderId="66" xfId="0" applyNumberFormat="1" applyFont="1" applyBorder="1"/>
    <xf numFmtId="3" fontId="16" fillId="0" borderId="66" xfId="0" applyNumberFormat="1" applyFont="1" applyBorder="1" applyAlignment="1">
      <alignment horizontal="center"/>
    </xf>
    <xf numFmtId="166" fontId="16" fillId="0" borderId="67" xfId="0" applyNumberFormat="1" applyFont="1" applyBorder="1"/>
    <xf numFmtId="3" fontId="16" fillId="0" borderId="14" xfId="0" applyNumberFormat="1" applyFont="1" applyFill="1" applyBorder="1" applyProtection="1"/>
    <xf numFmtId="165" fontId="14" fillId="0" borderId="14" xfId="0" applyNumberFormat="1" applyFont="1" applyFill="1" applyBorder="1" applyProtection="1"/>
    <xf numFmtId="3" fontId="14" fillId="0" borderId="62" xfId="0" applyNumberFormat="1" applyFont="1" applyFill="1" applyBorder="1" applyAlignment="1" applyProtection="1"/>
    <xf numFmtId="3" fontId="14" fillId="0" borderId="62" xfId="0" applyNumberFormat="1" applyFont="1" applyFill="1" applyBorder="1" applyAlignment="1" applyProtection="1">
      <alignment horizontal="left"/>
    </xf>
    <xf numFmtId="3" fontId="34" fillId="0" borderId="62" xfId="0" applyNumberFormat="1" applyFont="1" applyFill="1" applyBorder="1" applyAlignment="1" applyProtection="1"/>
    <xf numFmtId="3" fontId="16" fillId="0" borderId="14" xfId="0" applyNumberFormat="1" applyFont="1" applyBorder="1"/>
    <xf numFmtId="3" fontId="14" fillId="0" borderId="14" xfId="0" applyNumberFormat="1" applyFont="1" applyFill="1" applyBorder="1" applyAlignment="1" applyProtection="1">
      <alignment vertical="center"/>
    </xf>
    <xf numFmtId="3" fontId="28" fillId="0" borderId="62" xfId="0" applyNumberFormat="1" applyFont="1" applyFill="1" applyBorder="1" applyAlignment="1" applyProtection="1"/>
    <xf numFmtId="3" fontId="34" fillId="0" borderId="62" xfId="0" applyNumberFormat="1" applyFont="1" applyFill="1" applyBorder="1" applyAlignment="1" applyProtection="1">
      <alignment horizontal="left"/>
    </xf>
    <xf numFmtId="3" fontId="34" fillId="0" borderId="14" xfId="0" applyNumberFormat="1" applyFont="1" applyBorder="1"/>
    <xf numFmtId="3" fontId="16" fillId="0" borderId="78" xfId="0" applyNumberFormat="1" applyFont="1" applyBorder="1" applyAlignment="1" applyProtection="1">
      <alignment horizontal="left"/>
    </xf>
    <xf numFmtId="3" fontId="15" fillId="0" borderId="79" xfId="0" applyNumberFormat="1" applyFont="1" applyBorder="1" applyAlignment="1" applyProtection="1">
      <alignment horizontal="left"/>
    </xf>
    <xf numFmtId="3" fontId="16" fillId="0" borderId="79" xfId="0" applyNumberFormat="1" applyFont="1" applyFill="1" applyBorder="1" applyProtection="1"/>
    <xf numFmtId="3" fontId="16" fillId="0" borderId="79" xfId="0" applyNumberFormat="1" applyFont="1" applyBorder="1" applyAlignment="1" applyProtection="1">
      <alignment horizontal="right"/>
    </xf>
    <xf numFmtId="3" fontId="16" fillId="0" borderId="79" xfId="0" applyNumberFormat="1" applyFont="1" applyBorder="1"/>
    <xf numFmtId="3" fontId="16" fillId="0" borderId="79" xfId="0" applyNumberFormat="1" applyFont="1" applyBorder="1" applyAlignment="1">
      <alignment horizontal="center"/>
    </xf>
    <xf numFmtId="166" fontId="16" fillId="0" borderId="80" xfId="0" applyNumberFormat="1" applyFont="1" applyBorder="1"/>
    <xf numFmtId="3" fontId="16" fillId="0" borderId="62" xfId="0" applyNumberFormat="1" applyFont="1" applyFill="1" applyBorder="1" applyAlignment="1" applyProtection="1">
      <alignment horizontal="left"/>
    </xf>
    <xf numFmtId="3" fontId="16" fillId="0" borderId="76" xfId="0" applyNumberFormat="1" applyFont="1" applyFill="1" applyBorder="1" applyAlignment="1" applyProtection="1">
      <alignment horizontal="left"/>
    </xf>
    <xf numFmtId="3" fontId="15" fillId="0" borderId="75" xfId="0" applyNumberFormat="1" applyFont="1" applyFill="1" applyBorder="1" applyAlignment="1" applyProtection="1"/>
    <xf numFmtId="3" fontId="28" fillId="0" borderId="62" xfId="0" applyNumberFormat="1" applyFont="1" applyFill="1" applyBorder="1" applyAlignment="1" applyProtection="1">
      <alignment horizontal="left"/>
    </xf>
    <xf numFmtId="3" fontId="16" fillId="0" borderId="75" xfId="0" applyNumberFormat="1" applyFont="1" applyBorder="1" applyAlignment="1" applyProtection="1">
      <alignment horizontal="left"/>
    </xf>
    <xf numFmtId="3" fontId="28" fillId="0" borderId="76" xfId="0" applyNumberFormat="1" applyFont="1" applyBorder="1" applyAlignment="1" applyProtection="1">
      <alignment horizontal="left"/>
    </xf>
    <xf numFmtId="3" fontId="16" fillId="0" borderId="75" xfId="0" applyNumberFormat="1" applyFont="1" applyBorder="1" applyAlignment="1" applyProtection="1">
      <alignment horizontal="center" vertical="center"/>
    </xf>
    <xf numFmtId="3" fontId="16" fillId="0" borderId="75" xfId="0" applyNumberFormat="1" applyFont="1" applyFill="1" applyBorder="1" applyAlignment="1" applyProtection="1">
      <alignment vertical="center"/>
    </xf>
    <xf numFmtId="3" fontId="16" fillId="0" borderId="75" xfId="0" applyNumberFormat="1" applyFont="1" applyBorder="1" applyAlignment="1">
      <alignment vertical="center"/>
    </xf>
    <xf numFmtId="3" fontId="16" fillId="0" borderId="75" xfId="0" applyNumberFormat="1" applyFont="1" applyBorder="1" applyAlignment="1">
      <alignment horizontal="center" vertical="center"/>
    </xf>
    <xf numFmtId="166" fontId="16" fillId="0" borderId="77" xfId="0" applyNumberFormat="1" applyFont="1" applyBorder="1" applyAlignment="1">
      <alignment vertical="center"/>
    </xf>
    <xf numFmtId="3" fontId="18" fillId="0" borderId="14" xfId="0" applyNumberFormat="1" applyFont="1" applyBorder="1" applyAlignment="1" applyProtection="1">
      <alignment horizontal="left"/>
    </xf>
    <xf numFmtId="166" fontId="30" fillId="0" borderId="13" xfId="0" applyNumberFormat="1" applyFont="1" applyBorder="1" applyAlignment="1">
      <alignment horizontal="center" vertical="center"/>
    </xf>
    <xf numFmtId="166" fontId="30" fillId="0" borderId="9" xfId="0" applyNumberFormat="1" applyFont="1" applyBorder="1" applyAlignment="1">
      <alignment horizontal="center"/>
    </xf>
    <xf numFmtId="166" fontId="22" fillId="0" borderId="9" xfId="0" applyNumberFormat="1" applyFont="1" applyBorder="1" applyAlignment="1">
      <alignment horizontal="center"/>
    </xf>
    <xf numFmtId="166" fontId="30" fillId="0" borderId="12" xfId="0" applyNumberFormat="1" applyFont="1" applyBorder="1" applyAlignment="1">
      <alignment horizontal="center"/>
    </xf>
    <xf numFmtId="166" fontId="30" fillId="0" borderId="26" xfId="0" applyNumberFormat="1" applyFont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166" fontId="22" fillId="0" borderId="4" xfId="0" applyNumberFormat="1" applyFont="1" applyBorder="1" applyAlignment="1">
      <alignment horizontal="center"/>
    </xf>
    <xf numFmtId="166" fontId="30" fillId="0" borderId="4" xfId="0" applyNumberFormat="1" applyFont="1" applyBorder="1" applyAlignment="1">
      <alignment horizontal="center"/>
    </xf>
    <xf numFmtId="166" fontId="30" fillId="0" borderId="28" xfId="0" applyNumberFormat="1" applyFont="1" applyBorder="1" applyAlignment="1">
      <alignment horizontal="center"/>
    </xf>
    <xf numFmtId="166" fontId="22" fillId="0" borderId="28" xfId="0" applyNumberFormat="1" applyFont="1" applyBorder="1" applyAlignment="1">
      <alignment horizontal="center"/>
    </xf>
    <xf numFmtId="166" fontId="30" fillId="0" borderId="39" xfId="0" applyNumberFormat="1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30" fillId="0" borderId="6" xfId="0" applyNumberFormat="1" applyFont="1" applyBorder="1" applyAlignment="1">
      <alignment horizontal="center" vertical="center"/>
    </xf>
    <xf numFmtId="166" fontId="7" fillId="0" borderId="60" xfId="0" applyNumberFormat="1" applyFont="1" applyBorder="1" applyAlignment="1">
      <alignment horizontal="center" vertical="center"/>
    </xf>
    <xf numFmtId="3" fontId="30" fillId="0" borderId="81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Protection="1"/>
    <xf numFmtId="3" fontId="30" fillId="0" borderId="82" xfId="0" applyNumberFormat="1" applyFont="1" applyFill="1" applyBorder="1" applyAlignment="1" applyProtection="1">
      <alignment vertical="center"/>
    </xf>
    <xf numFmtId="3" fontId="30" fillId="0" borderId="84" xfId="0" applyNumberFormat="1" applyFont="1" applyFill="1" applyBorder="1" applyAlignment="1" applyProtection="1">
      <alignment vertical="center"/>
    </xf>
    <xf numFmtId="3" fontId="30" fillId="0" borderId="7" xfId="0" applyNumberFormat="1" applyFont="1" applyFill="1" applyBorder="1" applyAlignment="1" applyProtection="1">
      <alignment vertical="center"/>
    </xf>
    <xf numFmtId="37" fontId="30" fillId="0" borderId="16" xfId="0" applyNumberFormat="1" applyFont="1" applyFill="1" applyBorder="1" applyAlignment="1" applyProtection="1">
      <alignment vertical="center"/>
    </xf>
    <xf numFmtId="3" fontId="30" fillId="0" borderId="85" xfId="0" applyNumberFormat="1" applyFont="1" applyBorder="1"/>
    <xf numFmtId="3" fontId="22" fillId="0" borderId="41" xfId="0" applyNumberFormat="1" applyFont="1" applyBorder="1"/>
    <xf numFmtId="3" fontId="22" fillId="0" borderId="70" xfId="0" applyNumberFormat="1" applyFont="1" applyBorder="1"/>
    <xf numFmtId="37" fontId="30" fillId="0" borderId="7" xfId="0" applyNumberFormat="1" applyFont="1" applyFill="1" applyBorder="1" applyProtection="1"/>
    <xf numFmtId="3" fontId="16" fillId="0" borderId="62" xfId="0" applyNumberFormat="1" applyFont="1" applyBorder="1" applyAlignment="1" applyProtection="1">
      <alignment horizontal="left"/>
    </xf>
    <xf numFmtId="3" fontId="16" fillId="0" borderId="14" xfId="0" applyNumberFormat="1" applyFont="1" applyBorder="1" applyAlignment="1" applyProtection="1">
      <alignment horizontal="left"/>
    </xf>
    <xf numFmtId="37" fontId="14" fillId="0" borderId="14" xfId="0" applyNumberFormat="1" applyFont="1" applyFill="1" applyBorder="1" applyProtection="1"/>
    <xf numFmtId="4" fontId="15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69" fontId="30" fillId="2" borderId="55" xfId="0" applyNumberFormat="1" applyFont="1" applyFill="1" applyBorder="1" applyAlignment="1" applyProtection="1">
      <alignment horizontal="center" vertical="center" wrapText="1"/>
    </xf>
    <xf numFmtId="169" fontId="30" fillId="2" borderId="45" xfId="0" applyNumberFormat="1" applyFont="1" applyFill="1" applyBorder="1" applyAlignment="1" applyProtection="1">
      <alignment horizontal="center" vertical="center" wrapText="1"/>
    </xf>
    <xf numFmtId="3" fontId="30" fillId="2" borderId="55" xfId="0" applyNumberFormat="1" applyFont="1" applyFill="1" applyBorder="1" applyAlignment="1" applyProtection="1">
      <alignment horizontal="center" vertical="center" wrapText="1"/>
    </xf>
    <xf numFmtId="3" fontId="30" fillId="2" borderId="45" xfId="0" applyNumberFormat="1" applyFont="1" applyFill="1" applyBorder="1" applyAlignment="1" applyProtection="1">
      <alignment horizontal="center" vertical="center" wrapText="1"/>
    </xf>
    <xf numFmtId="3" fontId="30" fillId="2" borderId="44" xfId="0" applyNumberFormat="1" applyFont="1" applyFill="1" applyBorder="1" applyAlignment="1" applyProtection="1">
      <alignment horizontal="center" vertical="center" wrapText="1"/>
    </xf>
    <xf numFmtId="3" fontId="30" fillId="2" borderId="53" xfId="0" applyNumberFormat="1" applyFont="1" applyFill="1" applyBorder="1" applyAlignment="1" applyProtection="1">
      <alignment horizontal="center" vertical="center" wrapText="1"/>
    </xf>
    <xf numFmtId="49" fontId="30" fillId="2" borderId="56" xfId="0" applyNumberFormat="1" applyFont="1" applyFill="1" applyBorder="1" applyAlignment="1">
      <alignment horizontal="center" vertical="center" wrapText="1"/>
    </xf>
    <xf numFmtId="49" fontId="30" fillId="2" borderId="57" xfId="0" applyNumberFormat="1" applyFont="1" applyFill="1" applyBorder="1" applyAlignment="1">
      <alignment horizontal="center" vertical="center" wrapText="1"/>
    </xf>
    <xf numFmtId="49" fontId="30" fillId="2" borderId="58" xfId="0" applyNumberFormat="1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3" fontId="30" fillId="2" borderId="50" xfId="0" applyNumberFormat="1" applyFont="1" applyFill="1" applyBorder="1" applyAlignment="1" applyProtection="1">
      <alignment horizontal="center" vertical="center" wrapText="1"/>
    </xf>
    <xf numFmtId="3" fontId="30" fillId="2" borderId="7" xfId="0" applyNumberFormat="1" applyFont="1" applyFill="1" applyBorder="1" applyAlignment="1" applyProtection="1">
      <alignment horizontal="center" vertical="center" wrapText="1"/>
    </xf>
    <xf numFmtId="3" fontId="30" fillId="2" borderId="8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169" fontId="5" fillId="0" borderId="0" xfId="0" applyNumberFormat="1" applyFont="1" applyBorder="1" applyAlignment="1" applyProtection="1">
      <alignment horizontal="left"/>
    </xf>
    <xf numFmtId="0" fontId="16" fillId="3" borderId="68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wrapText="1"/>
    </xf>
    <xf numFmtId="0" fontId="16" fillId="3" borderId="61" xfId="0" applyFont="1" applyFill="1" applyBorder="1" applyAlignment="1">
      <alignment horizontal="center" wrapText="1"/>
    </xf>
    <xf numFmtId="0" fontId="16" fillId="3" borderId="7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2948"/>
      <color rgb="FF000066"/>
      <color rgb="FF000099"/>
      <color rgb="FFFFCCFF"/>
      <color rgb="FF003399"/>
      <color rgb="FFFFFFCC"/>
      <color rgb="FF0066CC"/>
      <color rgb="FF0033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R207"/>
  <sheetViews>
    <sheetView showGridLines="0" showZeros="0" topLeftCell="A2" workbookViewId="0">
      <selection activeCell="Q186" sqref="Q186"/>
    </sheetView>
  </sheetViews>
  <sheetFormatPr baseColWidth="10" defaultColWidth="11.42578125" defaultRowHeight="12.75" x14ac:dyDescent="0.2"/>
  <cols>
    <col min="1" max="1" width="4.85546875" style="24" customWidth="1"/>
    <col min="2" max="2" width="30" style="24" customWidth="1"/>
    <col min="3" max="3" width="13.140625" style="24" hidden="1" customWidth="1"/>
    <col min="4" max="4" width="12.7109375" style="24" hidden="1" customWidth="1"/>
    <col min="5" max="5" width="13" style="24" customWidth="1"/>
    <col min="6" max="6" width="11.28515625" style="24" customWidth="1"/>
    <col min="7" max="7" width="11.42578125" style="24" customWidth="1"/>
    <col min="8" max="8" width="11" style="24" customWidth="1"/>
    <col min="9" max="9" width="11.5703125" style="24" customWidth="1"/>
    <col min="10" max="10" width="11.7109375" style="24" hidden="1" customWidth="1"/>
    <col min="11" max="11" width="10.42578125" style="24" customWidth="1"/>
    <col min="12" max="12" width="12.42578125" style="24" hidden="1" customWidth="1"/>
    <col min="13" max="13" width="13.85546875" style="24" customWidth="1"/>
    <col min="14" max="14" width="11.28515625" hidden="1" customWidth="1"/>
    <col min="15" max="15" width="14.28515625" hidden="1" customWidth="1"/>
  </cols>
  <sheetData>
    <row r="1" spans="1:17" hidden="1" x14ac:dyDescent="0.2"/>
    <row r="2" spans="1:17" ht="15.75" x14ac:dyDescent="0.25">
      <c r="A2" s="287" t="s">
        <v>300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7" ht="15.75" x14ac:dyDescent="0.25">
      <c r="A3" s="287" t="s">
        <v>301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7" ht="15" x14ac:dyDescent="0.25">
      <c r="A4" s="288" t="s">
        <v>302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Q4" t="s">
        <v>2</v>
      </c>
    </row>
    <row r="5" spans="1:17" ht="15" x14ac:dyDescent="0.25">
      <c r="A5" s="288" t="s">
        <v>336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7" ht="6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7" ht="0.75" customHeight="1" thickBo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7" ht="12.75" customHeight="1" x14ac:dyDescent="0.2">
      <c r="A8" s="302" t="s">
        <v>290</v>
      </c>
      <c r="B8" s="298" t="s">
        <v>0</v>
      </c>
      <c r="C8" s="289" t="s">
        <v>8</v>
      </c>
      <c r="D8" s="289"/>
      <c r="E8" s="289"/>
      <c r="F8" s="289"/>
      <c r="G8" s="291" t="s">
        <v>10</v>
      </c>
      <c r="H8" s="291"/>
      <c r="I8" s="291" t="s">
        <v>11</v>
      </c>
      <c r="J8" s="305" t="s">
        <v>334</v>
      </c>
      <c r="K8" s="291" t="s">
        <v>5</v>
      </c>
      <c r="L8" s="291"/>
      <c r="M8" s="295" t="s">
        <v>294</v>
      </c>
    </row>
    <row r="9" spans="1:17" ht="4.5" customHeight="1" thickBot="1" x14ac:dyDescent="0.25">
      <c r="A9" s="303"/>
      <c r="B9" s="300"/>
      <c r="C9" s="290"/>
      <c r="D9" s="290"/>
      <c r="E9" s="290"/>
      <c r="F9" s="290"/>
      <c r="G9" s="292"/>
      <c r="H9" s="292"/>
      <c r="I9" s="293"/>
      <c r="J9" s="306"/>
      <c r="K9" s="294"/>
      <c r="L9" s="294"/>
      <c r="M9" s="296"/>
    </row>
    <row r="10" spans="1:17" ht="23.25" customHeight="1" x14ac:dyDescent="0.2">
      <c r="A10" s="303"/>
      <c r="B10" s="300"/>
      <c r="C10" s="173" t="s">
        <v>12</v>
      </c>
      <c r="D10" s="298" t="s">
        <v>13</v>
      </c>
      <c r="E10" s="173" t="s">
        <v>3</v>
      </c>
      <c r="F10" s="173" t="s">
        <v>1</v>
      </c>
      <c r="G10" s="174" t="s">
        <v>9</v>
      </c>
      <c r="H10" s="175" t="s">
        <v>14</v>
      </c>
      <c r="I10" s="292"/>
      <c r="J10" s="307"/>
      <c r="K10" s="135" t="s">
        <v>15</v>
      </c>
      <c r="L10" s="136" t="s">
        <v>7</v>
      </c>
      <c r="M10" s="297"/>
    </row>
    <row r="11" spans="1:17" ht="15" customHeight="1" thickBot="1" x14ac:dyDescent="0.25">
      <c r="A11" s="304"/>
      <c r="B11" s="301"/>
      <c r="C11" s="176" t="s">
        <v>2</v>
      </c>
      <c r="D11" s="299"/>
      <c r="E11" s="176">
        <v>1</v>
      </c>
      <c r="F11" s="176">
        <v>2</v>
      </c>
      <c r="G11" s="177">
        <v>3</v>
      </c>
      <c r="H11" s="178">
        <v>4</v>
      </c>
      <c r="I11" s="137">
        <v>5</v>
      </c>
      <c r="J11" s="137"/>
      <c r="K11" s="138" t="s">
        <v>295</v>
      </c>
      <c r="L11" s="139" t="s">
        <v>292</v>
      </c>
      <c r="M11" s="140" t="s">
        <v>293</v>
      </c>
    </row>
    <row r="12" spans="1:17" ht="19.5" customHeight="1" x14ac:dyDescent="0.2">
      <c r="A12" s="118" t="s">
        <v>16</v>
      </c>
      <c r="B12" s="119" t="s">
        <v>17</v>
      </c>
      <c r="C12" s="120">
        <f>SUM(C13+C17+C21+C22+C23+C28+C30)</f>
        <v>98440903</v>
      </c>
      <c r="D12" s="120">
        <f>SUM(D13+D17+D21+D22+D23+D28+D30)</f>
        <v>-1699600</v>
      </c>
      <c r="E12" s="120">
        <f>SUM(C12:D12)</f>
        <v>96741303</v>
      </c>
      <c r="F12" s="120">
        <f>SUM(F13+F17+F21+F22+F23+F28+F30)</f>
        <v>79689131</v>
      </c>
      <c r="G12" s="120">
        <f>SUM(G13+G17+G21+G22+G23+G28+G30)</f>
        <v>7182987.3099999996</v>
      </c>
      <c r="H12" s="120">
        <f>SUM(H13+H17+H21+H22+H23+H28+H30)</f>
        <v>67328817.609999999</v>
      </c>
      <c r="I12" s="120">
        <f>SUM(I13+I17+I21+I22+I23+I28+I30)</f>
        <v>65647980.059999995</v>
      </c>
      <c r="J12" s="272">
        <f>H12-I12</f>
        <v>1680837.5500000045</v>
      </c>
      <c r="K12" s="121">
        <f t="shared" ref="K12:K35" si="0">+F12-H12</f>
        <v>12360313.390000001</v>
      </c>
      <c r="L12" s="121">
        <f t="shared" ref="L12:L27" si="1">+E12-H12</f>
        <v>29412485.390000001</v>
      </c>
      <c r="M12" s="257">
        <f t="shared" ref="M12:M35" si="2">+H12*100/F12</f>
        <v>84.489335954736418</v>
      </c>
      <c r="O12" s="42">
        <v>60145830.300000004</v>
      </c>
    </row>
    <row r="13" spans="1:17" ht="17.25" customHeight="1" x14ac:dyDescent="0.2">
      <c r="A13" s="51" t="s">
        <v>18</v>
      </c>
      <c r="B13" s="52" t="s">
        <v>19</v>
      </c>
      <c r="C13" s="53">
        <f>SUM(C14:C16)</f>
        <v>69336128</v>
      </c>
      <c r="D13" s="53">
        <f>SUM(D14:D16)</f>
        <v>-1013000</v>
      </c>
      <c r="E13" s="53">
        <f>+E14+E15+E16</f>
        <v>68323128</v>
      </c>
      <c r="F13" s="53">
        <f>SUM(F14:F16)</f>
        <v>56937558</v>
      </c>
      <c r="G13" s="53">
        <f>SUM(G14:G16)</f>
        <v>5199792.5599999996</v>
      </c>
      <c r="H13" s="53">
        <f>SUM(H14:H16)</f>
        <v>48141310.620000005</v>
      </c>
      <c r="I13" s="53">
        <f>SUM(I14:I16)</f>
        <v>48141310.060000002</v>
      </c>
      <c r="J13" s="53"/>
      <c r="K13" s="54">
        <f t="shared" si="0"/>
        <v>8796247.3799999952</v>
      </c>
      <c r="L13" s="54">
        <f t="shared" si="1"/>
        <v>20181817.379999995</v>
      </c>
      <c r="M13" s="258">
        <f t="shared" si="2"/>
        <v>84.551063148862127</v>
      </c>
      <c r="O13" s="42">
        <v>42941518.060000002</v>
      </c>
    </row>
    <row r="14" spans="1:17" x14ac:dyDescent="0.2">
      <c r="A14" s="46" t="s">
        <v>20</v>
      </c>
      <c r="B14" s="47" t="s">
        <v>19</v>
      </c>
      <c r="C14" s="48">
        <v>59496557</v>
      </c>
      <c r="D14" s="49">
        <v>-1013000</v>
      </c>
      <c r="E14" s="48">
        <f t="shared" ref="E14:E27" si="3">+C14+D14</f>
        <v>58483557</v>
      </c>
      <c r="F14" s="48">
        <v>48594974</v>
      </c>
      <c r="G14" s="48">
        <v>4262260.5599999996</v>
      </c>
      <c r="H14" s="50">
        <f>+G14+O14</f>
        <v>42263065.590000004</v>
      </c>
      <c r="I14" s="48">
        <v>42263065.490000002</v>
      </c>
      <c r="J14" s="48">
        <f>H14-I14</f>
        <v>0.10000000149011612</v>
      </c>
      <c r="K14" s="50">
        <f t="shared" si="0"/>
        <v>6331908.4099999964</v>
      </c>
      <c r="L14" s="50">
        <f t="shared" si="1"/>
        <v>16220491.409999996</v>
      </c>
      <c r="M14" s="259">
        <f t="shared" si="2"/>
        <v>86.9700343702211</v>
      </c>
      <c r="O14" s="42">
        <v>38000805.030000001</v>
      </c>
      <c r="P14" t="s">
        <v>2</v>
      </c>
    </row>
    <row r="15" spans="1:17" x14ac:dyDescent="0.2">
      <c r="A15" s="46" t="s">
        <v>21</v>
      </c>
      <c r="B15" s="47" t="s">
        <v>22</v>
      </c>
      <c r="C15" s="48">
        <v>3257704</v>
      </c>
      <c r="D15" s="48">
        <v>0</v>
      </c>
      <c r="E15" s="48">
        <f>SUM(C15:D15)</f>
        <v>3257704</v>
      </c>
      <c r="F15" s="48">
        <v>2705853</v>
      </c>
      <c r="G15" s="48">
        <v>199402.85</v>
      </c>
      <c r="H15" s="50">
        <f>+G15+O15</f>
        <v>1849461.94</v>
      </c>
      <c r="I15" s="48">
        <v>1849461.48</v>
      </c>
      <c r="J15" s="48">
        <f t="shared" ref="J15:J16" si="4">H15-I15</f>
        <v>0.4599999999627471</v>
      </c>
      <c r="K15" s="50">
        <f t="shared" si="0"/>
        <v>856391.06</v>
      </c>
      <c r="L15" s="50">
        <f t="shared" si="1"/>
        <v>1408242.06</v>
      </c>
      <c r="M15" s="259">
        <f t="shared" si="2"/>
        <v>68.350421844793487</v>
      </c>
      <c r="O15" s="42">
        <v>1650059.0899999999</v>
      </c>
    </row>
    <row r="16" spans="1:17" x14ac:dyDescent="0.2">
      <c r="A16" s="46" t="s">
        <v>23</v>
      </c>
      <c r="B16" s="47" t="s">
        <v>24</v>
      </c>
      <c r="C16" s="48">
        <v>6581867</v>
      </c>
      <c r="D16" s="48">
        <v>0</v>
      </c>
      <c r="E16" s="48">
        <f t="shared" si="3"/>
        <v>6581867</v>
      </c>
      <c r="F16" s="48">
        <v>5636731</v>
      </c>
      <c r="G16" s="48">
        <v>738129.15</v>
      </c>
      <c r="H16" s="50">
        <f>+G16+O16</f>
        <v>4028783.09</v>
      </c>
      <c r="I16" s="48">
        <v>4028783.09</v>
      </c>
      <c r="J16" s="48">
        <f t="shared" si="4"/>
        <v>0</v>
      </c>
      <c r="K16" s="50">
        <f t="shared" si="0"/>
        <v>1607947.9100000001</v>
      </c>
      <c r="L16" s="50">
        <f t="shared" si="1"/>
        <v>2553083.91</v>
      </c>
      <c r="M16" s="259">
        <f t="shared" si="2"/>
        <v>71.473751186636363</v>
      </c>
      <c r="O16" s="42">
        <v>3290653.94</v>
      </c>
    </row>
    <row r="17" spans="1:15" s="27" customFormat="1" ht="15" customHeight="1" x14ac:dyDescent="0.2">
      <c r="A17" s="51" t="s">
        <v>25</v>
      </c>
      <c r="B17" s="52" t="s">
        <v>26</v>
      </c>
      <c r="C17" s="53">
        <f>SUM(C18:C20)</f>
        <v>13758224</v>
      </c>
      <c r="D17" s="49">
        <f>SUM(D18:D20)</f>
        <v>-1110600</v>
      </c>
      <c r="E17" s="53">
        <f t="shared" si="3"/>
        <v>12647624</v>
      </c>
      <c r="F17" s="53">
        <f>SUM(F18:F20)</f>
        <v>10187036</v>
      </c>
      <c r="G17" s="53">
        <f>SUM(G18:G20)</f>
        <v>1035323.49</v>
      </c>
      <c r="H17" s="53">
        <f>SUM(H18:H20)</f>
        <v>9292611.4199999999</v>
      </c>
      <c r="I17" s="53">
        <f>SUM(I18:I20)</f>
        <v>9292611.3300000001</v>
      </c>
      <c r="J17" s="53"/>
      <c r="K17" s="54">
        <f t="shared" si="0"/>
        <v>894424.58000000007</v>
      </c>
      <c r="L17" s="54">
        <f t="shared" si="1"/>
        <v>3355012.58</v>
      </c>
      <c r="M17" s="258">
        <f t="shared" si="2"/>
        <v>91.219972325610712</v>
      </c>
      <c r="O17" s="43">
        <v>8257287.9300000006</v>
      </c>
    </row>
    <row r="18" spans="1:15" s="27" customFormat="1" ht="13.9" customHeight="1" x14ac:dyDescent="0.2">
      <c r="A18" s="46" t="s">
        <v>27</v>
      </c>
      <c r="B18" s="47" t="s">
        <v>28</v>
      </c>
      <c r="C18" s="48">
        <v>230210</v>
      </c>
      <c r="D18" s="48">
        <v>0</v>
      </c>
      <c r="E18" s="48">
        <f t="shared" si="3"/>
        <v>230210</v>
      </c>
      <c r="F18" s="50">
        <v>172378</v>
      </c>
      <c r="G18" s="50">
        <v>20597.62</v>
      </c>
      <c r="H18" s="50">
        <f>+G18+O18</f>
        <v>132183.34</v>
      </c>
      <c r="I18" s="50">
        <v>132182.91</v>
      </c>
      <c r="J18" s="48">
        <f t="shared" ref="J18:J20" si="5">H18-I18</f>
        <v>0.42999999999301508</v>
      </c>
      <c r="K18" s="50">
        <f t="shared" si="0"/>
        <v>40194.660000000003</v>
      </c>
      <c r="L18" s="50">
        <f t="shared" si="1"/>
        <v>98026.66</v>
      </c>
      <c r="M18" s="259">
        <f t="shared" si="2"/>
        <v>76.682256436436205</v>
      </c>
      <c r="O18" s="43">
        <v>111585.72</v>
      </c>
    </row>
    <row r="19" spans="1:15" s="27" customFormat="1" ht="13.9" customHeight="1" x14ac:dyDescent="0.2">
      <c r="A19" s="185" t="s">
        <v>330</v>
      </c>
      <c r="B19" s="47" t="s">
        <v>29</v>
      </c>
      <c r="C19" s="48">
        <v>1669980</v>
      </c>
      <c r="D19" s="48">
        <v>0</v>
      </c>
      <c r="E19" s="48">
        <v>1669980</v>
      </c>
      <c r="F19" s="48">
        <v>1403650</v>
      </c>
      <c r="G19" s="55">
        <v>112861.03</v>
      </c>
      <c r="H19" s="50">
        <f>+G19+O19</f>
        <v>1177504.77</v>
      </c>
      <c r="I19" s="48">
        <v>1177505.3700000001</v>
      </c>
      <c r="J19" s="48">
        <f t="shared" si="5"/>
        <v>-0.60000000009313226</v>
      </c>
      <c r="K19" s="50">
        <f t="shared" si="0"/>
        <v>226145.22999999998</v>
      </c>
      <c r="L19" s="50">
        <f t="shared" si="1"/>
        <v>492475.23</v>
      </c>
      <c r="M19" s="259">
        <f t="shared" si="2"/>
        <v>83.888773554661057</v>
      </c>
      <c r="O19" s="43">
        <v>1064643.74</v>
      </c>
    </row>
    <row r="20" spans="1:15" s="27" customFormat="1" ht="15.6" customHeight="1" x14ac:dyDescent="0.2">
      <c r="A20" s="46" t="s">
        <v>30</v>
      </c>
      <c r="B20" s="47" t="s">
        <v>31</v>
      </c>
      <c r="C20" s="48">
        <v>11858034</v>
      </c>
      <c r="D20" s="49">
        <v>-1110600</v>
      </c>
      <c r="E20" s="48">
        <f>SUM(C20:D20)</f>
        <v>10747434</v>
      </c>
      <c r="F20" s="48">
        <v>8611008</v>
      </c>
      <c r="G20" s="56">
        <v>901864.84</v>
      </c>
      <c r="H20" s="50">
        <f>+G20+O20+1</f>
        <v>7982923.3099999996</v>
      </c>
      <c r="I20" s="48">
        <v>7982923.0499999998</v>
      </c>
      <c r="J20" s="48">
        <f t="shared" si="5"/>
        <v>0.25999999977648258</v>
      </c>
      <c r="K20" s="50">
        <f t="shared" si="0"/>
        <v>628084.69000000041</v>
      </c>
      <c r="L20" s="50">
        <f t="shared" si="1"/>
        <v>2764510.6900000004</v>
      </c>
      <c r="M20" s="259">
        <f t="shared" si="2"/>
        <v>92.706025937962195</v>
      </c>
      <c r="O20" s="43">
        <v>7081057.4699999997</v>
      </c>
    </row>
    <row r="21" spans="1:15" s="27" customFormat="1" x14ac:dyDescent="0.2">
      <c r="A21" s="51" t="s">
        <v>32</v>
      </c>
      <c r="B21" s="52" t="s">
        <v>33</v>
      </c>
      <c r="C21" s="53">
        <v>218400</v>
      </c>
      <c r="D21" s="53">
        <v>0</v>
      </c>
      <c r="E21" s="53">
        <f t="shared" si="3"/>
        <v>218400</v>
      </c>
      <c r="F21" s="53">
        <v>182000</v>
      </c>
      <c r="G21" s="53">
        <v>17400</v>
      </c>
      <c r="H21" s="54">
        <f>+G21+O21</f>
        <v>173773.33000000002</v>
      </c>
      <c r="I21" s="53">
        <v>173773.33</v>
      </c>
      <c r="J21" s="53"/>
      <c r="K21" s="54">
        <f t="shared" si="0"/>
        <v>8226.6699999999837</v>
      </c>
      <c r="L21" s="54">
        <f t="shared" si="1"/>
        <v>44626.669999999984</v>
      </c>
      <c r="M21" s="258">
        <f t="shared" si="2"/>
        <v>95.479851648351655</v>
      </c>
      <c r="O21" s="43">
        <v>156373.33000000002</v>
      </c>
    </row>
    <row r="22" spans="1:15" s="27" customFormat="1" x14ac:dyDescent="0.2">
      <c r="A22" s="51" t="s">
        <v>34</v>
      </c>
      <c r="B22" s="52" t="s">
        <v>35</v>
      </c>
      <c r="C22" s="53">
        <v>2207499</v>
      </c>
      <c r="D22" s="281">
        <v>-196000</v>
      </c>
      <c r="E22" s="53">
        <f t="shared" si="3"/>
        <v>2011499</v>
      </c>
      <c r="F22" s="54">
        <v>1286046</v>
      </c>
      <c r="G22" s="54">
        <v>2743.5</v>
      </c>
      <c r="H22" s="54">
        <f>+G22+O22</f>
        <v>1037212.3099999999</v>
      </c>
      <c r="I22" s="54">
        <v>1037212.31</v>
      </c>
      <c r="J22" s="54"/>
      <c r="K22" s="54">
        <f t="shared" si="0"/>
        <v>248833.69000000006</v>
      </c>
      <c r="L22" s="54">
        <f t="shared" si="1"/>
        <v>974286.69000000006</v>
      </c>
      <c r="M22" s="258">
        <f t="shared" si="2"/>
        <v>80.651260530338732</v>
      </c>
      <c r="O22" s="43">
        <v>1034468.8099999999</v>
      </c>
    </row>
    <row r="23" spans="1:15" s="27" customFormat="1" ht="14.25" customHeight="1" x14ac:dyDescent="0.2">
      <c r="A23" s="51" t="s">
        <v>36</v>
      </c>
      <c r="B23" s="52" t="s">
        <v>37</v>
      </c>
      <c r="C23" s="53">
        <f>SUM(C24:C27)</f>
        <v>12556946</v>
      </c>
      <c r="D23" s="53">
        <f>SUM(D24:D27)</f>
        <v>0</v>
      </c>
      <c r="E23" s="53">
        <f t="shared" si="3"/>
        <v>12556946</v>
      </c>
      <c r="F23" s="53">
        <f>SUM(F24:F27)</f>
        <v>10476491</v>
      </c>
      <c r="G23" s="53">
        <f>SUM(G24:G27)</f>
        <v>917548.95000000007</v>
      </c>
      <c r="H23" s="53">
        <f>SUM(H24:H27)</f>
        <v>8566930.2200000007</v>
      </c>
      <c r="I23" s="53">
        <f>SUM(I24:I27)</f>
        <v>6889117.6200000001</v>
      </c>
      <c r="J23" s="53"/>
      <c r="K23" s="54">
        <f t="shared" si="0"/>
        <v>1909560.7799999993</v>
      </c>
      <c r="L23" s="54">
        <f t="shared" si="1"/>
        <v>3990015.7799999993</v>
      </c>
      <c r="M23" s="258">
        <f t="shared" si="2"/>
        <v>81.772897242025039</v>
      </c>
      <c r="N23" s="6"/>
      <c r="O23" s="43">
        <v>7649381.2699999996</v>
      </c>
    </row>
    <row r="24" spans="1:15" s="27" customFormat="1" ht="18.600000000000001" customHeight="1" x14ac:dyDescent="0.2">
      <c r="A24" s="46" t="s">
        <v>38</v>
      </c>
      <c r="B24" s="74" t="s">
        <v>39</v>
      </c>
      <c r="C24" s="48">
        <v>10473407</v>
      </c>
      <c r="D24" s="48">
        <v>0</v>
      </c>
      <c r="E24" s="48">
        <f t="shared" si="3"/>
        <v>10473407</v>
      </c>
      <c r="F24" s="48">
        <v>8744065</v>
      </c>
      <c r="G24" s="48">
        <v>768095.8</v>
      </c>
      <c r="H24" s="50">
        <f t="shared" ref="H24:H35" si="6">+O24+G24</f>
        <v>7185559.0800000001</v>
      </c>
      <c r="I24" s="48">
        <v>5773159.6399999997</v>
      </c>
      <c r="J24" s="48">
        <f t="shared" ref="J24:J27" si="7">H24-I24</f>
        <v>1412399.4400000004</v>
      </c>
      <c r="K24" s="50">
        <f t="shared" si="0"/>
        <v>1558505.92</v>
      </c>
      <c r="L24" s="50">
        <f t="shared" si="1"/>
        <v>3287847.92</v>
      </c>
      <c r="M24" s="259">
        <f t="shared" si="2"/>
        <v>82.176414287862684</v>
      </c>
      <c r="O24" s="43">
        <v>6417463.2800000003</v>
      </c>
    </row>
    <row r="25" spans="1:15" s="27" customFormat="1" ht="13.5" customHeight="1" x14ac:dyDescent="0.2">
      <c r="A25" s="46" t="s">
        <v>40</v>
      </c>
      <c r="B25" s="47" t="s">
        <v>41</v>
      </c>
      <c r="C25" s="48">
        <v>1250125</v>
      </c>
      <c r="D25" s="48">
        <v>0</v>
      </c>
      <c r="E25" s="48">
        <f t="shared" si="3"/>
        <v>1250125</v>
      </c>
      <c r="F25" s="48">
        <v>1039147</v>
      </c>
      <c r="G25" s="48">
        <v>93753.79</v>
      </c>
      <c r="H25" s="50">
        <f t="shared" si="6"/>
        <v>862779.6</v>
      </c>
      <c r="I25" s="48">
        <v>689937.03</v>
      </c>
      <c r="J25" s="48">
        <f t="shared" si="7"/>
        <v>172842.56999999995</v>
      </c>
      <c r="K25" s="50">
        <f t="shared" si="0"/>
        <v>176367.40000000002</v>
      </c>
      <c r="L25" s="50">
        <f t="shared" si="1"/>
        <v>387345.4</v>
      </c>
      <c r="M25" s="259">
        <f t="shared" si="2"/>
        <v>83.02767558391642</v>
      </c>
      <c r="O25" s="43">
        <v>769025.80999999994</v>
      </c>
    </row>
    <row r="26" spans="1:15" s="27" customFormat="1" ht="13.5" customHeight="1" x14ac:dyDescent="0.2">
      <c r="A26" s="46" t="s">
        <v>42</v>
      </c>
      <c r="B26" s="47" t="s">
        <v>43</v>
      </c>
      <c r="C26" s="48">
        <v>583388</v>
      </c>
      <c r="D26" s="48">
        <v>0</v>
      </c>
      <c r="E26" s="48">
        <f t="shared" si="3"/>
        <v>583388</v>
      </c>
      <c r="F26" s="48">
        <v>484678</v>
      </c>
      <c r="G26" s="48">
        <v>43876.01</v>
      </c>
      <c r="H26" s="50">
        <f t="shared" si="6"/>
        <v>403881.89999999997</v>
      </c>
      <c r="I26" s="48">
        <v>321096.7</v>
      </c>
      <c r="J26" s="48">
        <f t="shared" si="7"/>
        <v>82785.199999999953</v>
      </c>
      <c r="K26" s="50">
        <f t="shared" si="0"/>
        <v>80796.100000000035</v>
      </c>
      <c r="L26" s="50">
        <f t="shared" si="1"/>
        <v>179506.10000000003</v>
      </c>
      <c r="M26" s="259">
        <f t="shared" si="2"/>
        <v>83.329942766125143</v>
      </c>
      <c r="O26" s="43">
        <v>360005.88999999996</v>
      </c>
    </row>
    <row r="27" spans="1:15" s="27" customFormat="1" ht="12" customHeight="1" x14ac:dyDescent="0.2">
      <c r="A27" s="46" t="s">
        <v>44</v>
      </c>
      <c r="B27" s="47" t="s">
        <v>45</v>
      </c>
      <c r="C27" s="48">
        <v>250026</v>
      </c>
      <c r="D27" s="48">
        <v>0</v>
      </c>
      <c r="E27" s="48">
        <f t="shared" si="3"/>
        <v>250026</v>
      </c>
      <c r="F27" s="48">
        <v>208601</v>
      </c>
      <c r="G27" s="48">
        <v>11823.35</v>
      </c>
      <c r="H27" s="50">
        <f t="shared" si="6"/>
        <v>114709.64000000001</v>
      </c>
      <c r="I27" s="48">
        <v>104924.25</v>
      </c>
      <c r="J27" s="48">
        <f t="shared" si="7"/>
        <v>9785.390000000014</v>
      </c>
      <c r="K27" s="50">
        <f t="shared" si="0"/>
        <v>93891.359999999986</v>
      </c>
      <c r="L27" s="50">
        <f t="shared" si="1"/>
        <v>135316.35999999999</v>
      </c>
      <c r="M27" s="259">
        <f t="shared" si="2"/>
        <v>54.989976078734053</v>
      </c>
      <c r="O27" s="43">
        <v>102886.29000000001</v>
      </c>
    </row>
    <row r="28" spans="1:15" s="27" customFormat="1" x14ac:dyDescent="0.2">
      <c r="A28" s="51" t="s">
        <v>46</v>
      </c>
      <c r="B28" s="52" t="s">
        <v>47</v>
      </c>
      <c r="C28" s="53">
        <f>SUM(C29:C29)</f>
        <v>363706</v>
      </c>
      <c r="D28" s="53">
        <f>SUM(D29:D29)</f>
        <v>437000</v>
      </c>
      <c r="E28" s="53">
        <f>SUM(E29:E29)</f>
        <v>800706</v>
      </c>
      <c r="F28" s="53">
        <f>SUM(F29:F29)</f>
        <v>437000</v>
      </c>
      <c r="G28" s="53">
        <f>SUM(G29:G29)</f>
        <v>0</v>
      </c>
      <c r="H28" s="54">
        <f t="shared" si="6"/>
        <v>0</v>
      </c>
      <c r="I28" s="53"/>
      <c r="J28" s="53"/>
      <c r="K28" s="54">
        <f t="shared" si="0"/>
        <v>437000</v>
      </c>
      <c r="L28" s="53">
        <f>SUM(L29:L29)</f>
        <v>800706</v>
      </c>
      <c r="M28" s="259">
        <f t="shared" si="2"/>
        <v>0</v>
      </c>
      <c r="O28" s="43">
        <v>0</v>
      </c>
    </row>
    <row r="29" spans="1:15" s="27" customFormat="1" ht="13.5" customHeight="1" x14ac:dyDescent="0.2">
      <c r="A29" s="46" t="s">
        <v>282</v>
      </c>
      <c r="B29" s="47" t="s">
        <v>283</v>
      </c>
      <c r="C29" s="48">
        <v>363706</v>
      </c>
      <c r="D29" s="48">
        <v>437000</v>
      </c>
      <c r="E29" s="48">
        <f t="shared" ref="E29:E35" si="8">+C29+D29</f>
        <v>800706</v>
      </c>
      <c r="F29" s="50">
        <v>437000</v>
      </c>
      <c r="G29" s="50">
        <v>0</v>
      </c>
      <c r="H29" s="50">
        <f t="shared" si="6"/>
        <v>0</v>
      </c>
      <c r="I29" s="50">
        <v>0</v>
      </c>
      <c r="J29" s="50"/>
      <c r="K29" s="50">
        <f t="shared" si="0"/>
        <v>437000</v>
      </c>
      <c r="L29" s="50">
        <f t="shared" ref="L29:L35" si="9">+E29-H29</f>
        <v>800706</v>
      </c>
      <c r="M29" s="259">
        <f t="shared" si="2"/>
        <v>0</v>
      </c>
      <c r="O29" s="43">
        <v>0</v>
      </c>
    </row>
    <row r="30" spans="1:15" s="27" customFormat="1" ht="15.75" customHeight="1" x14ac:dyDescent="0.2">
      <c r="A30" s="51" t="s">
        <v>48</v>
      </c>
      <c r="B30" s="52" t="s">
        <v>49</v>
      </c>
      <c r="C30" s="48">
        <f>SUM(C31:C35)</f>
        <v>0</v>
      </c>
      <c r="D30" s="53">
        <f>SUM(D31:D35)</f>
        <v>183000</v>
      </c>
      <c r="E30" s="53">
        <f t="shared" si="8"/>
        <v>183000</v>
      </c>
      <c r="F30" s="53">
        <f>SUM(F31:F35)</f>
        <v>183000</v>
      </c>
      <c r="G30" s="53">
        <f>SUM(G31:G35)</f>
        <v>10178.810000000001</v>
      </c>
      <c r="H30" s="54">
        <f t="shared" si="6"/>
        <v>116979.71</v>
      </c>
      <c r="I30" s="53">
        <f>SUM(I31:I35)</f>
        <v>113955.41</v>
      </c>
      <c r="J30" s="53">
        <f>SUM(J31:J35)</f>
        <v>3024.2999999999938</v>
      </c>
      <c r="K30" s="54">
        <f t="shared" si="0"/>
        <v>66020.289999999994</v>
      </c>
      <c r="L30" s="54">
        <f t="shared" si="9"/>
        <v>66020.289999999994</v>
      </c>
      <c r="M30" s="258">
        <f t="shared" si="2"/>
        <v>63.92333879781421</v>
      </c>
      <c r="O30" s="43">
        <v>106800.90000000001</v>
      </c>
    </row>
    <row r="31" spans="1:15" ht="15.75" customHeight="1" x14ac:dyDescent="0.2">
      <c r="A31" s="46" t="s">
        <v>50</v>
      </c>
      <c r="B31" s="47" t="s">
        <v>51</v>
      </c>
      <c r="C31" s="48">
        <v>0</v>
      </c>
      <c r="D31" s="48">
        <v>120000</v>
      </c>
      <c r="E31" s="48">
        <f t="shared" si="8"/>
        <v>120000</v>
      </c>
      <c r="F31" s="50">
        <v>120000</v>
      </c>
      <c r="G31" s="50">
        <v>8031.43</v>
      </c>
      <c r="H31" s="50">
        <f t="shared" si="6"/>
        <v>96532.75</v>
      </c>
      <c r="I31" s="50">
        <v>96533.1</v>
      </c>
      <c r="J31" s="48">
        <f t="shared" ref="J31:J35" si="10">H31-I31</f>
        <v>-0.35000000000582077</v>
      </c>
      <c r="K31" s="50">
        <f t="shared" si="0"/>
        <v>23467.25</v>
      </c>
      <c r="L31" s="50">
        <f t="shared" si="9"/>
        <v>23467.25</v>
      </c>
      <c r="M31" s="259">
        <f t="shared" si="2"/>
        <v>80.443958333333327</v>
      </c>
      <c r="O31" s="42">
        <v>88501.32</v>
      </c>
    </row>
    <row r="32" spans="1:15" ht="18" customHeight="1" x14ac:dyDescent="0.2">
      <c r="A32" s="46" t="s">
        <v>52</v>
      </c>
      <c r="B32" s="47" t="s">
        <v>326</v>
      </c>
      <c r="C32" s="48"/>
      <c r="D32" s="48">
        <v>3000</v>
      </c>
      <c r="E32" s="48">
        <f t="shared" si="8"/>
        <v>3000</v>
      </c>
      <c r="F32" s="50">
        <v>3000</v>
      </c>
      <c r="G32" s="50">
        <v>0</v>
      </c>
      <c r="H32" s="50">
        <f t="shared" si="6"/>
        <v>292.8</v>
      </c>
      <c r="I32" s="50">
        <v>292.8</v>
      </c>
      <c r="J32" s="48">
        <f t="shared" si="10"/>
        <v>0</v>
      </c>
      <c r="K32" s="50">
        <f t="shared" si="0"/>
        <v>2707.2</v>
      </c>
      <c r="L32" s="50">
        <f t="shared" si="9"/>
        <v>2707.2</v>
      </c>
      <c r="M32" s="259">
        <f t="shared" si="2"/>
        <v>9.76</v>
      </c>
      <c r="O32" s="42">
        <v>292.8</v>
      </c>
    </row>
    <row r="33" spans="1:15" ht="16.5" customHeight="1" x14ac:dyDescent="0.2">
      <c r="A33" s="46" t="s">
        <v>263</v>
      </c>
      <c r="B33" s="47" t="s">
        <v>264</v>
      </c>
      <c r="C33" s="48"/>
      <c r="D33" s="48">
        <v>2000</v>
      </c>
      <c r="E33" s="48">
        <f t="shared" si="8"/>
        <v>2000</v>
      </c>
      <c r="F33" s="50">
        <v>2000</v>
      </c>
      <c r="G33" s="50"/>
      <c r="H33" s="50">
        <f t="shared" si="6"/>
        <v>0</v>
      </c>
      <c r="I33" s="50"/>
      <c r="J33" s="48">
        <f t="shared" si="10"/>
        <v>0</v>
      </c>
      <c r="K33" s="50">
        <f t="shared" si="0"/>
        <v>2000</v>
      </c>
      <c r="L33" s="50">
        <f t="shared" si="9"/>
        <v>2000</v>
      </c>
      <c r="M33" s="259">
        <f t="shared" si="2"/>
        <v>0</v>
      </c>
      <c r="O33" s="42">
        <v>0</v>
      </c>
    </row>
    <row r="34" spans="1:15" ht="15.75" customHeight="1" x14ac:dyDescent="0.2">
      <c r="A34" s="46" t="s">
        <v>250</v>
      </c>
      <c r="B34" s="47" t="s">
        <v>251</v>
      </c>
      <c r="C34" s="48"/>
      <c r="D34" s="48">
        <v>15000</v>
      </c>
      <c r="E34" s="48">
        <f t="shared" si="8"/>
        <v>15000</v>
      </c>
      <c r="F34" s="50">
        <v>15000</v>
      </c>
      <c r="G34" s="50">
        <v>876.93</v>
      </c>
      <c r="H34" s="50">
        <f t="shared" si="6"/>
        <v>5365.6100000000006</v>
      </c>
      <c r="I34" s="50">
        <v>5365.58</v>
      </c>
      <c r="J34" s="48">
        <f t="shared" si="10"/>
        <v>3.0000000000654836E-2</v>
      </c>
      <c r="K34" s="50">
        <f t="shared" si="0"/>
        <v>9634.39</v>
      </c>
      <c r="L34" s="50">
        <f t="shared" si="9"/>
        <v>9634.39</v>
      </c>
      <c r="M34" s="259">
        <f t="shared" si="2"/>
        <v>35.770733333333332</v>
      </c>
      <c r="O34" s="42">
        <v>4488.68</v>
      </c>
    </row>
    <row r="35" spans="1:15" ht="14.25" customHeight="1" x14ac:dyDescent="0.2">
      <c r="A35" s="46" t="s">
        <v>240</v>
      </c>
      <c r="B35" s="47" t="s">
        <v>306</v>
      </c>
      <c r="C35" s="48">
        <v>0</v>
      </c>
      <c r="D35" s="48">
        <v>43000</v>
      </c>
      <c r="E35" s="48">
        <f t="shared" si="8"/>
        <v>43000</v>
      </c>
      <c r="F35" s="50">
        <v>43000</v>
      </c>
      <c r="G35" s="50">
        <v>1270.45</v>
      </c>
      <c r="H35" s="50">
        <f t="shared" si="6"/>
        <v>14788.55</v>
      </c>
      <c r="I35" s="56">
        <v>11763.93</v>
      </c>
      <c r="J35" s="48">
        <f t="shared" si="10"/>
        <v>3024.619999999999</v>
      </c>
      <c r="K35" s="50">
        <f t="shared" si="0"/>
        <v>28211.45</v>
      </c>
      <c r="L35" s="50">
        <f t="shared" si="9"/>
        <v>28211.45</v>
      </c>
      <c r="M35" s="259">
        <f t="shared" si="2"/>
        <v>34.391976744186046</v>
      </c>
      <c r="O35" s="42">
        <v>13518.099999999999</v>
      </c>
    </row>
    <row r="36" spans="1:15" ht="12" customHeight="1" x14ac:dyDescent="0.2">
      <c r="A36" s="46"/>
      <c r="B36" s="47"/>
      <c r="C36" s="48"/>
      <c r="D36" s="48"/>
      <c r="E36" s="48"/>
      <c r="F36" s="50"/>
      <c r="G36" s="50">
        <v>0</v>
      </c>
      <c r="H36" s="50"/>
      <c r="I36" s="50"/>
      <c r="J36" s="50"/>
      <c r="K36" s="50"/>
      <c r="L36" s="50"/>
      <c r="M36" s="259"/>
      <c r="O36" s="42"/>
    </row>
    <row r="37" spans="1:15" ht="20.25" customHeight="1" x14ac:dyDescent="0.2">
      <c r="A37" s="122" t="s">
        <v>53</v>
      </c>
      <c r="B37" s="141" t="s">
        <v>54</v>
      </c>
      <c r="C37" s="142">
        <f t="shared" ref="C37:L37" si="11">C38+C45+C53++C54+C57+C66+C71+C73+C61+C80</f>
        <v>4493416</v>
      </c>
      <c r="D37" s="142">
        <f t="shared" si="11"/>
        <v>-201880</v>
      </c>
      <c r="E37" s="142">
        <f t="shared" si="11"/>
        <v>4291536</v>
      </c>
      <c r="F37" s="142">
        <f>F38+F45+F53++F54+F57+F66+F71+F73+F61+F80</f>
        <v>3704302</v>
      </c>
      <c r="G37" s="142">
        <f>G38+G45+G53++G54+G57+G66+G71+G73+G61+G80</f>
        <v>114698.40000000001</v>
      </c>
      <c r="H37" s="142">
        <f>G37+O37</f>
        <v>2361674.9099999997</v>
      </c>
      <c r="I37" s="142">
        <f>I38+I45+I53++I54+I57+I66+I71+I73+I61+I80</f>
        <v>1821438.4</v>
      </c>
      <c r="J37" s="142">
        <f>J38+J45+J53++J54+J57+J66+J71+J73+J61+J80</f>
        <v>540236.51</v>
      </c>
      <c r="K37" s="142">
        <f t="shared" si="11"/>
        <v>1342627.0900000003</v>
      </c>
      <c r="L37" s="142">
        <f t="shared" si="11"/>
        <v>1929861.0900000003</v>
      </c>
      <c r="M37" s="260">
        <f t="shared" ref="M37:M68" si="12">+H37*100/F37</f>
        <v>63.754923599641707</v>
      </c>
      <c r="O37" s="42">
        <v>2246976.5099999998</v>
      </c>
    </row>
    <row r="38" spans="1:15" s="27" customFormat="1" ht="15.75" customHeight="1" x14ac:dyDescent="0.2">
      <c r="A38" s="51">
        <v>100</v>
      </c>
      <c r="B38" s="52" t="s">
        <v>55</v>
      </c>
      <c r="C38" s="53">
        <f>SUM(C39:C44)</f>
        <v>27736</v>
      </c>
      <c r="D38" s="53">
        <f>SUM(D39:D44)</f>
        <v>-5500</v>
      </c>
      <c r="E38" s="53">
        <f t="shared" ref="E38:E56" si="13">+C38+D38</f>
        <v>22236</v>
      </c>
      <c r="F38" s="53">
        <f>SUM(F39:F44)</f>
        <v>22236</v>
      </c>
      <c r="G38" s="53">
        <f>SUM(G39:G44)</f>
        <v>0</v>
      </c>
      <c r="H38" s="54">
        <f t="shared" ref="H38:H79" si="14">+O38+G38</f>
        <v>3422.12</v>
      </c>
      <c r="I38" s="53">
        <f>SUM(I39:I44)</f>
        <v>2283.52</v>
      </c>
      <c r="J38" s="53">
        <f>SUM(J39:J44)</f>
        <v>1138.5999999999999</v>
      </c>
      <c r="K38" s="54">
        <f t="shared" ref="K38:K50" si="15">+F38-H38</f>
        <v>18813.88</v>
      </c>
      <c r="L38" s="54">
        <f t="shared" ref="L38:L50" si="16">+E38-H38</f>
        <v>18813.88</v>
      </c>
      <c r="M38" s="259">
        <f t="shared" si="12"/>
        <v>15.389998201115308</v>
      </c>
      <c r="O38" s="43">
        <v>3422.12</v>
      </c>
    </row>
    <row r="39" spans="1:15" s="27" customFormat="1" ht="15" customHeight="1" x14ac:dyDescent="0.2">
      <c r="A39" s="57" t="s">
        <v>56</v>
      </c>
      <c r="B39" s="74" t="s">
        <v>57</v>
      </c>
      <c r="C39" s="48">
        <v>4300</v>
      </c>
      <c r="D39" s="48">
        <v>0</v>
      </c>
      <c r="E39" s="48">
        <f t="shared" si="13"/>
        <v>4300</v>
      </c>
      <c r="F39" s="50">
        <v>4300</v>
      </c>
      <c r="G39" s="50">
        <v>0</v>
      </c>
      <c r="H39" s="50">
        <f t="shared" si="14"/>
        <v>0</v>
      </c>
      <c r="I39" s="50">
        <v>0</v>
      </c>
      <c r="J39" s="48">
        <f t="shared" ref="J39:J88" si="17">H39-I39</f>
        <v>0</v>
      </c>
      <c r="K39" s="50">
        <f t="shared" si="15"/>
        <v>4300</v>
      </c>
      <c r="L39" s="50">
        <f t="shared" si="16"/>
        <v>4300</v>
      </c>
      <c r="M39" s="259">
        <f t="shared" si="12"/>
        <v>0</v>
      </c>
      <c r="O39" s="43">
        <v>0</v>
      </c>
    </row>
    <row r="40" spans="1:15" s="27" customFormat="1" ht="13.5" customHeight="1" x14ac:dyDescent="0.2">
      <c r="A40" s="46" t="s">
        <v>58</v>
      </c>
      <c r="B40" s="47" t="s">
        <v>59</v>
      </c>
      <c r="C40" s="48">
        <v>5051</v>
      </c>
      <c r="D40" s="48">
        <v>-2000</v>
      </c>
      <c r="E40" s="48">
        <f t="shared" si="13"/>
        <v>3051</v>
      </c>
      <c r="F40" s="50">
        <v>3051</v>
      </c>
      <c r="G40" s="50"/>
      <c r="H40" s="50">
        <f t="shared" si="14"/>
        <v>0</v>
      </c>
      <c r="I40" s="50"/>
      <c r="J40" s="48">
        <f t="shared" si="17"/>
        <v>0</v>
      </c>
      <c r="K40" s="50">
        <f t="shared" si="15"/>
        <v>3051</v>
      </c>
      <c r="L40" s="50">
        <f t="shared" si="16"/>
        <v>3051</v>
      </c>
      <c r="M40" s="259">
        <f t="shared" si="12"/>
        <v>0</v>
      </c>
      <c r="O40" s="43">
        <v>0</v>
      </c>
    </row>
    <row r="41" spans="1:15" s="27" customFormat="1" ht="12" customHeight="1" x14ac:dyDescent="0.2">
      <c r="A41" s="46" t="s">
        <v>60</v>
      </c>
      <c r="B41" s="47" t="s">
        <v>61</v>
      </c>
      <c r="C41" s="48">
        <v>3000</v>
      </c>
      <c r="D41" s="48">
        <v>2000</v>
      </c>
      <c r="E41" s="48">
        <f t="shared" si="13"/>
        <v>5000</v>
      </c>
      <c r="F41" s="50">
        <v>5000</v>
      </c>
      <c r="G41" s="50"/>
      <c r="H41" s="50">
        <f t="shared" si="14"/>
        <v>3422.12</v>
      </c>
      <c r="I41" s="50">
        <v>2283.52</v>
      </c>
      <c r="J41" s="48">
        <f t="shared" si="17"/>
        <v>1138.5999999999999</v>
      </c>
      <c r="K41" s="50">
        <f t="shared" si="15"/>
        <v>1577.88</v>
      </c>
      <c r="L41" s="50">
        <f t="shared" si="16"/>
        <v>1577.88</v>
      </c>
      <c r="M41" s="259">
        <f t="shared" si="12"/>
        <v>68.442400000000006</v>
      </c>
      <c r="O41" s="43">
        <v>3422.12</v>
      </c>
    </row>
    <row r="42" spans="1:15" s="27" customFormat="1" ht="13.5" customHeight="1" x14ac:dyDescent="0.2">
      <c r="A42" s="46" t="s">
        <v>62</v>
      </c>
      <c r="B42" s="47" t="s">
        <v>63</v>
      </c>
      <c r="C42" s="48">
        <v>918</v>
      </c>
      <c r="D42" s="48">
        <v>0</v>
      </c>
      <c r="E42" s="48">
        <f t="shared" si="13"/>
        <v>918</v>
      </c>
      <c r="F42" s="50">
        <v>918</v>
      </c>
      <c r="G42" s="50">
        <v>0</v>
      </c>
      <c r="H42" s="50">
        <f t="shared" si="14"/>
        <v>0</v>
      </c>
      <c r="I42" s="50">
        <v>0</v>
      </c>
      <c r="J42" s="48">
        <f t="shared" si="17"/>
        <v>0</v>
      </c>
      <c r="K42" s="50">
        <f t="shared" si="15"/>
        <v>918</v>
      </c>
      <c r="L42" s="50">
        <f t="shared" si="16"/>
        <v>918</v>
      </c>
      <c r="M42" s="259">
        <f t="shared" si="12"/>
        <v>0</v>
      </c>
      <c r="O42" s="43">
        <v>0</v>
      </c>
    </row>
    <row r="43" spans="1:15" s="27" customFormat="1" ht="12.75" customHeight="1" x14ac:dyDescent="0.2">
      <c r="A43" s="46" t="s">
        <v>64</v>
      </c>
      <c r="B43" s="47" t="s">
        <v>65</v>
      </c>
      <c r="C43" s="48">
        <v>5000</v>
      </c>
      <c r="D43" s="48">
        <v>-3000</v>
      </c>
      <c r="E43" s="48">
        <f t="shared" si="13"/>
        <v>2000</v>
      </c>
      <c r="F43" s="50">
        <v>2000</v>
      </c>
      <c r="G43" s="50">
        <v>0</v>
      </c>
      <c r="H43" s="50">
        <f t="shared" si="14"/>
        <v>0</v>
      </c>
      <c r="I43" s="50">
        <v>0</v>
      </c>
      <c r="J43" s="48">
        <f t="shared" si="17"/>
        <v>0</v>
      </c>
      <c r="K43" s="50">
        <f t="shared" si="15"/>
        <v>2000</v>
      </c>
      <c r="L43" s="50">
        <f t="shared" si="16"/>
        <v>2000</v>
      </c>
      <c r="M43" s="259">
        <f t="shared" si="12"/>
        <v>0</v>
      </c>
      <c r="O43" s="43">
        <v>0</v>
      </c>
    </row>
    <row r="44" spans="1:15" s="27" customFormat="1" ht="15.6" customHeight="1" x14ac:dyDescent="0.2">
      <c r="A44" s="46" t="s">
        <v>66</v>
      </c>
      <c r="B44" s="47" t="s">
        <v>67</v>
      </c>
      <c r="C44" s="48">
        <v>9467</v>
      </c>
      <c r="D44" s="48">
        <v>-2500</v>
      </c>
      <c r="E44" s="48">
        <f t="shared" si="13"/>
        <v>6967</v>
      </c>
      <c r="F44" s="50">
        <v>6967</v>
      </c>
      <c r="G44" s="50">
        <v>0</v>
      </c>
      <c r="H44" s="50">
        <f t="shared" si="14"/>
        <v>0</v>
      </c>
      <c r="I44" s="50">
        <v>0</v>
      </c>
      <c r="J44" s="48">
        <f t="shared" si="17"/>
        <v>0</v>
      </c>
      <c r="K44" s="50">
        <f t="shared" si="15"/>
        <v>6967</v>
      </c>
      <c r="L44" s="50">
        <f t="shared" si="16"/>
        <v>6967</v>
      </c>
      <c r="M44" s="259">
        <f t="shared" si="12"/>
        <v>0</v>
      </c>
      <c r="O44" s="43">
        <v>0</v>
      </c>
    </row>
    <row r="45" spans="1:15" s="27" customFormat="1" x14ac:dyDescent="0.2">
      <c r="A45" s="58" t="s">
        <v>68</v>
      </c>
      <c r="B45" s="75" t="s">
        <v>69</v>
      </c>
      <c r="C45" s="53">
        <f>SUM(C46:C50)</f>
        <v>2895449</v>
      </c>
      <c r="D45" s="53">
        <f>SUM(D46:D52)</f>
        <v>-104000</v>
      </c>
      <c r="E45" s="53">
        <f t="shared" si="13"/>
        <v>2791449</v>
      </c>
      <c r="F45" s="53">
        <f>SUM(F46:F52)</f>
        <v>2372171</v>
      </c>
      <c r="G45" s="53">
        <f>SUM(G46:G52)</f>
        <v>30593.239999999998</v>
      </c>
      <c r="H45" s="54">
        <f t="shared" si="14"/>
        <v>1604621.0799999998</v>
      </c>
      <c r="I45" s="53">
        <f>SUM(I46:I51)</f>
        <v>1436036.79</v>
      </c>
      <c r="J45" s="53">
        <f>SUM(J46:J52)</f>
        <v>168584.29</v>
      </c>
      <c r="K45" s="54">
        <f t="shared" si="15"/>
        <v>767549.92000000016</v>
      </c>
      <c r="L45" s="54">
        <f t="shared" si="16"/>
        <v>1186827.9200000002</v>
      </c>
      <c r="M45" s="258">
        <f t="shared" si="12"/>
        <v>67.643567010978543</v>
      </c>
      <c r="O45" s="43">
        <v>1574027.8399999999</v>
      </c>
    </row>
    <row r="46" spans="1:15" s="27" customFormat="1" ht="12" customHeight="1" x14ac:dyDescent="0.2">
      <c r="A46" s="57" t="s">
        <v>70</v>
      </c>
      <c r="B46" s="74" t="s">
        <v>71</v>
      </c>
      <c r="C46" s="48">
        <v>118902</v>
      </c>
      <c r="D46" s="48">
        <v>0</v>
      </c>
      <c r="E46" s="48">
        <f t="shared" si="13"/>
        <v>118902</v>
      </c>
      <c r="F46" s="48">
        <v>99086</v>
      </c>
      <c r="G46" s="50">
        <v>9323.9599999999991</v>
      </c>
      <c r="H46" s="50">
        <f t="shared" si="14"/>
        <v>84339.640000000014</v>
      </c>
      <c r="I46" s="50">
        <v>84339.64</v>
      </c>
      <c r="J46" s="48">
        <f t="shared" si="17"/>
        <v>0</v>
      </c>
      <c r="K46" s="50">
        <f t="shared" si="15"/>
        <v>14746.359999999986</v>
      </c>
      <c r="L46" s="50">
        <f t="shared" si="16"/>
        <v>34562.359999999986</v>
      </c>
      <c r="M46" s="259">
        <f t="shared" si="12"/>
        <v>85.117615001110167</v>
      </c>
      <c r="O46" s="43">
        <v>75015.680000000008</v>
      </c>
    </row>
    <row r="47" spans="1:15" s="27" customFormat="1" ht="14.25" customHeight="1" x14ac:dyDescent="0.2">
      <c r="A47" s="46" t="s">
        <v>72</v>
      </c>
      <c r="B47" s="47" t="s">
        <v>73</v>
      </c>
      <c r="C47" s="48">
        <v>17939</v>
      </c>
      <c r="D47" s="48">
        <v>10500</v>
      </c>
      <c r="E47" s="48">
        <v>28439</v>
      </c>
      <c r="F47" s="48">
        <v>25577</v>
      </c>
      <c r="G47" s="50">
        <v>430.16</v>
      </c>
      <c r="H47" s="50">
        <f t="shared" si="14"/>
        <v>11559.57</v>
      </c>
      <c r="I47" s="50">
        <v>9159.57</v>
      </c>
      <c r="J47" s="48">
        <f t="shared" si="17"/>
        <v>2400</v>
      </c>
      <c r="K47" s="50">
        <f t="shared" si="15"/>
        <v>14017.43</v>
      </c>
      <c r="L47" s="50">
        <f t="shared" si="16"/>
        <v>16879.43</v>
      </c>
      <c r="M47" s="259">
        <f t="shared" si="12"/>
        <v>45.195175352856083</v>
      </c>
      <c r="O47" s="43">
        <v>11129.41</v>
      </c>
    </row>
    <row r="48" spans="1:15" s="27" customFormat="1" ht="13.5" customHeight="1" x14ac:dyDescent="0.2">
      <c r="A48" s="46" t="s">
        <v>74</v>
      </c>
      <c r="B48" s="47" t="s">
        <v>75</v>
      </c>
      <c r="C48" s="48">
        <v>169</v>
      </c>
      <c r="D48" s="48"/>
      <c r="E48" s="48">
        <f t="shared" si="13"/>
        <v>169</v>
      </c>
      <c r="F48" s="48">
        <v>169</v>
      </c>
      <c r="G48" s="50">
        <v>39</v>
      </c>
      <c r="H48" s="50">
        <f t="shared" si="14"/>
        <v>90.95</v>
      </c>
      <c r="I48" s="50">
        <v>51.95</v>
      </c>
      <c r="J48" s="48">
        <f t="shared" si="17"/>
        <v>39</v>
      </c>
      <c r="K48" s="50">
        <f t="shared" si="15"/>
        <v>78.05</v>
      </c>
      <c r="L48" s="50">
        <f t="shared" si="16"/>
        <v>78.05</v>
      </c>
      <c r="M48" s="259">
        <f t="shared" si="12"/>
        <v>53.816568047337277</v>
      </c>
      <c r="O48" s="43">
        <v>51.95</v>
      </c>
    </row>
    <row r="49" spans="1:15" s="27" customFormat="1" ht="13.5" customHeight="1" x14ac:dyDescent="0.2">
      <c r="A49" s="46" t="s">
        <v>76</v>
      </c>
      <c r="B49" s="47" t="s">
        <v>77</v>
      </c>
      <c r="C49" s="48">
        <v>2379700</v>
      </c>
      <c r="D49" s="48">
        <f>-322400</f>
        <v>-322400</v>
      </c>
      <c r="E49" s="48">
        <f t="shared" si="13"/>
        <v>2057300</v>
      </c>
      <c r="F49" s="48">
        <v>1660700</v>
      </c>
      <c r="G49" s="50">
        <v>0</v>
      </c>
      <c r="H49" s="50">
        <f t="shared" si="14"/>
        <v>1005326.77</v>
      </c>
      <c r="I49" s="50">
        <v>1005326.77</v>
      </c>
      <c r="J49" s="48">
        <f t="shared" si="17"/>
        <v>0</v>
      </c>
      <c r="K49" s="50">
        <f t="shared" si="15"/>
        <v>655373.23</v>
      </c>
      <c r="L49" s="50">
        <f t="shared" si="16"/>
        <v>1051973.23</v>
      </c>
      <c r="M49" s="259">
        <f t="shared" si="12"/>
        <v>60.536326247967722</v>
      </c>
      <c r="O49" s="43">
        <v>1005326.77</v>
      </c>
    </row>
    <row r="50" spans="1:15" s="27" customFormat="1" ht="15" customHeight="1" x14ac:dyDescent="0.2">
      <c r="A50" s="46" t="s">
        <v>78</v>
      </c>
      <c r="B50" s="47" t="s">
        <v>79</v>
      </c>
      <c r="C50" s="48">
        <v>378739</v>
      </c>
      <c r="D50" s="48">
        <v>-28000</v>
      </c>
      <c r="E50" s="48">
        <f t="shared" si="13"/>
        <v>350739</v>
      </c>
      <c r="F50" s="48">
        <v>350739</v>
      </c>
      <c r="G50" s="50">
        <v>0</v>
      </c>
      <c r="H50" s="50">
        <f t="shared" si="14"/>
        <v>273034.69</v>
      </c>
      <c r="I50" s="50">
        <v>218028.38</v>
      </c>
      <c r="J50" s="48">
        <f t="shared" si="17"/>
        <v>55006.31</v>
      </c>
      <c r="K50" s="50">
        <f t="shared" si="15"/>
        <v>77704.31</v>
      </c>
      <c r="L50" s="50">
        <f t="shared" si="16"/>
        <v>77704.31</v>
      </c>
      <c r="M50" s="259">
        <f t="shared" si="12"/>
        <v>77.845546118338703</v>
      </c>
      <c r="O50" s="43">
        <v>273034.69</v>
      </c>
    </row>
    <row r="51" spans="1:15" s="27" customFormat="1" ht="15" customHeight="1" x14ac:dyDescent="0.2">
      <c r="A51" s="46">
        <v>116</v>
      </c>
      <c r="B51" s="47" t="s">
        <v>319</v>
      </c>
      <c r="C51" s="48"/>
      <c r="D51" s="48">
        <v>207900</v>
      </c>
      <c r="E51" s="48">
        <f t="shared" si="13"/>
        <v>207900</v>
      </c>
      <c r="F51" s="48">
        <v>207900</v>
      </c>
      <c r="G51" s="50">
        <v>0</v>
      </c>
      <c r="H51" s="50">
        <f t="shared" si="14"/>
        <v>207736</v>
      </c>
      <c r="I51" s="50">
        <v>119130.48</v>
      </c>
      <c r="J51" s="48">
        <f t="shared" si="17"/>
        <v>88605.52</v>
      </c>
      <c r="K51" s="50">
        <f t="shared" ref="K51:K52" si="18">+F51-H51</f>
        <v>164</v>
      </c>
      <c r="L51" s="50"/>
      <c r="M51" s="259">
        <f t="shared" si="12"/>
        <v>99.921115921115927</v>
      </c>
      <c r="O51" s="43">
        <v>207736</v>
      </c>
    </row>
    <row r="52" spans="1:15" s="27" customFormat="1" ht="15" customHeight="1" x14ac:dyDescent="0.2">
      <c r="A52" s="46">
        <v>117</v>
      </c>
      <c r="B52" s="47" t="s">
        <v>327</v>
      </c>
      <c r="C52" s="48"/>
      <c r="D52" s="48">
        <v>28000</v>
      </c>
      <c r="E52" s="48">
        <f t="shared" si="13"/>
        <v>28000</v>
      </c>
      <c r="F52" s="48">
        <v>28000</v>
      </c>
      <c r="G52" s="50">
        <v>20800.12</v>
      </c>
      <c r="H52" s="50">
        <f t="shared" si="14"/>
        <v>22533.46</v>
      </c>
      <c r="I52" s="50"/>
      <c r="J52" s="48">
        <f t="shared" si="17"/>
        <v>22533.46</v>
      </c>
      <c r="K52" s="50">
        <f t="shared" si="18"/>
        <v>5466.5400000000009</v>
      </c>
      <c r="L52" s="50"/>
      <c r="M52" s="259">
        <f t="shared" si="12"/>
        <v>80.476642857142863</v>
      </c>
      <c r="O52" s="43">
        <v>1733.34</v>
      </c>
    </row>
    <row r="53" spans="1:15" s="27" customFormat="1" ht="12.75" customHeight="1" x14ac:dyDescent="0.2">
      <c r="A53" s="58" t="s">
        <v>80</v>
      </c>
      <c r="B53" s="75" t="s">
        <v>81</v>
      </c>
      <c r="C53" s="53">
        <v>21097</v>
      </c>
      <c r="D53" s="75">
        <v>0</v>
      </c>
      <c r="E53" s="53">
        <f t="shared" si="13"/>
        <v>21097</v>
      </c>
      <c r="F53" s="54">
        <v>21097</v>
      </c>
      <c r="G53" s="54">
        <v>573.16999999999996</v>
      </c>
      <c r="H53" s="54">
        <f t="shared" si="14"/>
        <v>6153.78</v>
      </c>
      <c r="I53" s="54">
        <v>3839.72</v>
      </c>
      <c r="J53" s="53">
        <f t="shared" si="17"/>
        <v>2314.06</v>
      </c>
      <c r="K53" s="54">
        <f t="shared" ref="K53:K80" si="19">+F53-H53</f>
        <v>14943.220000000001</v>
      </c>
      <c r="L53" s="54">
        <f t="shared" ref="L53:L80" si="20">+E53-H53</f>
        <v>14943.220000000001</v>
      </c>
      <c r="M53" s="258">
        <f t="shared" si="12"/>
        <v>29.168981371759017</v>
      </c>
      <c r="N53" s="6"/>
      <c r="O53" s="43">
        <v>5580.61</v>
      </c>
    </row>
    <row r="54" spans="1:15" s="27" customFormat="1" ht="13.5" customHeight="1" x14ac:dyDescent="0.2">
      <c r="A54" s="58" t="s">
        <v>82</v>
      </c>
      <c r="B54" s="75" t="s">
        <v>83</v>
      </c>
      <c r="C54" s="53">
        <f>SUM(C55:C56)</f>
        <v>36675</v>
      </c>
      <c r="D54" s="53">
        <f>SUM(D55:D56)</f>
        <v>-14400</v>
      </c>
      <c r="E54" s="53">
        <f t="shared" si="13"/>
        <v>22275</v>
      </c>
      <c r="F54" s="53">
        <v>17469</v>
      </c>
      <c r="G54" s="53">
        <v>1981.38</v>
      </c>
      <c r="H54" s="54">
        <f t="shared" si="14"/>
        <v>2226.4100000000003</v>
      </c>
      <c r="I54" s="53">
        <f>SUM(I55:I56)</f>
        <v>245.03</v>
      </c>
      <c r="J54" s="48">
        <f t="shared" si="17"/>
        <v>1981.3800000000003</v>
      </c>
      <c r="K54" s="54">
        <f t="shared" si="19"/>
        <v>15242.59</v>
      </c>
      <c r="L54" s="54">
        <f t="shared" si="20"/>
        <v>20048.59</v>
      </c>
      <c r="M54" s="258">
        <f t="shared" si="12"/>
        <v>12.744919571812927</v>
      </c>
      <c r="N54" s="6"/>
      <c r="O54" s="43">
        <v>245.03</v>
      </c>
    </row>
    <row r="55" spans="1:15" s="27" customFormat="1" ht="14.25" customHeight="1" x14ac:dyDescent="0.2">
      <c r="A55" s="46" t="s">
        <v>84</v>
      </c>
      <c r="B55" s="74" t="s">
        <v>85</v>
      </c>
      <c r="C55" s="48">
        <v>27807</v>
      </c>
      <c r="D55" s="48">
        <v>-14400</v>
      </c>
      <c r="E55" s="48">
        <f t="shared" si="13"/>
        <v>13407</v>
      </c>
      <c r="F55" s="50">
        <v>9257</v>
      </c>
      <c r="G55" s="50">
        <v>1981.38</v>
      </c>
      <c r="H55" s="50">
        <f t="shared" si="14"/>
        <v>2226.4100000000003</v>
      </c>
      <c r="I55" s="50">
        <v>245.03</v>
      </c>
      <c r="J55" s="48">
        <f t="shared" si="17"/>
        <v>1981.3800000000003</v>
      </c>
      <c r="K55" s="50">
        <f t="shared" si="19"/>
        <v>7030.59</v>
      </c>
      <c r="L55" s="50">
        <f t="shared" si="20"/>
        <v>11180.59</v>
      </c>
      <c r="M55" s="259">
        <f t="shared" si="12"/>
        <v>24.051096467538084</v>
      </c>
      <c r="N55" s="6"/>
      <c r="O55" s="43">
        <v>245.03</v>
      </c>
    </row>
    <row r="56" spans="1:15" s="27" customFormat="1" ht="15" customHeight="1" x14ac:dyDescent="0.2">
      <c r="A56" s="46" t="s">
        <v>241</v>
      </c>
      <c r="B56" s="74" t="s">
        <v>242</v>
      </c>
      <c r="C56" s="48">
        <v>8868</v>
      </c>
      <c r="D56" s="48">
        <v>0</v>
      </c>
      <c r="E56" s="48">
        <f t="shared" si="13"/>
        <v>8868</v>
      </c>
      <c r="F56" s="48">
        <v>8212</v>
      </c>
      <c r="G56" s="48">
        <v>0</v>
      </c>
      <c r="H56" s="50">
        <f t="shared" si="14"/>
        <v>0</v>
      </c>
      <c r="I56" s="48">
        <v>0</v>
      </c>
      <c r="J56" s="48">
        <f t="shared" si="17"/>
        <v>0</v>
      </c>
      <c r="K56" s="50">
        <f t="shared" si="19"/>
        <v>8212</v>
      </c>
      <c r="L56" s="50">
        <f t="shared" si="20"/>
        <v>8868</v>
      </c>
      <c r="M56" s="259">
        <f t="shared" si="12"/>
        <v>0</v>
      </c>
      <c r="N56" s="6"/>
      <c r="O56" s="43">
        <v>0</v>
      </c>
    </row>
    <row r="57" spans="1:15" s="27" customFormat="1" x14ac:dyDescent="0.2">
      <c r="A57" s="58" t="s">
        <v>86</v>
      </c>
      <c r="B57" s="75" t="s">
        <v>87</v>
      </c>
      <c r="C57" s="53">
        <f>SUM(C58:C60)</f>
        <v>378199</v>
      </c>
      <c r="D57" s="53">
        <f>SUM(D58:D60)</f>
        <v>-240100</v>
      </c>
      <c r="E57" s="53">
        <f t="shared" ref="E57:E65" si="21">+C57+D57</f>
        <v>138099</v>
      </c>
      <c r="F57" s="53">
        <f>SUM(F58:F60)</f>
        <v>82577</v>
      </c>
      <c r="G57" s="53">
        <f>SUM(G58:G60)</f>
        <v>9832.5</v>
      </c>
      <c r="H57" s="54">
        <f t="shared" si="14"/>
        <v>27663.5</v>
      </c>
      <c r="I57" s="53">
        <f>SUM(I58:I60)</f>
        <v>26942</v>
      </c>
      <c r="J57" s="53">
        <f t="shared" si="17"/>
        <v>721.5</v>
      </c>
      <c r="K57" s="54">
        <f t="shared" si="19"/>
        <v>54913.5</v>
      </c>
      <c r="L57" s="54">
        <f t="shared" si="20"/>
        <v>110435.5</v>
      </c>
      <c r="M57" s="258">
        <f t="shared" si="12"/>
        <v>33.50024825314555</v>
      </c>
      <c r="N57" s="6"/>
      <c r="O57" s="43">
        <v>17831</v>
      </c>
    </row>
    <row r="58" spans="1:15" s="27" customFormat="1" ht="15.75" customHeight="1" x14ac:dyDescent="0.2">
      <c r="A58" s="57" t="s">
        <v>88</v>
      </c>
      <c r="B58" s="74" t="s">
        <v>89</v>
      </c>
      <c r="C58" s="48">
        <v>295164</v>
      </c>
      <c r="D58" s="48">
        <v>-183100</v>
      </c>
      <c r="E58" s="48">
        <f t="shared" si="21"/>
        <v>112064</v>
      </c>
      <c r="F58" s="48">
        <v>67702</v>
      </c>
      <c r="G58" s="48">
        <v>8384.5</v>
      </c>
      <c r="H58" s="50">
        <f t="shared" si="14"/>
        <v>26214.5</v>
      </c>
      <c r="I58" s="48">
        <v>25494</v>
      </c>
      <c r="J58" s="48">
        <f t="shared" si="17"/>
        <v>720.5</v>
      </c>
      <c r="K58" s="50">
        <f t="shared" si="19"/>
        <v>41487.5</v>
      </c>
      <c r="L58" s="50">
        <f t="shared" si="20"/>
        <v>85849.5</v>
      </c>
      <c r="M58" s="259">
        <f t="shared" si="12"/>
        <v>38.720421848689845</v>
      </c>
      <c r="O58" s="43">
        <v>17830</v>
      </c>
    </row>
    <row r="59" spans="1:15" s="27" customFormat="1" ht="15.75" customHeight="1" x14ac:dyDescent="0.2">
      <c r="A59" s="46" t="s">
        <v>90</v>
      </c>
      <c r="B59" s="47" t="s">
        <v>91</v>
      </c>
      <c r="C59" s="48">
        <v>71765</v>
      </c>
      <c r="D59" s="48">
        <v>-57000</v>
      </c>
      <c r="E59" s="48">
        <f t="shared" si="21"/>
        <v>14765</v>
      </c>
      <c r="F59" s="50">
        <v>5021</v>
      </c>
      <c r="G59" s="50">
        <v>1250</v>
      </c>
      <c r="H59" s="50">
        <f t="shared" si="14"/>
        <v>1250</v>
      </c>
      <c r="I59" s="50">
        <v>1250</v>
      </c>
      <c r="J59" s="48">
        <f t="shared" si="17"/>
        <v>0</v>
      </c>
      <c r="K59" s="50">
        <f t="shared" si="19"/>
        <v>3771</v>
      </c>
      <c r="L59" s="50">
        <f t="shared" si="20"/>
        <v>13515</v>
      </c>
      <c r="M59" s="259">
        <f t="shared" si="12"/>
        <v>24.895439155546704</v>
      </c>
      <c r="O59" s="43">
        <v>0</v>
      </c>
    </row>
    <row r="60" spans="1:15" s="27" customFormat="1" ht="12" customHeight="1" x14ac:dyDescent="0.2">
      <c r="A60" s="46">
        <v>143</v>
      </c>
      <c r="B60" s="47" t="s">
        <v>92</v>
      </c>
      <c r="C60" s="48">
        <v>11270</v>
      </c>
      <c r="D60" s="48">
        <v>0</v>
      </c>
      <c r="E60" s="48">
        <f t="shared" si="21"/>
        <v>11270</v>
      </c>
      <c r="F60" s="50">
        <v>9854</v>
      </c>
      <c r="G60" s="50">
        <v>198</v>
      </c>
      <c r="H60" s="50">
        <f t="shared" si="14"/>
        <v>198</v>
      </c>
      <c r="I60" s="50">
        <v>198</v>
      </c>
      <c r="J60" s="48">
        <f t="shared" si="17"/>
        <v>0</v>
      </c>
      <c r="K60" s="50">
        <f t="shared" si="19"/>
        <v>9656</v>
      </c>
      <c r="L60" s="50">
        <f t="shared" si="20"/>
        <v>11072</v>
      </c>
      <c r="M60" s="259">
        <f t="shared" si="12"/>
        <v>2.0093363101278667</v>
      </c>
      <c r="O60" s="43">
        <v>0</v>
      </c>
    </row>
    <row r="61" spans="1:15" s="27" customFormat="1" x14ac:dyDescent="0.2">
      <c r="A61" s="58" t="s">
        <v>93</v>
      </c>
      <c r="B61" s="75" t="s">
        <v>94</v>
      </c>
      <c r="C61" s="53">
        <f>SUM(C62:C64)</f>
        <v>144891</v>
      </c>
      <c r="D61" s="53">
        <f>SUM(D62:D65)</f>
        <v>-46300</v>
      </c>
      <c r="E61" s="53">
        <f t="shared" si="21"/>
        <v>98591</v>
      </c>
      <c r="F61" s="53">
        <f>+F62+F63+F64+F65</f>
        <v>77087</v>
      </c>
      <c r="G61" s="53">
        <f>SUM(G62:G65)</f>
        <v>3000.99</v>
      </c>
      <c r="H61" s="54">
        <f t="shared" si="14"/>
        <v>9958.98</v>
      </c>
      <c r="I61" s="53">
        <f>SUM(I62:I65)</f>
        <v>9375.14</v>
      </c>
      <c r="J61" s="53">
        <f t="shared" si="17"/>
        <v>583.84000000000015</v>
      </c>
      <c r="K61" s="54">
        <f t="shared" si="19"/>
        <v>67128.02</v>
      </c>
      <c r="L61" s="54">
        <f t="shared" si="20"/>
        <v>88632.02</v>
      </c>
      <c r="M61" s="258">
        <f t="shared" si="12"/>
        <v>12.919143305615734</v>
      </c>
      <c r="N61" s="6"/>
      <c r="O61" s="43">
        <v>6957.99</v>
      </c>
    </row>
    <row r="62" spans="1:15" s="27" customFormat="1" ht="15" customHeight="1" x14ac:dyDescent="0.2">
      <c r="A62" s="57" t="s">
        <v>95</v>
      </c>
      <c r="B62" s="74" t="s">
        <v>89</v>
      </c>
      <c r="C62" s="48">
        <v>75300</v>
      </c>
      <c r="D62" s="48">
        <v>-21800</v>
      </c>
      <c r="E62" s="48">
        <f t="shared" si="21"/>
        <v>53500</v>
      </c>
      <c r="F62" s="48">
        <v>42294</v>
      </c>
      <c r="G62" s="48">
        <v>2493.4899999999998</v>
      </c>
      <c r="H62" s="50">
        <f t="shared" si="14"/>
        <v>7343.9400000000005</v>
      </c>
      <c r="I62" s="48">
        <v>6933.72</v>
      </c>
      <c r="J62" s="48">
        <f t="shared" si="17"/>
        <v>410.22000000000025</v>
      </c>
      <c r="K62" s="50">
        <f t="shared" si="19"/>
        <v>34950.06</v>
      </c>
      <c r="L62" s="50">
        <f t="shared" si="20"/>
        <v>46156.06</v>
      </c>
      <c r="M62" s="259">
        <f t="shared" si="12"/>
        <v>17.364023265711449</v>
      </c>
      <c r="O62" s="43">
        <v>4850.4500000000007</v>
      </c>
    </row>
    <row r="63" spans="1:15" s="27" customFormat="1" ht="18" customHeight="1" x14ac:dyDescent="0.2">
      <c r="A63" s="46" t="s">
        <v>96</v>
      </c>
      <c r="B63" s="47" t="s">
        <v>91</v>
      </c>
      <c r="C63" s="48">
        <v>62283</v>
      </c>
      <c r="D63" s="48">
        <v>-36000</v>
      </c>
      <c r="E63" s="48">
        <f t="shared" si="21"/>
        <v>26283</v>
      </c>
      <c r="F63" s="48">
        <v>16185</v>
      </c>
      <c r="G63" s="48"/>
      <c r="H63" s="50">
        <f t="shared" si="14"/>
        <v>0</v>
      </c>
      <c r="I63" s="50">
        <v>0</v>
      </c>
      <c r="J63" s="48">
        <f t="shared" si="17"/>
        <v>0</v>
      </c>
      <c r="K63" s="50">
        <f t="shared" si="19"/>
        <v>16185</v>
      </c>
      <c r="L63" s="50">
        <f t="shared" si="20"/>
        <v>26283</v>
      </c>
      <c r="M63" s="259">
        <f t="shared" si="12"/>
        <v>0</v>
      </c>
      <c r="O63" s="43">
        <v>0</v>
      </c>
    </row>
    <row r="64" spans="1:15" s="27" customFormat="1" ht="18" customHeight="1" x14ac:dyDescent="0.2">
      <c r="A64" s="46">
        <v>153</v>
      </c>
      <c r="B64" s="47" t="s">
        <v>97</v>
      </c>
      <c r="C64" s="48">
        <v>7308</v>
      </c>
      <c r="D64" s="48">
        <v>0</v>
      </c>
      <c r="E64" s="48">
        <f t="shared" si="21"/>
        <v>7308</v>
      </c>
      <c r="F64" s="50">
        <v>7108</v>
      </c>
      <c r="G64" s="50">
        <v>77</v>
      </c>
      <c r="H64" s="50">
        <f t="shared" si="14"/>
        <v>77</v>
      </c>
      <c r="I64" s="50">
        <v>77</v>
      </c>
      <c r="J64" s="48">
        <f t="shared" si="17"/>
        <v>0</v>
      </c>
      <c r="K64" s="50">
        <f t="shared" si="19"/>
        <v>7031</v>
      </c>
      <c r="L64" s="50">
        <f t="shared" si="20"/>
        <v>7231</v>
      </c>
      <c r="M64" s="259">
        <f t="shared" si="12"/>
        <v>1.0832864378165448</v>
      </c>
      <c r="O64" s="43">
        <v>0</v>
      </c>
    </row>
    <row r="65" spans="1:15" s="27" customFormat="1" ht="15" customHeight="1" x14ac:dyDescent="0.2">
      <c r="A65" s="46">
        <v>154</v>
      </c>
      <c r="B65" s="47" t="s">
        <v>285</v>
      </c>
      <c r="C65" s="48"/>
      <c r="D65" s="48">
        <v>11500</v>
      </c>
      <c r="E65" s="48">
        <f t="shared" si="21"/>
        <v>11500</v>
      </c>
      <c r="F65" s="50">
        <v>11500</v>
      </c>
      <c r="G65" s="50">
        <v>430.5</v>
      </c>
      <c r="H65" s="50">
        <f t="shared" si="14"/>
        <v>2537.34</v>
      </c>
      <c r="I65" s="50">
        <v>2364.42</v>
      </c>
      <c r="J65" s="48">
        <f t="shared" si="17"/>
        <v>172.92000000000007</v>
      </c>
      <c r="K65" s="50">
        <f t="shared" si="19"/>
        <v>8962.66</v>
      </c>
      <c r="L65" s="50">
        <f t="shared" si="20"/>
        <v>8962.66</v>
      </c>
      <c r="M65" s="259">
        <f t="shared" si="12"/>
        <v>22.063826086956521</v>
      </c>
      <c r="O65" s="43">
        <v>2106.84</v>
      </c>
    </row>
    <row r="66" spans="1:15" s="27" customFormat="1" ht="15.75" customHeight="1" x14ac:dyDescent="0.2">
      <c r="A66" s="58" t="s">
        <v>98</v>
      </c>
      <c r="B66" s="75" t="s">
        <v>99</v>
      </c>
      <c r="C66" s="53">
        <f>SUM(C67:C70)</f>
        <v>507286</v>
      </c>
      <c r="D66" s="53">
        <f>SUM(D67:D70)</f>
        <v>-76630</v>
      </c>
      <c r="E66" s="53">
        <f>SUM(E67:E70)</f>
        <v>430656</v>
      </c>
      <c r="F66" s="53">
        <f>SUM(F67:F70)</f>
        <v>384388</v>
      </c>
      <c r="G66" s="53">
        <f>+G67+G68+G70+G69</f>
        <v>23061.190000000002</v>
      </c>
      <c r="H66" s="54">
        <f t="shared" si="14"/>
        <v>241414.77</v>
      </c>
      <c r="I66" s="53">
        <f>+I67+I68+I70+I69</f>
        <v>139604</v>
      </c>
      <c r="J66" s="53">
        <f t="shared" si="17"/>
        <v>101810.76999999999</v>
      </c>
      <c r="K66" s="54">
        <f t="shared" si="19"/>
        <v>142973.23000000001</v>
      </c>
      <c r="L66" s="54">
        <f t="shared" si="20"/>
        <v>189241.23</v>
      </c>
      <c r="M66" s="258">
        <f t="shared" si="12"/>
        <v>62.804970498558745</v>
      </c>
      <c r="O66" s="43">
        <v>218353.58</v>
      </c>
    </row>
    <row r="67" spans="1:15" s="27" customFormat="1" ht="17.25" customHeight="1" x14ac:dyDescent="0.2">
      <c r="A67" s="57" t="s">
        <v>237</v>
      </c>
      <c r="B67" s="74" t="s">
        <v>238</v>
      </c>
      <c r="C67" s="48">
        <v>2900</v>
      </c>
      <c r="D67" s="48">
        <v>-1700</v>
      </c>
      <c r="E67" s="48">
        <f>+C67+D67</f>
        <v>1200</v>
      </c>
      <c r="F67" s="48">
        <v>1200</v>
      </c>
      <c r="G67" s="50"/>
      <c r="H67" s="50">
        <f t="shared" si="14"/>
        <v>0</v>
      </c>
      <c r="I67" s="50"/>
      <c r="J67" s="48">
        <f t="shared" si="17"/>
        <v>0</v>
      </c>
      <c r="K67" s="50">
        <f t="shared" si="19"/>
        <v>1200</v>
      </c>
      <c r="L67" s="50">
        <f t="shared" si="20"/>
        <v>1200</v>
      </c>
      <c r="M67" s="259">
        <f t="shared" si="12"/>
        <v>0</v>
      </c>
      <c r="O67" s="43">
        <v>0</v>
      </c>
    </row>
    <row r="68" spans="1:15" s="27" customFormat="1" ht="15.75" customHeight="1" x14ac:dyDescent="0.2">
      <c r="A68" s="57" t="s">
        <v>100</v>
      </c>
      <c r="B68" s="74" t="s">
        <v>101</v>
      </c>
      <c r="C68" s="48">
        <v>78800</v>
      </c>
      <c r="D68" s="48">
        <v>27050</v>
      </c>
      <c r="E68" s="48">
        <f>+C68+D68</f>
        <v>105850</v>
      </c>
      <c r="F68" s="48">
        <v>94182</v>
      </c>
      <c r="G68" s="50">
        <v>0</v>
      </c>
      <c r="H68" s="50">
        <f t="shared" si="14"/>
        <v>83320.34</v>
      </c>
      <c r="I68" s="50">
        <v>83192.13</v>
      </c>
      <c r="J68" s="48">
        <f t="shared" si="17"/>
        <v>128.20999999999185</v>
      </c>
      <c r="K68" s="50">
        <f t="shared" si="19"/>
        <v>10861.660000000003</v>
      </c>
      <c r="L68" s="50">
        <f t="shared" si="20"/>
        <v>22529.660000000003</v>
      </c>
      <c r="M68" s="259">
        <f t="shared" si="12"/>
        <v>88.467371684610654</v>
      </c>
      <c r="O68" s="43">
        <v>83320.34</v>
      </c>
    </row>
    <row r="69" spans="1:15" s="27" customFormat="1" ht="15" customHeight="1" x14ac:dyDescent="0.2">
      <c r="A69" s="59">
        <v>165</v>
      </c>
      <c r="B69" s="74" t="s">
        <v>102</v>
      </c>
      <c r="C69" s="48">
        <v>208541</v>
      </c>
      <c r="D69" s="48">
        <f>-43080</f>
        <v>-43080</v>
      </c>
      <c r="E69" s="48">
        <f>+C69+D69</f>
        <v>165461</v>
      </c>
      <c r="F69" s="48">
        <v>130861</v>
      </c>
      <c r="G69" s="50">
        <v>4396.71</v>
      </c>
      <c r="H69" s="50">
        <f t="shared" si="14"/>
        <v>83749.5</v>
      </c>
      <c r="I69" s="50">
        <v>38430.959999999999</v>
      </c>
      <c r="J69" s="48">
        <f t="shared" si="17"/>
        <v>45318.54</v>
      </c>
      <c r="K69" s="50">
        <f t="shared" si="19"/>
        <v>47111.5</v>
      </c>
      <c r="L69" s="50">
        <f t="shared" si="20"/>
        <v>81711.5</v>
      </c>
      <c r="M69" s="259">
        <f t="shared" ref="M69:M86" si="22">+H69*100/F69</f>
        <v>63.998823178792762</v>
      </c>
      <c r="O69" s="43">
        <v>79352.789999999994</v>
      </c>
    </row>
    <row r="70" spans="1:15" s="27" customFormat="1" ht="12.75" customHeight="1" x14ac:dyDescent="0.2">
      <c r="A70" s="46" t="s">
        <v>103</v>
      </c>
      <c r="B70" s="47" t="s">
        <v>104</v>
      </c>
      <c r="C70" s="48">
        <v>217045</v>
      </c>
      <c r="D70" s="48">
        <v>-58900</v>
      </c>
      <c r="E70" s="48">
        <f>+C70+D70</f>
        <v>158145</v>
      </c>
      <c r="F70" s="48">
        <v>158145</v>
      </c>
      <c r="G70" s="48">
        <f>19014.49-350.01</f>
        <v>18664.480000000003</v>
      </c>
      <c r="H70" s="50">
        <f t="shared" si="14"/>
        <v>74344.929999999993</v>
      </c>
      <c r="I70" s="48">
        <v>17980.91</v>
      </c>
      <c r="J70" s="48">
        <f t="shared" si="17"/>
        <v>56364.01999999999</v>
      </c>
      <c r="K70" s="50">
        <f t="shared" si="19"/>
        <v>83800.070000000007</v>
      </c>
      <c r="L70" s="50">
        <f t="shared" si="20"/>
        <v>83800.070000000007</v>
      </c>
      <c r="M70" s="259">
        <f t="shared" si="22"/>
        <v>47.010610515665995</v>
      </c>
      <c r="O70" s="43">
        <v>55680.45</v>
      </c>
    </row>
    <row r="71" spans="1:15" s="27" customFormat="1" x14ac:dyDescent="0.2">
      <c r="A71" s="60">
        <v>170</v>
      </c>
      <c r="B71" s="76" t="s">
        <v>256</v>
      </c>
      <c r="C71" s="77">
        <f>SUM(C72)</f>
        <v>247000</v>
      </c>
      <c r="D71" s="77">
        <f>++D72</f>
        <v>-6000</v>
      </c>
      <c r="E71" s="53">
        <f t="shared" ref="E71:E84" si="23">+C71+D71</f>
        <v>241000</v>
      </c>
      <c r="F71" s="77">
        <f>SUM(F72)</f>
        <v>201144</v>
      </c>
      <c r="G71" s="77">
        <f>SUM(G72:G72)</f>
        <v>10290.44</v>
      </c>
      <c r="H71" s="54">
        <f t="shared" si="14"/>
        <v>80726.149999999994</v>
      </c>
      <c r="I71" s="77">
        <f>SUM(I72:I72)</f>
        <v>0</v>
      </c>
      <c r="J71" s="53">
        <f t="shared" si="17"/>
        <v>80726.149999999994</v>
      </c>
      <c r="K71" s="54">
        <f t="shared" si="19"/>
        <v>120417.85</v>
      </c>
      <c r="L71" s="54">
        <f t="shared" si="20"/>
        <v>160273.85</v>
      </c>
      <c r="M71" s="258">
        <f t="shared" si="22"/>
        <v>40.133511315276614</v>
      </c>
      <c r="O71" s="43">
        <v>70435.709999999992</v>
      </c>
    </row>
    <row r="72" spans="1:15" s="27" customFormat="1" ht="15" customHeight="1" x14ac:dyDescent="0.2">
      <c r="A72" s="46" t="s">
        <v>105</v>
      </c>
      <c r="B72" s="47" t="s">
        <v>106</v>
      </c>
      <c r="C72" s="48">
        <v>247000</v>
      </c>
      <c r="D72" s="48">
        <v>-6000</v>
      </c>
      <c r="E72" s="48">
        <f t="shared" si="23"/>
        <v>241000</v>
      </c>
      <c r="F72" s="48">
        <v>201144</v>
      </c>
      <c r="G72" s="48">
        <v>10290.44</v>
      </c>
      <c r="H72" s="50">
        <f t="shared" si="14"/>
        <v>80726.149999999994</v>
      </c>
      <c r="I72" s="50">
        <v>0</v>
      </c>
      <c r="J72" s="48">
        <f t="shared" si="17"/>
        <v>80726.149999999994</v>
      </c>
      <c r="K72" s="50">
        <f t="shared" si="19"/>
        <v>120417.85</v>
      </c>
      <c r="L72" s="50">
        <f t="shared" si="20"/>
        <v>160273.85</v>
      </c>
      <c r="M72" s="259">
        <f t="shared" si="22"/>
        <v>40.133511315276614</v>
      </c>
      <c r="O72" s="43">
        <v>70435.709999999992</v>
      </c>
    </row>
    <row r="73" spans="1:15" s="27" customFormat="1" x14ac:dyDescent="0.2">
      <c r="A73" s="58" t="s">
        <v>107</v>
      </c>
      <c r="B73" s="75" t="s">
        <v>108</v>
      </c>
      <c r="C73" s="53">
        <f>SUM(C74:C79)</f>
        <v>235083</v>
      </c>
      <c r="D73" s="53">
        <f>SUM(D74:D79)</f>
        <v>23550</v>
      </c>
      <c r="E73" s="53">
        <f t="shared" si="23"/>
        <v>258633</v>
      </c>
      <c r="F73" s="53">
        <f>SUM(F74:F79)</f>
        <v>258633</v>
      </c>
      <c r="G73" s="53">
        <f>SUM(G74:G79)</f>
        <v>28351.63</v>
      </c>
      <c r="H73" s="54">
        <f t="shared" si="14"/>
        <v>191299.38999999998</v>
      </c>
      <c r="I73" s="53">
        <f>SUM(I74:I79)</f>
        <v>55447.47</v>
      </c>
      <c r="J73" s="53">
        <f t="shared" si="17"/>
        <v>135851.91999999998</v>
      </c>
      <c r="K73" s="54">
        <f t="shared" si="19"/>
        <v>67333.610000000015</v>
      </c>
      <c r="L73" s="54">
        <f t="shared" si="20"/>
        <v>67333.610000000015</v>
      </c>
      <c r="M73" s="258">
        <f t="shared" si="22"/>
        <v>73.965576705215497</v>
      </c>
      <c r="N73" s="6"/>
      <c r="O73" s="43">
        <v>162947.75999999998</v>
      </c>
    </row>
    <row r="74" spans="1:15" s="27" customFormat="1" ht="14.25" customHeight="1" x14ac:dyDescent="0.2">
      <c r="A74" s="59">
        <v>181</v>
      </c>
      <c r="B74" s="74" t="s">
        <v>109</v>
      </c>
      <c r="C74" s="48">
        <v>1000</v>
      </c>
      <c r="D74" s="48">
        <v>2000</v>
      </c>
      <c r="E74" s="48">
        <f t="shared" si="23"/>
        <v>3000</v>
      </c>
      <c r="F74" s="50">
        <v>3000</v>
      </c>
      <c r="G74" s="50">
        <v>0</v>
      </c>
      <c r="H74" s="50">
        <f t="shared" si="14"/>
        <v>0</v>
      </c>
      <c r="I74" s="50">
        <v>0</v>
      </c>
      <c r="J74" s="48">
        <f t="shared" si="17"/>
        <v>0</v>
      </c>
      <c r="K74" s="50">
        <f t="shared" si="19"/>
        <v>3000</v>
      </c>
      <c r="L74" s="50">
        <f t="shared" si="20"/>
        <v>3000</v>
      </c>
      <c r="M74" s="259">
        <f t="shared" si="22"/>
        <v>0</v>
      </c>
      <c r="O74" s="43">
        <v>0</v>
      </c>
    </row>
    <row r="75" spans="1:15" s="27" customFormat="1" ht="14.25" customHeight="1" x14ac:dyDescent="0.2">
      <c r="A75" s="57" t="s">
        <v>110</v>
      </c>
      <c r="B75" s="74" t="s">
        <v>243</v>
      </c>
      <c r="C75" s="48">
        <v>112283</v>
      </c>
      <c r="D75" s="48">
        <v>77500</v>
      </c>
      <c r="E75" s="48">
        <f t="shared" si="23"/>
        <v>189783</v>
      </c>
      <c r="F75" s="48">
        <v>189783</v>
      </c>
      <c r="G75" s="48">
        <v>28342</v>
      </c>
      <c r="H75" s="50">
        <f t="shared" si="14"/>
        <v>167428.23000000001</v>
      </c>
      <c r="I75" s="48">
        <v>43952.89</v>
      </c>
      <c r="J75" s="48">
        <f t="shared" si="17"/>
        <v>123475.34000000001</v>
      </c>
      <c r="K75" s="50">
        <f t="shared" si="19"/>
        <v>22354.76999999999</v>
      </c>
      <c r="L75" s="50">
        <f t="shared" si="20"/>
        <v>22354.76999999999</v>
      </c>
      <c r="M75" s="259">
        <f t="shared" si="22"/>
        <v>88.220878582380934</v>
      </c>
      <c r="O75" s="43">
        <v>139086.23000000001</v>
      </c>
    </row>
    <row r="76" spans="1:15" s="27" customFormat="1" ht="12.75" customHeight="1" x14ac:dyDescent="0.2">
      <c r="A76" s="46">
        <v>183</v>
      </c>
      <c r="B76" s="74" t="s">
        <v>244</v>
      </c>
      <c r="C76" s="48">
        <v>20000</v>
      </c>
      <c r="D76" s="48">
        <v>-14750</v>
      </c>
      <c r="E76" s="48">
        <f t="shared" si="23"/>
        <v>5250</v>
      </c>
      <c r="F76" s="50">
        <v>5250</v>
      </c>
      <c r="G76" s="50">
        <v>0</v>
      </c>
      <c r="H76" s="50">
        <f t="shared" si="14"/>
        <v>0</v>
      </c>
      <c r="I76" s="50">
        <v>0</v>
      </c>
      <c r="J76" s="48">
        <f t="shared" si="17"/>
        <v>0</v>
      </c>
      <c r="K76" s="50">
        <f t="shared" si="19"/>
        <v>5250</v>
      </c>
      <c r="L76" s="50">
        <f t="shared" si="20"/>
        <v>5250</v>
      </c>
      <c r="M76" s="259">
        <f t="shared" si="22"/>
        <v>0</v>
      </c>
      <c r="O76" s="43">
        <v>0</v>
      </c>
    </row>
    <row r="77" spans="1:15" s="27" customFormat="1" ht="12" customHeight="1" x14ac:dyDescent="0.2">
      <c r="A77" s="46">
        <v>184</v>
      </c>
      <c r="B77" s="74" t="s">
        <v>245</v>
      </c>
      <c r="C77" s="48">
        <v>7000</v>
      </c>
      <c r="D77" s="48">
        <v>0</v>
      </c>
      <c r="E77" s="48">
        <f t="shared" si="23"/>
        <v>7000</v>
      </c>
      <c r="F77" s="50">
        <v>7000</v>
      </c>
      <c r="G77" s="50">
        <v>0</v>
      </c>
      <c r="H77" s="50">
        <f t="shared" si="14"/>
        <v>0</v>
      </c>
      <c r="I77" s="50">
        <v>0</v>
      </c>
      <c r="J77" s="48">
        <f t="shared" si="17"/>
        <v>0</v>
      </c>
      <c r="K77" s="50">
        <f t="shared" si="19"/>
        <v>7000</v>
      </c>
      <c r="L77" s="50">
        <f t="shared" si="20"/>
        <v>7000</v>
      </c>
      <c r="M77" s="259">
        <f t="shared" si="22"/>
        <v>0</v>
      </c>
      <c r="O77" s="43">
        <v>0</v>
      </c>
    </row>
    <row r="78" spans="1:15" s="27" customFormat="1" ht="12.75" customHeight="1" x14ac:dyDescent="0.2">
      <c r="A78" s="46">
        <v>185</v>
      </c>
      <c r="B78" s="74" t="s">
        <v>253</v>
      </c>
      <c r="C78" s="48">
        <v>68330</v>
      </c>
      <c r="D78" s="48">
        <v>-57700</v>
      </c>
      <c r="E78" s="48">
        <f t="shared" si="23"/>
        <v>10630</v>
      </c>
      <c r="F78" s="50">
        <v>10630</v>
      </c>
      <c r="G78" s="50">
        <v>0</v>
      </c>
      <c r="H78" s="50">
        <f t="shared" si="14"/>
        <v>668.31999999999994</v>
      </c>
      <c r="I78" s="50">
        <v>363.55</v>
      </c>
      <c r="J78" s="48">
        <f t="shared" si="17"/>
        <v>304.76999999999992</v>
      </c>
      <c r="K78" s="50">
        <f t="shared" si="19"/>
        <v>9961.68</v>
      </c>
      <c r="L78" s="50">
        <f t="shared" si="20"/>
        <v>9961.68</v>
      </c>
      <c r="M78" s="259">
        <f t="shared" si="22"/>
        <v>6.287111947318909</v>
      </c>
      <c r="O78" s="43">
        <v>668.31999999999994</v>
      </c>
    </row>
    <row r="79" spans="1:15" s="27" customFormat="1" ht="13.5" customHeight="1" x14ac:dyDescent="0.2">
      <c r="A79" s="46" t="s">
        <v>111</v>
      </c>
      <c r="B79" s="47" t="s">
        <v>112</v>
      </c>
      <c r="C79" s="48">
        <v>26470</v>
      </c>
      <c r="D79" s="48">
        <v>16500</v>
      </c>
      <c r="E79" s="48">
        <f t="shared" si="23"/>
        <v>42970</v>
      </c>
      <c r="F79" s="50">
        <v>42970</v>
      </c>
      <c r="G79" s="50">
        <v>9.6300000000000008</v>
      </c>
      <c r="H79" s="50">
        <f t="shared" si="14"/>
        <v>23203.840000000004</v>
      </c>
      <c r="I79" s="50">
        <v>11131.03</v>
      </c>
      <c r="J79" s="48">
        <f t="shared" si="17"/>
        <v>12072.810000000003</v>
      </c>
      <c r="K79" s="50">
        <f t="shared" si="19"/>
        <v>19766.159999999996</v>
      </c>
      <c r="L79" s="50">
        <f t="shared" si="20"/>
        <v>19766.159999999996</v>
      </c>
      <c r="M79" s="259">
        <f t="shared" si="22"/>
        <v>54.000093088201083</v>
      </c>
      <c r="O79" s="43">
        <v>23194.210000000003</v>
      </c>
    </row>
    <row r="80" spans="1:15" s="27" customFormat="1" ht="13.5" customHeight="1" x14ac:dyDescent="0.2">
      <c r="A80" s="61">
        <v>190</v>
      </c>
      <c r="B80" s="52" t="s">
        <v>297</v>
      </c>
      <c r="C80" s="53">
        <f>+C82+C85</f>
        <v>0</v>
      </c>
      <c r="D80" s="53">
        <f>SUM(D81:D88)</f>
        <v>267500</v>
      </c>
      <c r="E80" s="53">
        <f t="shared" si="23"/>
        <v>267500</v>
      </c>
      <c r="F80" s="53">
        <f>SUM(F81:F88)</f>
        <v>267500</v>
      </c>
      <c r="G80" s="53">
        <f>SUM(G81:G89)</f>
        <v>7013.8600000000006</v>
      </c>
      <c r="H80" s="53">
        <f>O80+G80</f>
        <v>194188.72999999998</v>
      </c>
      <c r="I80" s="53">
        <f>SUM(I81:I88)</f>
        <v>147664.72999999998</v>
      </c>
      <c r="J80" s="53">
        <f t="shared" si="17"/>
        <v>46524</v>
      </c>
      <c r="K80" s="54">
        <f t="shared" si="19"/>
        <v>73311.270000000019</v>
      </c>
      <c r="L80" s="54">
        <f t="shared" si="20"/>
        <v>73311.270000000019</v>
      </c>
      <c r="M80" s="258">
        <f t="shared" si="22"/>
        <v>72.593917757009351</v>
      </c>
      <c r="O80" s="43">
        <v>187174.87</v>
      </c>
    </row>
    <row r="81" spans="1:15" s="27" customFormat="1" ht="13.5" customHeight="1" x14ac:dyDescent="0.2">
      <c r="A81" s="62">
        <v>191</v>
      </c>
      <c r="B81" s="47" t="s">
        <v>307</v>
      </c>
      <c r="C81" s="53"/>
      <c r="D81" s="48">
        <v>1500</v>
      </c>
      <c r="E81" s="48">
        <f>SUM(C81:D81)</f>
        <v>1500</v>
      </c>
      <c r="F81" s="48">
        <v>1500</v>
      </c>
      <c r="G81" s="53">
        <v>0</v>
      </c>
      <c r="H81" s="50">
        <f>+O81+G81</f>
        <v>1219.8</v>
      </c>
      <c r="I81" s="48">
        <v>853.86</v>
      </c>
      <c r="J81" s="48">
        <f t="shared" si="17"/>
        <v>365.93999999999994</v>
      </c>
      <c r="K81" s="54"/>
      <c r="L81" s="54"/>
      <c r="M81" s="259">
        <f t="shared" si="22"/>
        <v>81.319999999999993</v>
      </c>
      <c r="O81" s="43">
        <v>1219.8</v>
      </c>
    </row>
    <row r="82" spans="1:15" ht="12" customHeight="1" x14ac:dyDescent="0.2">
      <c r="A82" s="62">
        <v>192</v>
      </c>
      <c r="B82" s="47" t="s">
        <v>298</v>
      </c>
      <c r="C82" s="48"/>
      <c r="D82" s="48">
        <v>106000</v>
      </c>
      <c r="E82" s="48">
        <f t="shared" si="23"/>
        <v>106000</v>
      </c>
      <c r="F82" s="48">
        <v>106000</v>
      </c>
      <c r="G82" s="48">
        <v>0</v>
      </c>
      <c r="H82" s="50">
        <f>+O82+G82</f>
        <v>80840.959999999992</v>
      </c>
      <c r="I82" s="48">
        <v>76719.77</v>
      </c>
      <c r="J82" s="48">
        <f t="shared" si="17"/>
        <v>4121.1899999999878</v>
      </c>
      <c r="K82" s="50">
        <f>+F82-H82</f>
        <v>25159.040000000008</v>
      </c>
      <c r="L82" s="50">
        <f>+E82-H82</f>
        <v>25159.040000000008</v>
      </c>
      <c r="M82" s="259">
        <f t="shared" si="22"/>
        <v>76.265056603773573</v>
      </c>
      <c r="O82" s="42">
        <v>80840.959999999992</v>
      </c>
    </row>
    <row r="83" spans="1:15" ht="12" customHeight="1" x14ac:dyDescent="0.2">
      <c r="A83" s="62">
        <v>193</v>
      </c>
      <c r="B83" s="47" t="s">
        <v>308</v>
      </c>
      <c r="C83" s="48"/>
      <c r="D83" s="48">
        <v>500</v>
      </c>
      <c r="E83" s="48">
        <f t="shared" si="23"/>
        <v>500</v>
      </c>
      <c r="F83" s="48">
        <v>500</v>
      </c>
      <c r="G83" s="48">
        <v>0</v>
      </c>
      <c r="H83" s="50">
        <f>+O83+G83</f>
        <v>5.4</v>
      </c>
      <c r="I83" s="48">
        <v>5.4</v>
      </c>
      <c r="J83" s="48">
        <f t="shared" si="17"/>
        <v>0</v>
      </c>
      <c r="K83" s="50">
        <f>+F83-H83</f>
        <v>494.6</v>
      </c>
      <c r="L83" s="50">
        <f>+E83-H83</f>
        <v>494.6</v>
      </c>
      <c r="M83" s="259">
        <f t="shared" si="22"/>
        <v>1.08</v>
      </c>
      <c r="O83" s="42">
        <v>5.4</v>
      </c>
    </row>
    <row r="84" spans="1:15" ht="12" customHeight="1" x14ac:dyDescent="0.2">
      <c r="A84" s="62">
        <v>195</v>
      </c>
      <c r="B84" s="47" t="s">
        <v>309</v>
      </c>
      <c r="C84" s="48"/>
      <c r="D84" s="48">
        <v>3400</v>
      </c>
      <c r="E84" s="48">
        <f t="shared" si="23"/>
        <v>3400</v>
      </c>
      <c r="F84" s="48">
        <v>3400</v>
      </c>
      <c r="G84" s="48">
        <v>0</v>
      </c>
      <c r="H84" s="50">
        <f>+O84+G84</f>
        <v>1571</v>
      </c>
      <c r="I84" s="48">
        <v>1571</v>
      </c>
      <c r="J84" s="48">
        <f t="shared" si="17"/>
        <v>0</v>
      </c>
      <c r="K84" s="50"/>
      <c r="L84" s="50"/>
      <c r="M84" s="259">
        <f t="shared" si="22"/>
        <v>46.205882352941174</v>
      </c>
      <c r="O84" s="42">
        <v>1571</v>
      </c>
    </row>
    <row r="85" spans="1:15" ht="12" customHeight="1" x14ac:dyDescent="0.2">
      <c r="A85" s="62">
        <v>196</v>
      </c>
      <c r="B85" s="47" t="s">
        <v>299</v>
      </c>
      <c r="C85" s="48"/>
      <c r="D85" s="48">
        <v>5100</v>
      </c>
      <c r="E85" s="48">
        <f>+C85+D85</f>
        <v>5100</v>
      </c>
      <c r="F85" s="48">
        <v>5100</v>
      </c>
      <c r="G85" s="48">
        <v>0</v>
      </c>
      <c r="H85" s="50">
        <f>+O85+G85</f>
        <v>2441.41</v>
      </c>
      <c r="I85" s="48">
        <v>2459.23</v>
      </c>
      <c r="J85" s="48">
        <f t="shared" si="17"/>
        <v>-17.820000000000164</v>
      </c>
      <c r="K85" s="50">
        <f>+F85-H85</f>
        <v>2658.59</v>
      </c>
      <c r="L85" s="50">
        <f>+E85-H85</f>
        <v>2658.59</v>
      </c>
      <c r="M85" s="259">
        <f t="shared" si="22"/>
        <v>47.870784313725487</v>
      </c>
      <c r="O85" s="42">
        <v>2441.41</v>
      </c>
    </row>
    <row r="86" spans="1:15" ht="12" customHeight="1" x14ac:dyDescent="0.2">
      <c r="A86" s="62">
        <v>197</v>
      </c>
      <c r="B86" s="47" t="s">
        <v>310</v>
      </c>
      <c r="C86" s="48"/>
      <c r="D86" s="48">
        <v>72000</v>
      </c>
      <c r="E86" s="48">
        <f>+C86+D86</f>
        <v>72000</v>
      </c>
      <c r="F86" s="48">
        <v>72000</v>
      </c>
      <c r="G86" s="48">
        <v>1704.52</v>
      </c>
      <c r="H86" s="50">
        <f>O86+G86</f>
        <v>44255.57</v>
      </c>
      <c r="I86" s="48">
        <v>41137.58</v>
      </c>
      <c r="J86" s="48">
        <f t="shared" si="17"/>
        <v>3117.989999999998</v>
      </c>
      <c r="K86" s="50">
        <f>+F86-H86</f>
        <v>27744.43</v>
      </c>
      <c r="L86" s="50">
        <f>+E86-H86</f>
        <v>27744.43</v>
      </c>
      <c r="M86" s="259">
        <f t="shared" si="22"/>
        <v>61.466069444444443</v>
      </c>
      <c r="O86" s="42">
        <v>42551.05</v>
      </c>
    </row>
    <row r="87" spans="1:15" ht="12" customHeight="1" x14ac:dyDescent="0.2">
      <c r="A87" s="62">
        <v>198</v>
      </c>
      <c r="B87" s="47" t="s">
        <v>335</v>
      </c>
      <c r="C87" s="273"/>
      <c r="D87" s="48">
        <v>2000</v>
      </c>
      <c r="E87" s="48">
        <f>+C87+D87</f>
        <v>2000</v>
      </c>
      <c r="F87" s="48">
        <v>2000</v>
      </c>
      <c r="G87" s="48">
        <v>0</v>
      </c>
      <c r="H87" s="50"/>
      <c r="I87" s="48"/>
      <c r="J87" s="48">
        <f t="shared" si="17"/>
        <v>0</v>
      </c>
      <c r="K87" s="50">
        <f>+F87-H87</f>
        <v>2000</v>
      </c>
      <c r="L87" s="50"/>
      <c r="M87" s="259"/>
      <c r="O87" s="42"/>
    </row>
    <row r="88" spans="1:15" ht="13.5" customHeight="1" x14ac:dyDescent="0.2">
      <c r="A88" s="63">
        <v>199</v>
      </c>
      <c r="B88" s="78" t="s">
        <v>311</v>
      </c>
      <c r="C88" s="79"/>
      <c r="D88" s="48">
        <v>77000</v>
      </c>
      <c r="E88" s="48">
        <f>+C88+D88</f>
        <v>77000</v>
      </c>
      <c r="F88" s="48">
        <v>77000</v>
      </c>
      <c r="G88" s="48">
        <v>5309.34</v>
      </c>
      <c r="H88" s="48">
        <f>O88+G88</f>
        <v>63854.19</v>
      </c>
      <c r="I88" s="48">
        <v>24917.89</v>
      </c>
      <c r="J88" s="48">
        <f t="shared" si="17"/>
        <v>38936.300000000003</v>
      </c>
      <c r="K88" s="48">
        <f>+F88-H88</f>
        <v>13145.809999999998</v>
      </c>
      <c r="L88" s="50">
        <f>+E88-H88</f>
        <v>13145.809999999998</v>
      </c>
      <c r="M88" s="259">
        <f>+H88*100/F88</f>
        <v>82.927519480519479</v>
      </c>
      <c r="O88" s="42">
        <v>58544.850000000006</v>
      </c>
    </row>
    <row r="89" spans="1:15" ht="15" customHeight="1" thickBot="1" x14ac:dyDescent="0.25">
      <c r="A89" s="62"/>
      <c r="B89" s="80"/>
      <c r="C89" s="81"/>
      <c r="D89" s="81"/>
      <c r="E89" s="81"/>
      <c r="F89" s="81"/>
      <c r="G89" s="81"/>
      <c r="H89" s="82"/>
      <c r="I89" s="81"/>
      <c r="J89" s="81"/>
      <c r="K89" s="82"/>
      <c r="L89" s="82"/>
      <c r="M89" s="259" t="s">
        <v>2</v>
      </c>
      <c r="O89" s="42"/>
    </row>
    <row r="90" spans="1:15" ht="15.75" customHeight="1" thickBot="1" x14ac:dyDescent="0.25">
      <c r="A90" s="123" t="s">
        <v>113</v>
      </c>
      <c r="B90" s="123" t="s">
        <v>114</v>
      </c>
      <c r="C90" s="124">
        <f>+C91+C94+C100+C106+C110+C116+C124+C130+C139+C140</f>
        <v>1436100</v>
      </c>
      <c r="D90" s="124">
        <f>+D91+D94+D100+D106+D110+D116+D124+D130+D139+D140</f>
        <v>982000</v>
      </c>
      <c r="E90" s="124">
        <f t="shared" ref="E90:E105" si="24">+C90+D90</f>
        <v>2418100</v>
      </c>
      <c r="F90" s="124">
        <f>+F91+F94+F100+F106+F110+F116+F124+F130+F139+F140</f>
        <v>2412483</v>
      </c>
      <c r="G90" s="125">
        <f>+G91+G94+G100+G106+G110+G116+G124+G130+G139+G140</f>
        <v>292730.05400000006</v>
      </c>
      <c r="H90" s="125">
        <f>O90+G90</f>
        <v>1178096.594</v>
      </c>
      <c r="I90" s="275">
        <f>+I91+I94+I100+I106+I110+I116+I124+I130+I139+I140</f>
        <v>557107.07999999996</v>
      </c>
      <c r="J90" s="125">
        <f>+J91+J94+J100+J106+J110+J116+J124+J130+J139+J140</f>
        <v>620988.76399999997</v>
      </c>
      <c r="K90" s="126">
        <f>+F90-H90+1</f>
        <v>1234387.406</v>
      </c>
      <c r="L90" s="127">
        <f t="shared" ref="L90:L121" si="25">+E90-H90</f>
        <v>1240003.406</v>
      </c>
      <c r="M90" s="261">
        <f t="shared" ref="M90:M121" si="26">+H90*100/F90</f>
        <v>48.833363551162847</v>
      </c>
      <c r="O90" s="42">
        <v>885366.53999999992</v>
      </c>
    </row>
    <row r="91" spans="1:15" s="27" customFormat="1" ht="16.5" customHeight="1" x14ac:dyDescent="0.2">
      <c r="A91" s="64" t="s">
        <v>115</v>
      </c>
      <c r="B91" s="143" t="s">
        <v>116</v>
      </c>
      <c r="C91" s="144">
        <f>SUM(C92:C93)</f>
        <v>93182</v>
      </c>
      <c r="D91" s="277">
        <f>SUM(D92:D93)</f>
        <v>-13400</v>
      </c>
      <c r="E91" s="144">
        <f t="shared" si="24"/>
        <v>79782</v>
      </c>
      <c r="F91" s="144">
        <f>SUM(F92:F93)</f>
        <v>79782</v>
      </c>
      <c r="G91" s="83">
        <f>SUM(G92:G93)</f>
        <v>1496.22</v>
      </c>
      <c r="H91" s="84">
        <f>O91+G91</f>
        <v>9856.7899999999991</v>
      </c>
      <c r="I91" s="144">
        <f>SUM(I92:I93)</f>
        <v>9458.2199999999993</v>
      </c>
      <c r="J91" s="276">
        <f t="shared" ref="J91:J154" si="27">H91-I91</f>
        <v>398.56999999999971</v>
      </c>
      <c r="K91" s="84">
        <f t="shared" ref="K91:K122" si="28">+F91-H91</f>
        <v>69925.210000000006</v>
      </c>
      <c r="L91" s="145">
        <f t="shared" si="25"/>
        <v>69925.210000000006</v>
      </c>
      <c r="M91" s="262">
        <f t="shared" si="26"/>
        <v>12.354653931964602</v>
      </c>
      <c r="O91" s="43">
        <v>8360.57</v>
      </c>
    </row>
    <row r="92" spans="1:15" s="27" customFormat="1" ht="13.5" customHeight="1" x14ac:dyDescent="0.2">
      <c r="A92" s="65" t="s">
        <v>117</v>
      </c>
      <c r="B92" s="146" t="s">
        <v>118</v>
      </c>
      <c r="C92" s="89">
        <v>74097</v>
      </c>
      <c r="D92" s="89">
        <v>-5400</v>
      </c>
      <c r="E92" s="89">
        <f t="shared" si="24"/>
        <v>68697</v>
      </c>
      <c r="F92" s="147">
        <v>68697</v>
      </c>
      <c r="G92" s="85">
        <v>1102.71</v>
      </c>
      <c r="H92" s="50">
        <f t="shared" ref="H92:H123" si="29">+O92+G92</f>
        <v>8185.87</v>
      </c>
      <c r="I92" s="89">
        <v>7998.71</v>
      </c>
      <c r="J92" s="48">
        <f t="shared" si="27"/>
        <v>187.15999999999985</v>
      </c>
      <c r="K92" s="50">
        <f t="shared" si="28"/>
        <v>60511.13</v>
      </c>
      <c r="L92" s="113">
        <f t="shared" si="25"/>
        <v>60511.13</v>
      </c>
      <c r="M92" s="263">
        <f t="shared" si="26"/>
        <v>11.91590608032374</v>
      </c>
      <c r="O92" s="43">
        <v>7083.16</v>
      </c>
    </row>
    <row r="93" spans="1:15" s="27" customFormat="1" ht="13.5" customHeight="1" x14ac:dyDescent="0.2">
      <c r="A93" s="62" t="s">
        <v>119</v>
      </c>
      <c r="B93" s="148" t="s">
        <v>120</v>
      </c>
      <c r="C93" s="89">
        <v>19085</v>
      </c>
      <c r="D93" s="89">
        <v>-8000</v>
      </c>
      <c r="E93" s="89">
        <f t="shared" si="24"/>
        <v>11085</v>
      </c>
      <c r="F93" s="86">
        <v>11085</v>
      </c>
      <c r="G93" s="87">
        <v>393.51</v>
      </c>
      <c r="H93" s="50">
        <f t="shared" si="29"/>
        <v>1671.51</v>
      </c>
      <c r="I93" s="113">
        <v>1459.51</v>
      </c>
      <c r="J93" s="48">
        <f t="shared" si="27"/>
        <v>212</v>
      </c>
      <c r="K93" s="50">
        <f t="shared" si="28"/>
        <v>9413.49</v>
      </c>
      <c r="L93" s="113">
        <f t="shared" si="25"/>
        <v>9413.49</v>
      </c>
      <c r="M93" s="263">
        <f t="shared" si="26"/>
        <v>15.079025710419486</v>
      </c>
      <c r="O93" s="43">
        <v>1278</v>
      </c>
    </row>
    <row r="94" spans="1:15" s="27" customFormat="1" x14ac:dyDescent="0.2">
      <c r="A94" s="66" t="s">
        <v>121</v>
      </c>
      <c r="B94" s="149" t="s">
        <v>122</v>
      </c>
      <c r="C94" s="108">
        <f>SUM(C95:C99)</f>
        <v>58503</v>
      </c>
      <c r="D94" s="108">
        <f>SUM(D95:D99)</f>
        <v>150750</v>
      </c>
      <c r="E94" s="108">
        <f t="shared" si="24"/>
        <v>209253</v>
      </c>
      <c r="F94" s="88">
        <f>SUM(F95:F99)</f>
        <v>209253</v>
      </c>
      <c r="G94" s="88">
        <f>SUM(G95:G99)</f>
        <v>20075.84</v>
      </c>
      <c r="H94" s="54">
        <f t="shared" si="29"/>
        <v>73494.7</v>
      </c>
      <c r="I94" s="108">
        <f>SUM(I95:I99)</f>
        <v>17642.07</v>
      </c>
      <c r="J94" s="53">
        <f t="shared" si="27"/>
        <v>55852.63</v>
      </c>
      <c r="K94" s="54">
        <f t="shared" si="28"/>
        <v>135758.29999999999</v>
      </c>
      <c r="L94" s="109">
        <f t="shared" si="25"/>
        <v>135758.29999999999</v>
      </c>
      <c r="M94" s="264">
        <f t="shared" si="26"/>
        <v>35.122411626117668</v>
      </c>
      <c r="O94" s="43">
        <v>53418.86</v>
      </c>
    </row>
    <row r="95" spans="1:15" s="27" customFormat="1" ht="12" customHeight="1" x14ac:dyDescent="0.2">
      <c r="A95" s="65" t="s">
        <v>123</v>
      </c>
      <c r="B95" s="146" t="s">
        <v>124</v>
      </c>
      <c r="C95" s="89">
        <v>22381</v>
      </c>
      <c r="D95" s="89">
        <v>-4600</v>
      </c>
      <c r="E95" s="89">
        <f t="shared" si="24"/>
        <v>17781</v>
      </c>
      <c r="F95" s="86">
        <v>17781</v>
      </c>
      <c r="G95" s="87">
        <v>1461.03</v>
      </c>
      <c r="H95" s="50">
        <f t="shared" si="29"/>
        <v>9965.92</v>
      </c>
      <c r="I95" s="113">
        <v>4407.7</v>
      </c>
      <c r="J95" s="48">
        <f t="shared" si="27"/>
        <v>5558.22</v>
      </c>
      <c r="K95" s="50">
        <f t="shared" si="28"/>
        <v>7815.08</v>
      </c>
      <c r="L95" s="113">
        <f t="shared" si="25"/>
        <v>7815.08</v>
      </c>
      <c r="M95" s="263">
        <f t="shared" si="26"/>
        <v>56.048141274394013</v>
      </c>
      <c r="O95" s="43">
        <v>8504.89</v>
      </c>
    </row>
    <row r="96" spans="1:15" s="27" customFormat="1" ht="12" customHeight="1" x14ac:dyDescent="0.2">
      <c r="A96" s="62" t="s">
        <v>125</v>
      </c>
      <c r="B96" s="148" t="s">
        <v>126</v>
      </c>
      <c r="C96" s="89">
        <v>10000</v>
      </c>
      <c r="D96" s="89">
        <v>27500</v>
      </c>
      <c r="E96" s="89">
        <f t="shared" si="24"/>
        <v>37500</v>
      </c>
      <c r="F96" s="86">
        <v>37500</v>
      </c>
      <c r="G96" s="87">
        <v>12920.74</v>
      </c>
      <c r="H96" s="50">
        <f t="shared" si="29"/>
        <v>22206.409999999996</v>
      </c>
      <c r="I96" s="113">
        <v>7257.36</v>
      </c>
      <c r="J96" s="48">
        <f t="shared" si="27"/>
        <v>14949.049999999996</v>
      </c>
      <c r="K96" s="50">
        <f t="shared" si="28"/>
        <v>15293.590000000004</v>
      </c>
      <c r="L96" s="113">
        <f t="shared" si="25"/>
        <v>15293.590000000004</v>
      </c>
      <c r="M96" s="263">
        <f t="shared" si="26"/>
        <v>59.217093333333324</v>
      </c>
      <c r="O96" s="43">
        <v>9285.6699999999983</v>
      </c>
    </row>
    <row r="97" spans="1:15" s="27" customFormat="1" ht="12" customHeight="1" x14ac:dyDescent="0.2">
      <c r="A97" s="62" t="s">
        <v>127</v>
      </c>
      <c r="B97" s="148" t="s">
        <v>128</v>
      </c>
      <c r="C97" s="89">
        <v>5000</v>
      </c>
      <c r="D97" s="89">
        <v>3150</v>
      </c>
      <c r="E97" s="89">
        <f t="shared" si="24"/>
        <v>8150</v>
      </c>
      <c r="F97" s="86">
        <v>8150</v>
      </c>
      <c r="G97" s="87">
        <f>54.98-40.62</f>
        <v>14.36</v>
      </c>
      <c r="H97" s="50">
        <f t="shared" si="29"/>
        <v>2680.42</v>
      </c>
      <c r="I97" s="113">
        <v>745.39</v>
      </c>
      <c r="J97" s="48">
        <f t="shared" si="27"/>
        <v>1935.0300000000002</v>
      </c>
      <c r="K97" s="50">
        <f t="shared" si="28"/>
        <v>5469.58</v>
      </c>
      <c r="L97" s="113">
        <f t="shared" si="25"/>
        <v>5469.58</v>
      </c>
      <c r="M97" s="263">
        <f t="shared" si="26"/>
        <v>32.888588957055212</v>
      </c>
      <c r="O97" s="43">
        <v>2666.06</v>
      </c>
    </row>
    <row r="98" spans="1:15" s="27" customFormat="1" ht="13.5" customHeight="1" x14ac:dyDescent="0.2">
      <c r="A98" s="62" t="s">
        <v>129</v>
      </c>
      <c r="B98" s="148" t="s">
        <v>130</v>
      </c>
      <c r="C98" s="89">
        <v>21122</v>
      </c>
      <c r="D98" s="89">
        <v>115800</v>
      </c>
      <c r="E98" s="89">
        <f t="shared" si="24"/>
        <v>136922</v>
      </c>
      <c r="F98" s="86">
        <v>136922</v>
      </c>
      <c r="G98" s="87">
        <v>5319.12</v>
      </c>
      <c r="H98" s="50">
        <f t="shared" si="29"/>
        <v>38012.370000000003</v>
      </c>
      <c r="I98" s="113">
        <v>4935.88</v>
      </c>
      <c r="J98" s="48">
        <f t="shared" si="27"/>
        <v>33076.490000000005</v>
      </c>
      <c r="K98" s="50">
        <f t="shared" si="28"/>
        <v>98909.63</v>
      </c>
      <c r="L98" s="113">
        <f t="shared" si="25"/>
        <v>98909.63</v>
      </c>
      <c r="M98" s="263">
        <f t="shared" si="26"/>
        <v>27.762061611720544</v>
      </c>
      <c r="O98" s="43">
        <v>32693.25</v>
      </c>
    </row>
    <row r="99" spans="1:15" s="27" customFormat="1" ht="13.5" customHeight="1" x14ac:dyDescent="0.2">
      <c r="A99" s="62" t="s">
        <v>131</v>
      </c>
      <c r="B99" s="148" t="s">
        <v>132</v>
      </c>
      <c r="C99" s="89">
        <v>0</v>
      </c>
      <c r="D99" s="89">
        <v>8900</v>
      </c>
      <c r="E99" s="89">
        <f t="shared" si="24"/>
        <v>8900</v>
      </c>
      <c r="F99" s="86">
        <v>8900</v>
      </c>
      <c r="G99" s="87">
        <v>360.59</v>
      </c>
      <c r="H99" s="50">
        <f t="shared" si="29"/>
        <v>629.57999999999993</v>
      </c>
      <c r="I99" s="113">
        <v>295.74</v>
      </c>
      <c r="J99" s="48">
        <f t="shared" si="27"/>
        <v>333.83999999999992</v>
      </c>
      <c r="K99" s="50">
        <f t="shared" si="28"/>
        <v>8270.42</v>
      </c>
      <c r="L99" s="113">
        <f t="shared" si="25"/>
        <v>8270.42</v>
      </c>
      <c r="M99" s="263">
        <f t="shared" si="26"/>
        <v>7.0739325842696621</v>
      </c>
      <c r="O99" s="43">
        <v>268.99</v>
      </c>
    </row>
    <row r="100" spans="1:15" s="27" customFormat="1" ht="20.25" customHeight="1" x14ac:dyDescent="0.2">
      <c r="A100" s="67" t="s">
        <v>133</v>
      </c>
      <c r="B100" s="144" t="s">
        <v>134</v>
      </c>
      <c r="C100" s="144">
        <f>SUM(C101:C105)</f>
        <v>162732</v>
      </c>
      <c r="D100" s="144">
        <f>SUM(D101:D105)</f>
        <v>21800</v>
      </c>
      <c r="E100" s="144">
        <f t="shared" si="24"/>
        <v>184532</v>
      </c>
      <c r="F100" s="83">
        <f>SUM(F101:F105)</f>
        <v>184532</v>
      </c>
      <c r="G100" s="83">
        <f>SUM(G101:G105)</f>
        <v>5009.08</v>
      </c>
      <c r="H100" s="84">
        <f t="shared" si="29"/>
        <v>145745.25</v>
      </c>
      <c r="I100" s="144">
        <f>SUM(I101:I105)</f>
        <v>8574.06</v>
      </c>
      <c r="J100" s="276">
        <f t="shared" si="27"/>
        <v>137171.19</v>
      </c>
      <c r="K100" s="84">
        <f t="shared" si="28"/>
        <v>38786.75</v>
      </c>
      <c r="L100" s="145">
        <f t="shared" si="25"/>
        <v>38786.75</v>
      </c>
      <c r="M100" s="262">
        <f t="shared" si="26"/>
        <v>78.981016842607247</v>
      </c>
      <c r="N100" s="6"/>
      <c r="O100" s="43">
        <v>140736.17000000001</v>
      </c>
    </row>
    <row r="101" spans="1:15" s="27" customFormat="1" ht="12" customHeight="1" x14ac:dyDescent="0.2">
      <c r="A101" s="65" t="s">
        <v>135</v>
      </c>
      <c r="B101" s="146" t="s">
        <v>136</v>
      </c>
      <c r="C101" s="89">
        <v>115696</v>
      </c>
      <c r="D101" s="89">
        <v>-10000</v>
      </c>
      <c r="E101" s="89">
        <f t="shared" si="24"/>
        <v>105696</v>
      </c>
      <c r="F101" s="86">
        <v>105696</v>
      </c>
      <c r="G101" s="87">
        <v>0</v>
      </c>
      <c r="H101" s="50">
        <f t="shared" si="29"/>
        <v>97905.23000000001</v>
      </c>
      <c r="I101" s="113">
        <v>0</v>
      </c>
      <c r="J101" s="48">
        <f t="shared" si="27"/>
        <v>97905.23000000001</v>
      </c>
      <c r="K101" s="50">
        <f t="shared" si="28"/>
        <v>7790.7699999999895</v>
      </c>
      <c r="L101" s="113">
        <f t="shared" si="25"/>
        <v>7790.7699999999895</v>
      </c>
      <c r="M101" s="263">
        <f t="shared" si="26"/>
        <v>92.629077732364536</v>
      </c>
      <c r="O101" s="43">
        <v>97905.23000000001</v>
      </c>
    </row>
    <row r="102" spans="1:15" s="27" customFormat="1" ht="12" customHeight="1" x14ac:dyDescent="0.2">
      <c r="A102" s="68">
        <v>222</v>
      </c>
      <c r="B102" s="146" t="s">
        <v>239</v>
      </c>
      <c r="C102" s="89">
        <v>19662</v>
      </c>
      <c r="D102" s="89">
        <v>18300</v>
      </c>
      <c r="E102" s="89">
        <f t="shared" si="24"/>
        <v>37962</v>
      </c>
      <c r="F102" s="147">
        <v>37962</v>
      </c>
      <c r="G102" s="85">
        <v>3768.76</v>
      </c>
      <c r="H102" s="50">
        <f t="shared" si="29"/>
        <v>20636.480000000003</v>
      </c>
      <c r="I102" s="113">
        <v>4191.1899999999996</v>
      </c>
      <c r="J102" s="48">
        <f t="shared" si="27"/>
        <v>16445.290000000005</v>
      </c>
      <c r="K102" s="50">
        <f t="shared" si="28"/>
        <v>17325.519999999997</v>
      </c>
      <c r="L102" s="113">
        <f t="shared" si="25"/>
        <v>17325.519999999997</v>
      </c>
      <c r="M102" s="263">
        <f t="shared" si="26"/>
        <v>54.360887202992473</v>
      </c>
      <c r="O102" s="43">
        <v>16867.72</v>
      </c>
    </row>
    <row r="103" spans="1:15" s="27" customFormat="1" ht="16.149999999999999" customHeight="1" x14ac:dyDescent="0.2">
      <c r="A103" s="62" t="s">
        <v>137</v>
      </c>
      <c r="B103" s="148" t="s">
        <v>138</v>
      </c>
      <c r="C103" s="89">
        <v>20320</v>
      </c>
      <c r="D103" s="89"/>
      <c r="E103" s="89">
        <f t="shared" si="24"/>
        <v>20320</v>
      </c>
      <c r="F103" s="86">
        <v>20320</v>
      </c>
      <c r="G103" s="87">
        <v>0</v>
      </c>
      <c r="H103" s="50">
        <f t="shared" si="29"/>
        <v>20319.34</v>
      </c>
      <c r="I103" s="113">
        <v>0</v>
      </c>
      <c r="J103" s="48">
        <f t="shared" si="27"/>
        <v>20319.34</v>
      </c>
      <c r="K103" s="50">
        <f t="shared" si="28"/>
        <v>0.65999999999985448</v>
      </c>
      <c r="L103" s="113">
        <f t="shared" si="25"/>
        <v>0.65999999999985448</v>
      </c>
      <c r="M103" s="263">
        <f t="shared" si="26"/>
        <v>99.996751968503943</v>
      </c>
      <c r="O103" s="43">
        <v>20319.34</v>
      </c>
    </row>
    <row r="104" spans="1:15" s="27" customFormat="1" ht="14.25" customHeight="1" x14ac:dyDescent="0.2">
      <c r="A104" s="62" t="s">
        <v>139</v>
      </c>
      <c r="B104" s="148" t="s">
        <v>140</v>
      </c>
      <c r="C104" s="89">
        <v>6000</v>
      </c>
      <c r="D104" s="89">
        <v>8200</v>
      </c>
      <c r="E104" s="89">
        <f t="shared" si="24"/>
        <v>14200</v>
      </c>
      <c r="F104" s="86">
        <v>14200</v>
      </c>
      <c r="G104" s="87">
        <v>294.13</v>
      </c>
      <c r="H104" s="50">
        <f t="shared" si="29"/>
        <v>5041.79</v>
      </c>
      <c r="I104" s="113">
        <v>3729.59</v>
      </c>
      <c r="J104" s="48">
        <f t="shared" si="27"/>
        <v>1312.1999999999998</v>
      </c>
      <c r="K104" s="50">
        <f t="shared" si="28"/>
        <v>9158.2099999999991</v>
      </c>
      <c r="L104" s="113">
        <f t="shared" si="25"/>
        <v>9158.2099999999991</v>
      </c>
      <c r="M104" s="263">
        <f t="shared" si="26"/>
        <v>35.505563380281693</v>
      </c>
      <c r="O104" s="43">
        <v>4747.66</v>
      </c>
    </row>
    <row r="105" spans="1:15" s="27" customFormat="1" ht="14.45" customHeight="1" x14ac:dyDescent="0.2">
      <c r="A105" s="62">
        <v>229</v>
      </c>
      <c r="B105" s="148" t="s">
        <v>141</v>
      </c>
      <c r="C105" s="89">
        <v>1054</v>
      </c>
      <c r="D105" s="89">
        <v>5300</v>
      </c>
      <c r="E105" s="89">
        <f t="shared" si="24"/>
        <v>6354</v>
      </c>
      <c r="F105" s="86">
        <v>6354</v>
      </c>
      <c r="G105" s="87">
        <v>946.19</v>
      </c>
      <c r="H105" s="50">
        <f t="shared" si="29"/>
        <v>1843.41</v>
      </c>
      <c r="I105" s="113">
        <v>653.28</v>
      </c>
      <c r="J105" s="48">
        <f t="shared" si="27"/>
        <v>1190.1300000000001</v>
      </c>
      <c r="K105" s="50">
        <f t="shared" si="28"/>
        <v>4510.59</v>
      </c>
      <c r="L105" s="113">
        <f t="shared" si="25"/>
        <v>4510.59</v>
      </c>
      <c r="M105" s="263">
        <f t="shared" si="26"/>
        <v>29.011803588290839</v>
      </c>
      <c r="O105" s="43">
        <v>897.22</v>
      </c>
    </row>
    <row r="106" spans="1:15" s="27" customFormat="1" ht="16.5" customHeight="1" x14ac:dyDescent="0.2">
      <c r="A106" s="67" t="s">
        <v>142</v>
      </c>
      <c r="B106" s="144" t="s">
        <v>143</v>
      </c>
      <c r="C106" s="144">
        <f>SUM(C107:C109)</f>
        <v>76876</v>
      </c>
      <c r="D106" s="144">
        <f>SUM(D107:D109)</f>
        <v>11300</v>
      </c>
      <c r="E106" s="144">
        <f t="shared" ref="E106:E115" si="30">+C106+D106</f>
        <v>88176</v>
      </c>
      <c r="F106" s="83">
        <f>SUM(F107:F109)</f>
        <v>88176</v>
      </c>
      <c r="G106" s="83">
        <f>SUM(G107:G109)</f>
        <v>38799.21</v>
      </c>
      <c r="H106" s="54">
        <f t="shared" si="29"/>
        <v>59480.789999999994</v>
      </c>
      <c r="I106" s="144">
        <f>SUM(I107:I109)</f>
        <v>24356.67</v>
      </c>
      <c r="J106" s="53">
        <f t="shared" si="27"/>
        <v>35124.119999999995</v>
      </c>
      <c r="K106" s="84">
        <f t="shared" si="28"/>
        <v>28695.210000000006</v>
      </c>
      <c r="L106" s="145">
        <f t="shared" si="25"/>
        <v>28695.210000000006</v>
      </c>
      <c r="M106" s="262">
        <f t="shared" si="26"/>
        <v>67.456893032117577</v>
      </c>
      <c r="O106" s="43">
        <v>20681.579999999998</v>
      </c>
    </row>
    <row r="107" spans="1:15" s="27" customFormat="1" ht="12.75" customHeight="1" x14ac:dyDescent="0.2">
      <c r="A107" s="65" t="s">
        <v>144</v>
      </c>
      <c r="B107" s="146" t="s">
        <v>145</v>
      </c>
      <c r="C107" s="89">
        <v>12496</v>
      </c>
      <c r="D107" s="89">
        <v>-1000</v>
      </c>
      <c r="E107" s="89">
        <f t="shared" si="30"/>
        <v>11496</v>
      </c>
      <c r="F107" s="86">
        <v>11496</v>
      </c>
      <c r="G107" s="87">
        <v>3889.46</v>
      </c>
      <c r="H107" s="50">
        <f t="shared" si="29"/>
        <v>9189.64</v>
      </c>
      <c r="I107" s="113">
        <v>5300.18</v>
      </c>
      <c r="J107" s="48">
        <f t="shared" si="27"/>
        <v>3889.4599999999991</v>
      </c>
      <c r="K107" s="50">
        <f t="shared" si="28"/>
        <v>2306.3600000000006</v>
      </c>
      <c r="L107" s="113">
        <f t="shared" si="25"/>
        <v>2306.3600000000006</v>
      </c>
      <c r="M107" s="263">
        <f t="shared" si="26"/>
        <v>79.937717466945031</v>
      </c>
      <c r="O107" s="43">
        <v>5300.1799999999994</v>
      </c>
    </row>
    <row r="108" spans="1:15" s="27" customFormat="1" ht="12.75" customHeight="1" x14ac:dyDescent="0.2">
      <c r="A108" s="62" t="s">
        <v>146</v>
      </c>
      <c r="B108" s="148" t="s">
        <v>147</v>
      </c>
      <c r="C108" s="89">
        <v>37587</v>
      </c>
      <c r="D108" s="89">
        <v>16200</v>
      </c>
      <c r="E108" s="89">
        <f t="shared" si="30"/>
        <v>53787</v>
      </c>
      <c r="F108" s="86">
        <v>53787</v>
      </c>
      <c r="G108" s="87">
        <v>27568.48</v>
      </c>
      <c r="H108" s="50">
        <f t="shared" si="29"/>
        <v>38210.639999999999</v>
      </c>
      <c r="I108" s="113">
        <v>14317.25</v>
      </c>
      <c r="J108" s="48">
        <f t="shared" si="27"/>
        <v>23893.39</v>
      </c>
      <c r="K108" s="50">
        <f t="shared" si="28"/>
        <v>15576.36</v>
      </c>
      <c r="L108" s="113">
        <f t="shared" si="25"/>
        <v>15576.36</v>
      </c>
      <c r="M108" s="263">
        <f t="shared" si="26"/>
        <v>71.040660382620331</v>
      </c>
      <c r="O108" s="43">
        <v>10642.16</v>
      </c>
    </row>
    <row r="109" spans="1:15" s="27" customFormat="1" ht="15" customHeight="1" x14ac:dyDescent="0.2">
      <c r="A109" s="62" t="s">
        <v>148</v>
      </c>
      <c r="B109" s="148" t="s">
        <v>149</v>
      </c>
      <c r="C109" s="89">
        <v>26793</v>
      </c>
      <c r="D109" s="89">
        <v>-3900</v>
      </c>
      <c r="E109" s="89">
        <f t="shared" si="30"/>
        <v>22893</v>
      </c>
      <c r="F109" s="86">
        <v>22893</v>
      </c>
      <c r="G109" s="87">
        <v>7341.27</v>
      </c>
      <c r="H109" s="50">
        <f t="shared" si="29"/>
        <v>12080.51</v>
      </c>
      <c r="I109" s="113">
        <v>4739.24</v>
      </c>
      <c r="J109" s="48">
        <f t="shared" si="27"/>
        <v>7341.27</v>
      </c>
      <c r="K109" s="50">
        <f t="shared" si="28"/>
        <v>10812.49</v>
      </c>
      <c r="L109" s="113">
        <f t="shared" si="25"/>
        <v>10812.49</v>
      </c>
      <c r="M109" s="263">
        <f t="shared" si="26"/>
        <v>52.769449176604205</v>
      </c>
      <c r="O109" s="43">
        <v>4739.24</v>
      </c>
    </row>
    <row r="110" spans="1:15" s="27" customFormat="1" ht="20.25" customHeight="1" x14ac:dyDescent="0.2">
      <c r="A110" s="67" t="s">
        <v>150</v>
      </c>
      <c r="B110" s="144" t="s">
        <v>151</v>
      </c>
      <c r="C110" s="144">
        <f>SUM(C111:C115)</f>
        <v>124326</v>
      </c>
      <c r="D110" s="144">
        <f>SUM(D111:D115)</f>
        <v>131750</v>
      </c>
      <c r="E110" s="144">
        <f t="shared" si="30"/>
        <v>256076</v>
      </c>
      <c r="F110" s="83">
        <f>SUM(F111:F115)</f>
        <v>253608</v>
      </c>
      <c r="G110" s="83">
        <f>SUM(G111:G115)</f>
        <v>52425.91</v>
      </c>
      <c r="H110" s="84">
        <f t="shared" si="29"/>
        <v>108366.04000000001</v>
      </c>
      <c r="I110" s="144">
        <f>SUM(I111:I115)</f>
        <v>51128.53</v>
      </c>
      <c r="J110" s="276">
        <f t="shared" si="27"/>
        <v>57237.510000000009</v>
      </c>
      <c r="K110" s="84">
        <f t="shared" si="28"/>
        <v>145241.96</v>
      </c>
      <c r="L110" s="145">
        <f t="shared" si="25"/>
        <v>147709.96</v>
      </c>
      <c r="M110" s="262">
        <f t="shared" si="26"/>
        <v>42.729740386738591</v>
      </c>
      <c r="O110" s="43">
        <v>55940.130000000005</v>
      </c>
    </row>
    <row r="111" spans="1:15" s="27" customFormat="1" ht="14.25" customHeight="1" x14ac:dyDescent="0.2">
      <c r="A111" s="62" t="s">
        <v>152</v>
      </c>
      <c r="B111" s="146" t="s">
        <v>153</v>
      </c>
      <c r="C111" s="89">
        <v>1000</v>
      </c>
      <c r="D111" s="89">
        <v>3900</v>
      </c>
      <c r="E111" s="89">
        <f t="shared" si="30"/>
        <v>4900</v>
      </c>
      <c r="F111" s="86">
        <v>4900</v>
      </c>
      <c r="G111" s="87">
        <v>170</v>
      </c>
      <c r="H111" s="50">
        <f t="shared" si="29"/>
        <v>1124.75</v>
      </c>
      <c r="I111" s="113">
        <v>954.75</v>
      </c>
      <c r="J111" s="48">
        <f t="shared" si="27"/>
        <v>170</v>
      </c>
      <c r="K111" s="50">
        <f t="shared" si="28"/>
        <v>3775.25</v>
      </c>
      <c r="L111" s="113">
        <f t="shared" si="25"/>
        <v>3775.25</v>
      </c>
      <c r="M111" s="263">
        <f t="shared" si="26"/>
        <v>22.954081632653061</v>
      </c>
      <c r="O111" s="43">
        <v>954.75</v>
      </c>
    </row>
    <row r="112" spans="1:15" s="27" customFormat="1" ht="14.25" customHeight="1" x14ac:dyDescent="0.2">
      <c r="A112" s="62" t="s">
        <v>154</v>
      </c>
      <c r="B112" s="148" t="s">
        <v>155</v>
      </c>
      <c r="C112" s="89">
        <v>2550</v>
      </c>
      <c r="D112" s="89">
        <v>52000</v>
      </c>
      <c r="E112" s="89">
        <f t="shared" si="30"/>
        <v>54550</v>
      </c>
      <c r="F112" s="86">
        <v>54550</v>
      </c>
      <c r="G112" s="87">
        <v>16886.73</v>
      </c>
      <c r="H112" s="50">
        <f t="shared" si="29"/>
        <v>30327.35</v>
      </c>
      <c r="I112" s="113">
        <v>6518.43</v>
      </c>
      <c r="J112" s="48">
        <f t="shared" si="27"/>
        <v>23808.92</v>
      </c>
      <c r="K112" s="50">
        <f t="shared" si="28"/>
        <v>24222.65</v>
      </c>
      <c r="L112" s="113">
        <f t="shared" si="25"/>
        <v>24222.65</v>
      </c>
      <c r="M112" s="263">
        <f t="shared" si="26"/>
        <v>55.595508707607699</v>
      </c>
      <c r="O112" s="43">
        <v>13440.619999999999</v>
      </c>
    </row>
    <row r="113" spans="1:15" s="27" customFormat="1" ht="17.25" customHeight="1" x14ac:dyDescent="0.2">
      <c r="A113" s="62" t="s">
        <v>156</v>
      </c>
      <c r="B113" s="148" t="s">
        <v>157</v>
      </c>
      <c r="C113" s="89">
        <v>30525</v>
      </c>
      <c r="D113" s="89">
        <v>51900</v>
      </c>
      <c r="E113" s="89">
        <f t="shared" si="30"/>
        <v>82425</v>
      </c>
      <c r="F113" s="86">
        <v>82425</v>
      </c>
      <c r="G113" s="87">
        <v>7656.29</v>
      </c>
      <c r="H113" s="50">
        <f t="shared" si="29"/>
        <v>32813.359999999993</v>
      </c>
      <c r="I113" s="113">
        <v>26747.35</v>
      </c>
      <c r="J113" s="48">
        <f t="shared" si="27"/>
        <v>6066.0099999999948</v>
      </c>
      <c r="K113" s="50">
        <f t="shared" si="28"/>
        <v>49611.640000000007</v>
      </c>
      <c r="L113" s="113">
        <f t="shared" si="25"/>
        <v>49611.640000000007</v>
      </c>
      <c r="M113" s="263">
        <f t="shared" si="26"/>
        <v>39.809960570215338</v>
      </c>
      <c r="O113" s="43">
        <v>25157.069999999996</v>
      </c>
    </row>
    <row r="114" spans="1:15" s="27" customFormat="1" ht="16.5" customHeight="1" x14ac:dyDescent="0.2">
      <c r="A114" s="62" t="s">
        <v>158</v>
      </c>
      <c r="B114" s="148" t="s">
        <v>159</v>
      </c>
      <c r="C114" s="89">
        <v>61119</v>
      </c>
      <c r="D114" s="89">
        <v>-42400</v>
      </c>
      <c r="E114" s="89">
        <f t="shared" si="30"/>
        <v>18719</v>
      </c>
      <c r="F114" s="86">
        <v>16251</v>
      </c>
      <c r="G114" s="87">
        <v>111.28</v>
      </c>
      <c r="H114" s="50">
        <f t="shared" si="29"/>
        <v>258.94</v>
      </c>
      <c r="I114" s="113">
        <v>147.66</v>
      </c>
      <c r="J114" s="48">
        <f t="shared" si="27"/>
        <v>111.28</v>
      </c>
      <c r="K114" s="50">
        <f t="shared" si="28"/>
        <v>15992.06</v>
      </c>
      <c r="L114" s="113">
        <f t="shared" si="25"/>
        <v>18460.060000000001</v>
      </c>
      <c r="M114" s="263">
        <f t="shared" si="26"/>
        <v>1.5933788689926773</v>
      </c>
      <c r="O114" s="43">
        <v>147.66</v>
      </c>
    </row>
    <row r="115" spans="1:15" s="27" customFormat="1" ht="16.5" customHeight="1" x14ac:dyDescent="0.2">
      <c r="A115" s="62" t="s">
        <v>160</v>
      </c>
      <c r="B115" s="148" t="s">
        <v>161</v>
      </c>
      <c r="C115" s="89">
        <v>29132</v>
      </c>
      <c r="D115" s="89">
        <v>66350</v>
      </c>
      <c r="E115" s="89">
        <f t="shared" si="30"/>
        <v>95482</v>
      </c>
      <c r="F115" s="147">
        <v>95482</v>
      </c>
      <c r="G115" s="85">
        <f>27756.61-155</f>
        <v>27601.61</v>
      </c>
      <c r="H115" s="50">
        <f t="shared" si="29"/>
        <v>43841.64</v>
      </c>
      <c r="I115" s="113">
        <v>16760.34</v>
      </c>
      <c r="J115" s="48">
        <f t="shared" si="27"/>
        <v>27081.3</v>
      </c>
      <c r="K115" s="50">
        <f t="shared" si="28"/>
        <v>51640.36</v>
      </c>
      <c r="L115" s="113">
        <f t="shared" si="25"/>
        <v>51640.36</v>
      </c>
      <c r="M115" s="263">
        <f t="shared" si="26"/>
        <v>45.916130789049248</v>
      </c>
      <c r="O115" s="43">
        <v>16240.03</v>
      </c>
    </row>
    <row r="116" spans="1:15" s="27" customFormat="1" ht="20.25" customHeight="1" x14ac:dyDescent="0.2">
      <c r="A116" s="67" t="s">
        <v>162</v>
      </c>
      <c r="B116" s="144" t="s">
        <v>163</v>
      </c>
      <c r="C116" s="144">
        <f>SUM(C117:C123)</f>
        <v>353176</v>
      </c>
      <c r="D116" s="144">
        <f>SUM(D117:D123)</f>
        <v>324000</v>
      </c>
      <c r="E116" s="144">
        <f t="shared" ref="E116:E139" si="31">+C116+D116</f>
        <v>677176</v>
      </c>
      <c r="F116" s="83">
        <f>SUM(F117:F123)</f>
        <v>674027</v>
      </c>
      <c r="G116" s="83">
        <f>SUM(G117:G123)</f>
        <v>82437.953999999998</v>
      </c>
      <c r="H116" s="84">
        <f t="shared" si="29"/>
        <v>342016.32400000002</v>
      </c>
      <c r="I116" s="144">
        <f>SUM(I117:I123)</f>
        <v>177991.80000000002</v>
      </c>
      <c r="J116" s="276">
        <f t="shared" si="27"/>
        <v>164024.524</v>
      </c>
      <c r="K116" s="84">
        <f t="shared" si="28"/>
        <v>332010.67599999998</v>
      </c>
      <c r="L116" s="145">
        <f t="shared" si="25"/>
        <v>335159.67599999998</v>
      </c>
      <c r="M116" s="262">
        <f t="shared" si="26"/>
        <v>50.742229020499188</v>
      </c>
      <c r="O116" s="43">
        <v>259578.37</v>
      </c>
    </row>
    <row r="117" spans="1:15" s="27" customFormat="1" ht="14.25" customHeight="1" x14ac:dyDescent="0.2">
      <c r="A117" s="62" t="s">
        <v>164</v>
      </c>
      <c r="B117" s="148" t="s">
        <v>165</v>
      </c>
      <c r="C117" s="89">
        <v>26540</v>
      </c>
      <c r="D117" s="89">
        <v>17000</v>
      </c>
      <c r="E117" s="89">
        <f t="shared" si="31"/>
        <v>43540</v>
      </c>
      <c r="F117" s="147">
        <v>43540</v>
      </c>
      <c r="G117" s="87">
        <v>1784.8140000000001</v>
      </c>
      <c r="H117" s="50">
        <f t="shared" si="29"/>
        <v>22809.293999999998</v>
      </c>
      <c r="I117" s="113">
        <v>21147.31</v>
      </c>
      <c r="J117" s="48">
        <f t="shared" si="27"/>
        <v>1661.9839999999967</v>
      </c>
      <c r="K117" s="50">
        <f t="shared" si="28"/>
        <v>20730.706000000002</v>
      </c>
      <c r="L117" s="113">
        <f t="shared" si="25"/>
        <v>20730.706000000002</v>
      </c>
      <c r="M117" s="263">
        <f t="shared" si="26"/>
        <v>52.386986678915939</v>
      </c>
      <c r="O117" s="43">
        <v>21024.48</v>
      </c>
    </row>
    <row r="118" spans="1:15" s="27" customFormat="1" ht="16.5" customHeight="1" x14ac:dyDescent="0.2">
      <c r="A118" s="62" t="s">
        <v>166</v>
      </c>
      <c r="B118" s="148" t="s">
        <v>167</v>
      </c>
      <c r="C118" s="89">
        <v>41038</v>
      </c>
      <c r="D118" s="89">
        <v>-2000</v>
      </c>
      <c r="E118" s="89">
        <f t="shared" si="31"/>
        <v>39038</v>
      </c>
      <c r="F118" s="147">
        <v>39038</v>
      </c>
      <c r="G118" s="87">
        <v>4613.9399999999996</v>
      </c>
      <c r="H118" s="50">
        <f t="shared" si="29"/>
        <v>16905.719999999998</v>
      </c>
      <c r="I118" s="113">
        <v>10789.33</v>
      </c>
      <c r="J118" s="48">
        <f t="shared" si="27"/>
        <v>6116.3899999999976</v>
      </c>
      <c r="K118" s="50">
        <f t="shared" si="28"/>
        <v>22132.280000000002</v>
      </c>
      <c r="L118" s="113">
        <f t="shared" si="25"/>
        <v>22132.280000000002</v>
      </c>
      <c r="M118" s="263">
        <f t="shared" si="26"/>
        <v>43.305804600645516</v>
      </c>
      <c r="O118" s="43">
        <v>12291.779999999999</v>
      </c>
    </row>
    <row r="119" spans="1:15" s="27" customFormat="1" ht="12.75" customHeight="1" x14ac:dyDescent="0.2">
      <c r="A119" s="62">
        <v>254</v>
      </c>
      <c r="B119" s="148" t="s">
        <v>168</v>
      </c>
      <c r="C119" s="89">
        <v>26803</v>
      </c>
      <c r="D119" s="89">
        <v>18000</v>
      </c>
      <c r="E119" s="89">
        <f t="shared" si="31"/>
        <v>44803</v>
      </c>
      <c r="F119" s="89">
        <v>44803</v>
      </c>
      <c r="G119" s="147">
        <f>1300.79-10</f>
        <v>1290.79</v>
      </c>
      <c r="H119" s="50">
        <f t="shared" si="29"/>
        <v>12337.939999999999</v>
      </c>
      <c r="I119" s="113">
        <v>11157.37</v>
      </c>
      <c r="J119" s="48">
        <f t="shared" si="27"/>
        <v>1180.5699999999979</v>
      </c>
      <c r="K119" s="50">
        <f t="shared" si="28"/>
        <v>32465.06</v>
      </c>
      <c r="L119" s="113">
        <f t="shared" si="25"/>
        <v>32465.06</v>
      </c>
      <c r="M119" s="263">
        <f t="shared" si="26"/>
        <v>27.538200566926317</v>
      </c>
      <c r="O119" s="43">
        <v>11047.15</v>
      </c>
    </row>
    <row r="120" spans="1:15" s="27" customFormat="1" ht="18" customHeight="1" x14ac:dyDescent="0.2">
      <c r="A120" s="62" t="s">
        <v>169</v>
      </c>
      <c r="B120" s="148" t="s">
        <v>170</v>
      </c>
      <c r="C120" s="89">
        <v>155060</v>
      </c>
      <c r="D120" s="150">
        <v>37600</v>
      </c>
      <c r="E120" s="89">
        <f t="shared" si="31"/>
        <v>192660</v>
      </c>
      <c r="F120" s="89">
        <v>189511</v>
      </c>
      <c r="G120" s="86">
        <f>11210.61-23.22</f>
        <v>11187.390000000001</v>
      </c>
      <c r="H120" s="50">
        <f t="shared" si="29"/>
        <v>68621.38</v>
      </c>
      <c r="I120" s="113">
        <v>52531.83</v>
      </c>
      <c r="J120" s="48">
        <f t="shared" si="27"/>
        <v>16089.550000000003</v>
      </c>
      <c r="K120" s="50">
        <f t="shared" si="28"/>
        <v>120889.62</v>
      </c>
      <c r="L120" s="113">
        <f t="shared" si="25"/>
        <v>124038.62</v>
      </c>
      <c r="M120" s="263">
        <f t="shared" si="26"/>
        <v>36.209708143590611</v>
      </c>
      <c r="O120" s="43">
        <v>57433.99</v>
      </c>
    </row>
    <row r="121" spans="1:15" s="27" customFormat="1" ht="17.25" customHeight="1" x14ac:dyDescent="0.2">
      <c r="A121" s="62" t="s">
        <v>171</v>
      </c>
      <c r="B121" s="148" t="s">
        <v>172</v>
      </c>
      <c r="C121" s="89">
        <v>31199</v>
      </c>
      <c r="D121" s="89">
        <v>123500</v>
      </c>
      <c r="E121" s="89">
        <f t="shared" si="31"/>
        <v>154699</v>
      </c>
      <c r="F121" s="89">
        <v>154699</v>
      </c>
      <c r="G121" s="86">
        <f>40891.04-33</f>
        <v>40858.04</v>
      </c>
      <c r="H121" s="50">
        <f t="shared" si="29"/>
        <v>105490.35</v>
      </c>
      <c r="I121" s="113">
        <v>44589.79</v>
      </c>
      <c r="J121" s="48">
        <f t="shared" si="27"/>
        <v>60900.560000000005</v>
      </c>
      <c r="K121" s="50">
        <f t="shared" si="28"/>
        <v>49208.649999999994</v>
      </c>
      <c r="L121" s="113">
        <f t="shared" si="25"/>
        <v>49208.649999999994</v>
      </c>
      <c r="M121" s="263">
        <f t="shared" si="26"/>
        <v>68.190712286440117</v>
      </c>
      <c r="O121" s="43">
        <v>64632.310000000005</v>
      </c>
    </row>
    <row r="122" spans="1:15" s="27" customFormat="1" ht="17.25" customHeight="1" x14ac:dyDescent="0.2">
      <c r="A122" s="62">
        <v>257</v>
      </c>
      <c r="B122" s="148" t="s">
        <v>173</v>
      </c>
      <c r="C122" s="113">
        <v>21200</v>
      </c>
      <c r="D122" s="113">
        <v>5600</v>
      </c>
      <c r="E122" s="89">
        <f t="shared" si="31"/>
        <v>26800</v>
      </c>
      <c r="F122" s="89">
        <v>26800</v>
      </c>
      <c r="G122" s="86">
        <v>455.16</v>
      </c>
      <c r="H122" s="50">
        <f t="shared" si="29"/>
        <v>3657.1400000000003</v>
      </c>
      <c r="I122" s="113">
        <v>3510.14</v>
      </c>
      <c r="J122" s="48">
        <f t="shared" si="27"/>
        <v>147.00000000000045</v>
      </c>
      <c r="K122" s="50">
        <f t="shared" si="28"/>
        <v>23142.86</v>
      </c>
      <c r="L122" s="113">
        <f t="shared" ref="L122:L152" si="32">+E122-H122</f>
        <v>23142.86</v>
      </c>
      <c r="M122" s="263">
        <f t="shared" ref="M122:M152" si="33">+H122*100/F122</f>
        <v>13.646044776119405</v>
      </c>
      <c r="O122" s="43">
        <v>3201.9800000000005</v>
      </c>
    </row>
    <row r="123" spans="1:15" s="27" customFormat="1" ht="17.25" customHeight="1" x14ac:dyDescent="0.2">
      <c r="A123" s="62" t="s">
        <v>174</v>
      </c>
      <c r="B123" s="148" t="s">
        <v>175</v>
      </c>
      <c r="C123" s="89">
        <v>51336</v>
      </c>
      <c r="D123" s="89">
        <v>124300</v>
      </c>
      <c r="E123" s="89">
        <f t="shared" si="31"/>
        <v>175636</v>
      </c>
      <c r="F123" s="89">
        <v>175636</v>
      </c>
      <c r="G123" s="89">
        <f>22277.82-30</f>
        <v>22247.82</v>
      </c>
      <c r="H123" s="50">
        <f t="shared" si="29"/>
        <v>112193.5</v>
      </c>
      <c r="I123" s="113">
        <v>34266.03</v>
      </c>
      <c r="J123" s="48">
        <f t="shared" si="27"/>
        <v>77927.47</v>
      </c>
      <c r="K123" s="50">
        <f t="shared" ref="K123:K154" si="34">+F123-H123</f>
        <v>63442.5</v>
      </c>
      <c r="L123" s="113">
        <f t="shared" si="32"/>
        <v>63442.5</v>
      </c>
      <c r="M123" s="263">
        <f t="shared" si="33"/>
        <v>63.878419002937896</v>
      </c>
      <c r="O123" s="43">
        <v>89945.680000000008</v>
      </c>
    </row>
    <row r="124" spans="1:15" s="27" customFormat="1" ht="15" customHeight="1" x14ac:dyDescent="0.2">
      <c r="A124" s="67" t="s">
        <v>176</v>
      </c>
      <c r="B124" s="144" t="s">
        <v>177</v>
      </c>
      <c r="C124" s="144">
        <f>SUM(C125:C129)</f>
        <v>65439</v>
      </c>
      <c r="D124" s="144">
        <f>SUM(D125:D129)</f>
        <v>189800</v>
      </c>
      <c r="E124" s="151">
        <f t="shared" si="31"/>
        <v>255239</v>
      </c>
      <c r="F124" s="90">
        <f>SUM(F125:F129)</f>
        <v>255239</v>
      </c>
      <c r="G124" s="91">
        <f>SUM(G125:G129)</f>
        <v>30392.36</v>
      </c>
      <c r="H124" s="54">
        <f t="shared" ref="H124:H149" si="35">+O124+G124</f>
        <v>101180.02</v>
      </c>
      <c r="I124" s="144">
        <f>SUM(I125:I129)</f>
        <v>45324.82</v>
      </c>
      <c r="J124" s="276">
        <f>H124-I124</f>
        <v>55855.200000000004</v>
      </c>
      <c r="K124" s="84">
        <f t="shared" si="34"/>
        <v>154058.97999999998</v>
      </c>
      <c r="L124" s="145">
        <f t="shared" si="32"/>
        <v>154058.97999999998</v>
      </c>
      <c r="M124" s="262">
        <f t="shared" si="33"/>
        <v>39.641285226787446</v>
      </c>
      <c r="O124" s="43">
        <v>70787.66</v>
      </c>
    </row>
    <row r="125" spans="1:15" s="27" customFormat="1" ht="13.5" customHeight="1" x14ac:dyDescent="0.2">
      <c r="A125" s="68">
        <v>261</v>
      </c>
      <c r="B125" s="146" t="s">
        <v>178</v>
      </c>
      <c r="C125" s="89">
        <v>5416</v>
      </c>
      <c r="D125" s="113">
        <v>21400</v>
      </c>
      <c r="E125" s="147">
        <f t="shared" si="31"/>
        <v>26816</v>
      </c>
      <c r="F125" s="92">
        <v>26816</v>
      </c>
      <c r="G125" s="93">
        <v>1605</v>
      </c>
      <c r="H125" s="50">
        <f t="shared" si="35"/>
        <v>24899.97</v>
      </c>
      <c r="I125" s="113">
        <v>508.25</v>
      </c>
      <c r="J125" s="48">
        <f t="shared" si="27"/>
        <v>24391.72</v>
      </c>
      <c r="K125" s="50">
        <f t="shared" si="34"/>
        <v>1916.0299999999988</v>
      </c>
      <c r="L125" s="113">
        <f t="shared" si="32"/>
        <v>1916.0299999999988</v>
      </c>
      <c r="M125" s="263">
        <f t="shared" si="33"/>
        <v>92.854900059665866</v>
      </c>
      <c r="O125" s="43">
        <v>23294.97</v>
      </c>
    </row>
    <row r="126" spans="1:15" s="27" customFormat="1" ht="13.5" customHeight="1" x14ac:dyDescent="0.2">
      <c r="A126" s="62" t="s">
        <v>179</v>
      </c>
      <c r="B126" s="148" t="s">
        <v>180</v>
      </c>
      <c r="C126" s="89">
        <v>19000</v>
      </c>
      <c r="D126" s="113">
        <v>46600</v>
      </c>
      <c r="E126" s="147">
        <f t="shared" si="31"/>
        <v>65600</v>
      </c>
      <c r="F126" s="94">
        <v>65600</v>
      </c>
      <c r="G126" s="95">
        <v>2538.1</v>
      </c>
      <c r="H126" s="50">
        <f t="shared" si="35"/>
        <v>17343.710000000003</v>
      </c>
      <c r="I126" s="113">
        <v>15540.77</v>
      </c>
      <c r="J126" s="48">
        <f t="shared" si="27"/>
        <v>1802.9400000000023</v>
      </c>
      <c r="K126" s="50">
        <f t="shared" si="34"/>
        <v>48256.289999999994</v>
      </c>
      <c r="L126" s="113">
        <f t="shared" si="32"/>
        <v>48256.289999999994</v>
      </c>
      <c r="M126" s="263">
        <f t="shared" si="33"/>
        <v>26.438582317073173</v>
      </c>
      <c r="O126" s="43">
        <v>14805.610000000002</v>
      </c>
    </row>
    <row r="127" spans="1:15" s="27" customFormat="1" ht="17.25" customHeight="1" x14ac:dyDescent="0.2">
      <c r="A127" s="62">
        <v>263</v>
      </c>
      <c r="B127" s="148" t="s">
        <v>266</v>
      </c>
      <c r="C127" s="89">
        <v>14518</v>
      </c>
      <c r="D127" s="113">
        <v>22600</v>
      </c>
      <c r="E127" s="147">
        <f t="shared" si="31"/>
        <v>37118</v>
      </c>
      <c r="F127" s="92">
        <v>37118</v>
      </c>
      <c r="G127" s="93">
        <v>2040.87</v>
      </c>
      <c r="H127" s="50">
        <f t="shared" si="35"/>
        <v>3927.8</v>
      </c>
      <c r="I127" s="113">
        <v>2005.03</v>
      </c>
      <c r="J127" s="48">
        <f t="shared" si="27"/>
        <v>1922.7700000000002</v>
      </c>
      <c r="K127" s="50">
        <f t="shared" si="34"/>
        <v>33190.199999999997</v>
      </c>
      <c r="L127" s="113">
        <f t="shared" si="32"/>
        <v>33190.199999999997</v>
      </c>
      <c r="M127" s="263">
        <f t="shared" si="33"/>
        <v>10.581927905598363</v>
      </c>
      <c r="O127" s="43">
        <v>1886.9300000000003</v>
      </c>
    </row>
    <row r="128" spans="1:15" s="27" customFormat="1" ht="17.25" customHeight="1" x14ac:dyDescent="0.2">
      <c r="A128" s="62" t="s">
        <v>181</v>
      </c>
      <c r="B128" s="152" t="s">
        <v>286</v>
      </c>
      <c r="C128" s="153">
        <v>6989</v>
      </c>
      <c r="D128" s="113">
        <v>58000</v>
      </c>
      <c r="E128" s="147">
        <f t="shared" si="31"/>
        <v>64989</v>
      </c>
      <c r="F128" s="92">
        <v>64989</v>
      </c>
      <c r="G128" s="93">
        <f>18541.82-3.05</f>
        <v>18538.77</v>
      </c>
      <c r="H128" s="50">
        <f t="shared" si="35"/>
        <v>33697.4</v>
      </c>
      <c r="I128" s="113">
        <v>14391.86</v>
      </c>
      <c r="J128" s="48">
        <f t="shared" si="27"/>
        <v>19305.54</v>
      </c>
      <c r="K128" s="50">
        <f t="shared" si="34"/>
        <v>31291.599999999999</v>
      </c>
      <c r="L128" s="113">
        <f t="shared" si="32"/>
        <v>31291.599999999999</v>
      </c>
      <c r="M128" s="263">
        <f t="shared" si="33"/>
        <v>51.850928618689316</v>
      </c>
      <c r="O128" s="43">
        <v>15158.630000000001</v>
      </c>
    </row>
    <row r="129" spans="1:15" s="27" customFormat="1" ht="15.75" customHeight="1" x14ac:dyDescent="0.2">
      <c r="A129" s="62" t="s">
        <v>182</v>
      </c>
      <c r="B129" s="152" t="s">
        <v>183</v>
      </c>
      <c r="C129" s="153">
        <v>19516</v>
      </c>
      <c r="D129" s="113">
        <v>41200</v>
      </c>
      <c r="E129" s="147">
        <f t="shared" si="31"/>
        <v>60716</v>
      </c>
      <c r="F129" s="92">
        <v>60716</v>
      </c>
      <c r="G129" s="93">
        <f>5748.63-79.01</f>
        <v>5669.62</v>
      </c>
      <c r="H129" s="50">
        <f t="shared" si="35"/>
        <v>21311.14</v>
      </c>
      <c r="I129" s="113">
        <v>12878.91</v>
      </c>
      <c r="J129" s="48">
        <f t="shared" si="27"/>
        <v>8432.23</v>
      </c>
      <c r="K129" s="50">
        <f t="shared" si="34"/>
        <v>39404.86</v>
      </c>
      <c r="L129" s="113">
        <f t="shared" si="32"/>
        <v>39404.86</v>
      </c>
      <c r="M129" s="263">
        <f t="shared" si="33"/>
        <v>35.099710125831741</v>
      </c>
      <c r="O129" s="43">
        <v>15641.519999999999</v>
      </c>
    </row>
    <row r="130" spans="1:15" s="27" customFormat="1" ht="20.25" customHeight="1" x14ac:dyDescent="0.2">
      <c r="A130" s="67" t="s">
        <v>184</v>
      </c>
      <c r="B130" s="154" t="s">
        <v>185</v>
      </c>
      <c r="C130" s="155">
        <f>SUM(C131:C138)</f>
        <v>337944</v>
      </c>
      <c r="D130" s="144">
        <f>SUM(D131:D138)</f>
        <v>74300</v>
      </c>
      <c r="E130" s="151">
        <f t="shared" si="31"/>
        <v>412244</v>
      </c>
      <c r="F130" s="90">
        <f>SUM(F131:F138)</f>
        <v>412244</v>
      </c>
      <c r="G130" s="90">
        <f>SUM(G131:G138)</f>
        <v>37582.14</v>
      </c>
      <c r="H130" s="84">
        <f t="shared" si="35"/>
        <v>173508.90000000002</v>
      </c>
      <c r="I130" s="90">
        <f>SUM(I131:I138)</f>
        <v>110296.16</v>
      </c>
      <c r="J130" s="276">
        <f>H130-I130</f>
        <v>63212.74000000002</v>
      </c>
      <c r="K130" s="84">
        <f t="shared" si="34"/>
        <v>238735.09999999998</v>
      </c>
      <c r="L130" s="145">
        <f t="shared" si="32"/>
        <v>238735.09999999998</v>
      </c>
      <c r="M130" s="262">
        <f t="shared" si="33"/>
        <v>42.088884253015216</v>
      </c>
      <c r="N130" s="6"/>
      <c r="O130" s="43">
        <v>135926.76</v>
      </c>
    </row>
    <row r="131" spans="1:15" s="27" customFormat="1" ht="12.75" customHeight="1" x14ac:dyDescent="0.2">
      <c r="A131" s="62" t="s">
        <v>186</v>
      </c>
      <c r="B131" s="152" t="s">
        <v>187</v>
      </c>
      <c r="C131" s="153">
        <v>21608</v>
      </c>
      <c r="D131" s="113">
        <v>-5000</v>
      </c>
      <c r="E131" s="147">
        <f t="shared" si="31"/>
        <v>16608</v>
      </c>
      <c r="F131" s="92">
        <v>16608</v>
      </c>
      <c r="G131" s="93">
        <v>9.5500000000000007</v>
      </c>
      <c r="H131" s="50">
        <f t="shared" si="35"/>
        <v>192</v>
      </c>
      <c r="I131" s="113">
        <v>182.45</v>
      </c>
      <c r="J131" s="48">
        <f t="shared" si="27"/>
        <v>9.5500000000000114</v>
      </c>
      <c r="K131" s="50">
        <f t="shared" si="34"/>
        <v>16416</v>
      </c>
      <c r="L131" s="113">
        <f t="shared" si="32"/>
        <v>16416</v>
      </c>
      <c r="M131" s="263">
        <f t="shared" si="33"/>
        <v>1.1560693641618498</v>
      </c>
      <c r="O131" s="43">
        <v>182.45</v>
      </c>
    </row>
    <row r="132" spans="1:15" s="27" customFormat="1" ht="16.5" customHeight="1" x14ac:dyDescent="0.2">
      <c r="A132" s="62" t="s">
        <v>188</v>
      </c>
      <c r="B132" s="148" t="s">
        <v>189</v>
      </c>
      <c r="C132" s="89">
        <v>15661</v>
      </c>
      <c r="D132" s="89">
        <v>-7200</v>
      </c>
      <c r="E132" s="147">
        <f t="shared" si="31"/>
        <v>8461</v>
      </c>
      <c r="F132" s="92">
        <v>8461</v>
      </c>
      <c r="G132" s="93">
        <v>1219.8</v>
      </c>
      <c r="H132" s="50">
        <f t="shared" si="35"/>
        <v>1219.8</v>
      </c>
      <c r="I132" s="113">
        <v>0</v>
      </c>
      <c r="J132" s="48">
        <f t="shared" si="27"/>
        <v>1219.8</v>
      </c>
      <c r="K132" s="50">
        <f t="shared" si="34"/>
        <v>7241.2</v>
      </c>
      <c r="L132" s="113">
        <f t="shared" si="32"/>
        <v>7241.2</v>
      </c>
      <c r="M132" s="263">
        <f t="shared" si="33"/>
        <v>14.416735610447937</v>
      </c>
      <c r="O132" s="43">
        <v>0</v>
      </c>
    </row>
    <row r="133" spans="1:15" s="27" customFormat="1" ht="13.5" customHeight="1" x14ac:dyDescent="0.2">
      <c r="A133" s="62" t="s">
        <v>190</v>
      </c>
      <c r="B133" s="148" t="s">
        <v>191</v>
      </c>
      <c r="C133" s="89">
        <v>50811</v>
      </c>
      <c r="D133" s="89">
        <v>8200</v>
      </c>
      <c r="E133" s="147">
        <f t="shared" si="31"/>
        <v>59011</v>
      </c>
      <c r="F133" s="92">
        <v>59011</v>
      </c>
      <c r="G133" s="93">
        <v>17301.93</v>
      </c>
      <c r="H133" s="50">
        <f t="shared" si="35"/>
        <v>40467.79</v>
      </c>
      <c r="I133" s="113">
        <v>6289.18</v>
      </c>
      <c r="J133" s="48">
        <f t="shared" si="27"/>
        <v>34178.61</v>
      </c>
      <c r="K133" s="50">
        <f t="shared" si="34"/>
        <v>18543.21</v>
      </c>
      <c r="L133" s="113">
        <f t="shared" si="32"/>
        <v>18543.21</v>
      </c>
      <c r="M133" s="263">
        <f t="shared" si="33"/>
        <v>68.576689091864225</v>
      </c>
      <c r="O133" s="43">
        <v>23165.86</v>
      </c>
    </row>
    <row r="134" spans="1:15" s="27" customFormat="1" ht="16.5" customHeight="1" x14ac:dyDescent="0.2">
      <c r="A134" s="62" t="s">
        <v>192</v>
      </c>
      <c r="B134" s="148" t="s">
        <v>193</v>
      </c>
      <c r="C134" s="89">
        <v>26341</v>
      </c>
      <c r="D134" s="89">
        <v>18000</v>
      </c>
      <c r="E134" s="147">
        <f t="shared" si="31"/>
        <v>44341</v>
      </c>
      <c r="F134" s="92">
        <v>44341</v>
      </c>
      <c r="G134" s="93">
        <v>3596.27</v>
      </c>
      <c r="H134" s="50">
        <f t="shared" si="35"/>
        <v>15824.43</v>
      </c>
      <c r="I134" s="113">
        <v>6997.43</v>
      </c>
      <c r="J134" s="48">
        <f t="shared" si="27"/>
        <v>8827</v>
      </c>
      <c r="K134" s="50">
        <f t="shared" si="34"/>
        <v>28516.57</v>
      </c>
      <c r="L134" s="113">
        <f t="shared" si="32"/>
        <v>28516.57</v>
      </c>
      <c r="M134" s="263">
        <f t="shared" si="33"/>
        <v>35.688031393067362</v>
      </c>
      <c r="O134" s="43">
        <v>12228.16</v>
      </c>
    </row>
    <row r="135" spans="1:15" s="27" customFormat="1" ht="12.75" customHeight="1" x14ac:dyDescent="0.2">
      <c r="A135" s="62" t="s">
        <v>194</v>
      </c>
      <c r="B135" s="148" t="s">
        <v>195</v>
      </c>
      <c r="C135" s="89">
        <v>176122</v>
      </c>
      <c r="D135" s="113">
        <v>10200</v>
      </c>
      <c r="E135" s="147">
        <f t="shared" si="31"/>
        <v>186322</v>
      </c>
      <c r="F135" s="92">
        <v>186322</v>
      </c>
      <c r="G135" s="93">
        <f>8413.65-67.3</f>
        <v>8346.35</v>
      </c>
      <c r="H135" s="50">
        <f t="shared" si="35"/>
        <v>61200.469999999994</v>
      </c>
      <c r="I135" s="113">
        <v>50709.52</v>
      </c>
      <c r="J135" s="48">
        <f t="shared" si="27"/>
        <v>10490.949999999997</v>
      </c>
      <c r="K135" s="50">
        <f t="shared" si="34"/>
        <v>125121.53</v>
      </c>
      <c r="L135" s="113">
        <f t="shared" si="32"/>
        <v>125121.53</v>
      </c>
      <c r="M135" s="263">
        <f t="shared" si="33"/>
        <v>32.846614999838984</v>
      </c>
      <c r="O135" s="43">
        <v>52854.119999999995</v>
      </c>
    </row>
    <row r="136" spans="1:15" s="27" customFormat="1" ht="15" customHeight="1" x14ac:dyDescent="0.2">
      <c r="A136" s="62">
        <v>277</v>
      </c>
      <c r="B136" s="148" t="s">
        <v>196</v>
      </c>
      <c r="C136" s="89">
        <v>2000</v>
      </c>
      <c r="D136" s="113">
        <v>12600</v>
      </c>
      <c r="E136" s="147">
        <f>+C136+D136</f>
        <v>14600</v>
      </c>
      <c r="F136" s="92">
        <v>14600</v>
      </c>
      <c r="G136" s="93">
        <v>0</v>
      </c>
      <c r="H136" s="50">
        <f t="shared" si="35"/>
        <v>1000.0899999999997</v>
      </c>
      <c r="I136" s="113">
        <v>1000.09</v>
      </c>
      <c r="J136" s="48">
        <f t="shared" si="27"/>
        <v>0</v>
      </c>
      <c r="K136" s="50">
        <f t="shared" si="34"/>
        <v>13599.91</v>
      </c>
      <c r="L136" s="113">
        <f t="shared" si="32"/>
        <v>13599.91</v>
      </c>
      <c r="M136" s="263">
        <f t="shared" si="33"/>
        <v>6.8499315068493134</v>
      </c>
      <c r="O136" s="43">
        <v>1000.0899999999997</v>
      </c>
    </row>
    <row r="137" spans="1:15" s="27" customFormat="1" ht="15" customHeight="1" x14ac:dyDescent="0.2">
      <c r="A137" s="62">
        <v>278</v>
      </c>
      <c r="B137" s="148" t="s">
        <v>197</v>
      </c>
      <c r="C137" s="89">
        <v>1850</v>
      </c>
      <c r="D137" s="113">
        <v>0</v>
      </c>
      <c r="E137" s="147">
        <f t="shared" si="31"/>
        <v>1850</v>
      </c>
      <c r="F137" s="92">
        <v>1850</v>
      </c>
      <c r="G137" s="93"/>
      <c r="H137" s="50">
        <f t="shared" si="35"/>
        <v>0</v>
      </c>
      <c r="I137" s="113">
        <v>0</v>
      </c>
      <c r="J137" s="48">
        <f t="shared" si="27"/>
        <v>0</v>
      </c>
      <c r="K137" s="50">
        <f t="shared" si="34"/>
        <v>1850</v>
      </c>
      <c r="L137" s="113">
        <f t="shared" si="32"/>
        <v>1850</v>
      </c>
      <c r="M137" s="263">
        <f t="shared" si="33"/>
        <v>0</v>
      </c>
      <c r="O137" s="43">
        <v>0</v>
      </c>
    </row>
    <row r="138" spans="1:15" s="27" customFormat="1" ht="13.5" customHeight="1" x14ac:dyDescent="0.2">
      <c r="A138" s="62" t="s">
        <v>198</v>
      </c>
      <c r="B138" s="148" t="s">
        <v>199</v>
      </c>
      <c r="C138" s="89">
        <v>43551</v>
      </c>
      <c r="D138" s="113">
        <v>37500</v>
      </c>
      <c r="E138" s="147">
        <f t="shared" si="31"/>
        <v>81051</v>
      </c>
      <c r="F138" s="92">
        <v>81051</v>
      </c>
      <c r="G138" s="93">
        <v>7108.24</v>
      </c>
      <c r="H138" s="50">
        <f t="shared" si="35"/>
        <v>53604.320000000007</v>
      </c>
      <c r="I138" s="113">
        <v>45117.49</v>
      </c>
      <c r="J138" s="48">
        <f t="shared" si="27"/>
        <v>8486.830000000009</v>
      </c>
      <c r="K138" s="50">
        <f t="shared" si="34"/>
        <v>27446.679999999993</v>
      </c>
      <c r="L138" s="113">
        <f t="shared" si="32"/>
        <v>27446.679999999993</v>
      </c>
      <c r="M138" s="263">
        <f t="shared" si="33"/>
        <v>66.136531319786314</v>
      </c>
      <c r="O138" s="43">
        <v>46496.080000000009</v>
      </c>
    </row>
    <row r="139" spans="1:15" s="27" customFormat="1" ht="16.5" customHeight="1" x14ac:dyDescent="0.2">
      <c r="A139" s="67" t="s">
        <v>200</v>
      </c>
      <c r="B139" s="144" t="s">
        <v>201</v>
      </c>
      <c r="C139" s="144">
        <v>163922</v>
      </c>
      <c r="D139" s="144">
        <v>9300</v>
      </c>
      <c r="E139" s="151">
        <f t="shared" si="31"/>
        <v>173222</v>
      </c>
      <c r="F139" s="96">
        <v>173222</v>
      </c>
      <c r="G139" s="90">
        <f>26076.74-20.4</f>
        <v>26056.34</v>
      </c>
      <c r="H139" s="54">
        <f t="shared" si="35"/>
        <v>95426.76</v>
      </c>
      <c r="I139" s="145">
        <v>53365.45</v>
      </c>
      <c r="J139" s="276">
        <f t="shared" si="27"/>
        <v>42061.31</v>
      </c>
      <c r="K139" s="84">
        <f t="shared" si="34"/>
        <v>77795.240000000005</v>
      </c>
      <c r="L139" s="145">
        <f t="shared" si="32"/>
        <v>77795.240000000005</v>
      </c>
      <c r="M139" s="262">
        <f t="shared" si="33"/>
        <v>55.089284271051021</v>
      </c>
      <c r="O139" s="43">
        <v>69370.42</v>
      </c>
    </row>
    <row r="140" spans="1:15" s="27" customFormat="1" ht="14.25" customHeight="1" x14ac:dyDescent="0.2">
      <c r="A140" s="69">
        <v>290</v>
      </c>
      <c r="B140" s="97" t="s">
        <v>202</v>
      </c>
      <c r="C140" s="98">
        <f>SUM(C141:C148)</f>
        <v>0</v>
      </c>
      <c r="D140" s="98">
        <f>SUM(D141:D149)</f>
        <v>82400</v>
      </c>
      <c r="E140" s="98">
        <f t="shared" ref="E140:E149" si="36">+C140+D140</f>
        <v>82400</v>
      </c>
      <c r="F140" s="98">
        <f>SUM(F141:F149)</f>
        <v>82400</v>
      </c>
      <c r="G140" s="98">
        <f>SUM(G141:G149)</f>
        <v>-1545</v>
      </c>
      <c r="H140" s="54">
        <f t="shared" si="35"/>
        <v>69020.26999999999</v>
      </c>
      <c r="I140" s="98">
        <f>SUM(I141:I149)</f>
        <v>58969.299999999996</v>
      </c>
      <c r="J140" s="276">
        <f t="shared" si="27"/>
        <v>10050.969999999994</v>
      </c>
      <c r="K140" s="54">
        <f t="shared" si="34"/>
        <v>13379.73000000001</v>
      </c>
      <c r="L140" s="99">
        <f t="shared" si="32"/>
        <v>13379.73000000001</v>
      </c>
      <c r="M140" s="265">
        <f t="shared" si="33"/>
        <v>83.762463592233004</v>
      </c>
      <c r="O140" s="43">
        <v>70565.26999999999</v>
      </c>
    </row>
    <row r="141" spans="1:15" ht="16.5" customHeight="1" x14ac:dyDescent="0.2">
      <c r="A141" s="62">
        <v>291</v>
      </c>
      <c r="B141" s="100" t="s">
        <v>203</v>
      </c>
      <c r="C141" s="98"/>
      <c r="D141" s="101">
        <v>6000</v>
      </c>
      <c r="E141" s="101">
        <f t="shared" si="36"/>
        <v>6000</v>
      </c>
      <c r="F141" s="102">
        <v>6000</v>
      </c>
      <c r="G141" s="102">
        <v>10</v>
      </c>
      <c r="H141" s="102">
        <f t="shared" si="35"/>
        <v>1651.95</v>
      </c>
      <c r="I141" s="102">
        <v>1651.45</v>
      </c>
      <c r="J141" s="48">
        <f t="shared" si="27"/>
        <v>0.5</v>
      </c>
      <c r="K141" s="50">
        <f t="shared" si="34"/>
        <v>4348.05</v>
      </c>
      <c r="L141" s="102">
        <f t="shared" si="32"/>
        <v>4348.05</v>
      </c>
      <c r="M141" s="266">
        <f t="shared" si="33"/>
        <v>27.532499999999999</v>
      </c>
      <c r="O141" s="42">
        <v>1641.95</v>
      </c>
    </row>
    <row r="142" spans="1:15" ht="18.75" customHeight="1" x14ac:dyDescent="0.2">
      <c r="A142" s="70">
        <v>292</v>
      </c>
      <c r="B142" s="100" t="s">
        <v>276</v>
      </c>
      <c r="C142" s="103"/>
      <c r="D142" s="101">
        <v>2700</v>
      </c>
      <c r="E142" s="101">
        <f t="shared" si="36"/>
        <v>2700</v>
      </c>
      <c r="F142" s="102">
        <v>2700</v>
      </c>
      <c r="G142" s="102">
        <v>0</v>
      </c>
      <c r="H142" s="102">
        <f t="shared" si="35"/>
        <v>1865.55</v>
      </c>
      <c r="I142" s="102">
        <v>1865.55</v>
      </c>
      <c r="J142" s="48">
        <f t="shared" si="27"/>
        <v>0</v>
      </c>
      <c r="K142" s="50">
        <f t="shared" si="34"/>
        <v>834.45</v>
      </c>
      <c r="L142" s="102">
        <f t="shared" si="32"/>
        <v>834.45</v>
      </c>
      <c r="M142" s="266">
        <f t="shared" si="33"/>
        <v>69.094444444444449</v>
      </c>
      <c r="O142" s="42">
        <v>1865.55</v>
      </c>
    </row>
    <row r="143" spans="1:15" ht="21" customHeight="1" x14ac:dyDescent="0.2">
      <c r="A143" s="62">
        <v>293</v>
      </c>
      <c r="B143" s="100" t="s">
        <v>204</v>
      </c>
      <c r="C143" s="101"/>
      <c r="D143" s="101">
        <v>3350</v>
      </c>
      <c r="E143" s="101">
        <f t="shared" si="36"/>
        <v>3350</v>
      </c>
      <c r="F143" s="102">
        <v>3350</v>
      </c>
      <c r="G143" s="102">
        <v>-1555</v>
      </c>
      <c r="H143" s="102">
        <f t="shared" si="35"/>
        <v>820.21</v>
      </c>
      <c r="I143" s="102">
        <v>431.35</v>
      </c>
      <c r="J143" s="48">
        <f t="shared" si="27"/>
        <v>388.86</v>
      </c>
      <c r="K143" s="50">
        <f t="shared" si="34"/>
        <v>2529.79</v>
      </c>
      <c r="L143" s="102">
        <f t="shared" si="32"/>
        <v>2529.79</v>
      </c>
      <c r="M143" s="266">
        <f t="shared" si="33"/>
        <v>24.483880597014924</v>
      </c>
      <c r="O143" s="42">
        <v>2375.21</v>
      </c>
    </row>
    <row r="144" spans="1:15" ht="21" customHeight="1" x14ac:dyDescent="0.2">
      <c r="A144" s="62">
        <v>294</v>
      </c>
      <c r="B144" s="100" t="s">
        <v>320</v>
      </c>
      <c r="C144" s="101"/>
      <c r="D144" s="101">
        <v>700</v>
      </c>
      <c r="E144" s="101">
        <f t="shared" si="36"/>
        <v>700</v>
      </c>
      <c r="F144" s="102">
        <v>700</v>
      </c>
      <c r="G144" s="102">
        <v>0</v>
      </c>
      <c r="H144" s="102">
        <f t="shared" si="35"/>
        <v>457</v>
      </c>
      <c r="I144" s="102">
        <v>457</v>
      </c>
      <c r="J144" s="48">
        <f t="shared" si="27"/>
        <v>0</v>
      </c>
      <c r="K144" s="50">
        <f t="shared" si="34"/>
        <v>243</v>
      </c>
      <c r="L144" s="102">
        <f t="shared" si="32"/>
        <v>243</v>
      </c>
      <c r="M144" s="266">
        <f t="shared" si="33"/>
        <v>65.285714285714292</v>
      </c>
      <c r="O144" s="42">
        <v>457</v>
      </c>
    </row>
    <row r="145" spans="1:15" ht="19.5" customHeight="1" x14ac:dyDescent="0.2">
      <c r="A145" s="68">
        <v>295</v>
      </c>
      <c r="B145" s="104" t="s">
        <v>284</v>
      </c>
      <c r="C145" s="98"/>
      <c r="D145" s="101">
        <v>8400</v>
      </c>
      <c r="E145" s="101">
        <f t="shared" si="36"/>
        <v>8400</v>
      </c>
      <c r="F145" s="102">
        <v>8400</v>
      </c>
      <c r="G145" s="102">
        <v>0</v>
      </c>
      <c r="H145" s="102">
        <f t="shared" si="35"/>
        <v>6138.92</v>
      </c>
      <c r="I145" s="102">
        <v>5252.75</v>
      </c>
      <c r="J145" s="48">
        <f t="shared" si="27"/>
        <v>886.17000000000007</v>
      </c>
      <c r="K145" s="50">
        <f t="shared" si="34"/>
        <v>2261.08</v>
      </c>
      <c r="L145" s="102">
        <f t="shared" si="32"/>
        <v>2261.08</v>
      </c>
      <c r="M145" s="266">
        <f t="shared" si="33"/>
        <v>73.082380952380959</v>
      </c>
      <c r="O145" s="42">
        <v>6138.92</v>
      </c>
    </row>
    <row r="146" spans="1:15" ht="17.25" customHeight="1" x14ac:dyDescent="0.2">
      <c r="A146" s="62">
        <v>296</v>
      </c>
      <c r="B146" s="100" t="s">
        <v>277</v>
      </c>
      <c r="C146" s="101"/>
      <c r="D146" s="101">
        <v>39600</v>
      </c>
      <c r="E146" s="101">
        <f t="shared" si="36"/>
        <v>39600</v>
      </c>
      <c r="F146" s="102">
        <v>39600</v>
      </c>
      <c r="G146" s="102">
        <v>0</v>
      </c>
      <c r="H146" s="102">
        <f t="shared" si="35"/>
        <v>37593.85</v>
      </c>
      <c r="I146" s="102">
        <v>30565.75</v>
      </c>
      <c r="J146" s="48">
        <f t="shared" si="27"/>
        <v>7028.0999999999985</v>
      </c>
      <c r="K146" s="50">
        <f t="shared" si="34"/>
        <v>2006.1500000000015</v>
      </c>
      <c r="L146" s="102">
        <f t="shared" si="32"/>
        <v>2006.1500000000015</v>
      </c>
      <c r="M146" s="266">
        <f t="shared" si="33"/>
        <v>94.933964646464645</v>
      </c>
      <c r="O146" s="42">
        <v>37593.85</v>
      </c>
    </row>
    <row r="147" spans="1:15" ht="16.5" customHeight="1" x14ac:dyDescent="0.2">
      <c r="A147" s="68">
        <v>297</v>
      </c>
      <c r="B147" s="104" t="s">
        <v>205</v>
      </c>
      <c r="C147" s="98"/>
      <c r="D147" s="101">
        <v>6650</v>
      </c>
      <c r="E147" s="101">
        <f t="shared" si="36"/>
        <v>6650</v>
      </c>
      <c r="F147" s="102">
        <v>6650</v>
      </c>
      <c r="G147" s="102">
        <v>0</v>
      </c>
      <c r="H147" s="105">
        <f t="shared" si="35"/>
        <v>6563</v>
      </c>
      <c r="I147" s="102">
        <v>5389.96</v>
      </c>
      <c r="J147" s="48">
        <f t="shared" si="27"/>
        <v>1173.04</v>
      </c>
      <c r="K147" s="50">
        <f t="shared" si="34"/>
        <v>87</v>
      </c>
      <c r="L147" s="102">
        <f t="shared" si="32"/>
        <v>87</v>
      </c>
      <c r="M147" s="266">
        <f t="shared" si="33"/>
        <v>98.691729323308266</v>
      </c>
      <c r="O147" s="42">
        <v>6563</v>
      </c>
    </row>
    <row r="148" spans="1:15" ht="14.25" customHeight="1" x14ac:dyDescent="0.2">
      <c r="A148" s="68">
        <v>298</v>
      </c>
      <c r="B148" s="104" t="s">
        <v>206</v>
      </c>
      <c r="C148" s="98"/>
      <c r="D148" s="101">
        <v>7300</v>
      </c>
      <c r="E148" s="101">
        <f t="shared" si="36"/>
        <v>7300</v>
      </c>
      <c r="F148" s="102">
        <v>7300</v>
      </c>
      <c r="G148" s="102">
        <v>0</v>
      </c>
      <c r="H148" s="102">
        <f t="shared" si="35"/>
        <v>6820.6399999999994</v>
      </c>
      <c r="I148" s="102">
        <v>6246.84</v>
      </c>
      <c r="J148" s="48">
        <f t="shared" si="27"/>
        <v>573.79999999999927</v>
      </c>
      <c r="K148" s="50">
        <f t="shared" si="34"/>
        <v>479.36000000000058</v>
      </c>
      <c r="L148" s="102">
        <f t="shared" si="32"/>
        <v>479.36000000000058</v>
      </c>
      <c r="M148" s="266">
        <f t="shared" si="33"/>
        <v>93.433424657534246</v>
      </c>
      <c r="O148" s="42">
        <v>6820.6399999999994</v>
      </c>
    </row>
    <row r="149" spans="1:15" ht="17.25" customHeight="1" thickBot="1" x14ac:dyDescent="0.25">
      <c r="A149" s="71">
        <v>299</v>
      </c>
      <c r="B149" s="104" t="s">
        <v>259</v>
      </c>
      <c r="C149" s="98"/>
      <c r="D149" s="101">
        <v>7700</v>
      </c>
      <c r="E149" s="101">
        <f t="shared" si="36"/>
        <v>7700</v>
      </c>
      <c r="F149" s="102">
        <v>7700</v>
      </c>
      <c r="G149" s="102">
        <v>0</v>
      </c>
      <c r="H149" s="102">
        <f t="shared" si="35"/>
        <v>7108.65</v>
      </c>
      <c r="I149" s="102">
        <v>7108.65</v>
      </c>
      <c r="J149" s="48">
        <f t="shared" si="27"/>
        <v>0</v>
      </c>
      <c r="K149" s="50">
        <f t="shared" si="34"/>
        <v>591.35000000000036</v>
      </c>
      <c r="L149" s="102">
        <f t="shared" si="32"/>
        <v>591.35000000000036</v>
      </c>
      <c r="M149" s="266">
        <f t="shared" si="33"/>
        <v>92.320129870129875</v>
      </c>
      <c r="O149" s="42">
        <v>7108.65</v>
      </c>
    </row>
    <row r="150" spans="1:15" ht="20.25" customHeight="1" thickBot="1" x14ac:dyDescent="0.25">
      <c r="A150" s="128" t="s">
        <v>207</v>
      </c>
      <c r="B150" s="129" t="s">
        <v>208</v>
      </c>
      <c r="C150" s="130">
        <f>+C151+C161+C169+C170+C171+C165+C166+C168</f>
        <v>0</v>
      </c>
      <c r="D150" s="130">
        <f>D151+D161+D165+D166+D168+D170+D169+D171+D172</f>
        <v>184330</v>
      </c>
      <c r="E150" s="130">
        <f>SUM(C150:D150)</f>
        <v>184330</v>
      </c>
      <c r="F150" s="130">
        <f>F151+F161+F165+F166+F168+F170+F169+F171+F172</f>
        <v>184330</v>
      </c>
      <c r="G150" s="130">
        <f>G151+G161+G165+G166+G169+G170+G171+G172</f>
        <v>4106.91</v>
      </c>
      <c r="H150" s="131">
        <f>+H151+H161+H165+H166+H168+H169+H170+H171+H172</f>
        <v>74813.11</v>
      </c>
      <c r="I150" s="130">
        <f>I151+I161+I165+I166+I169+I170+I171+I172</f>
        <v>51811.409999999996</v>
      </c>
      <c r="J150" s="130">
        <f>J151+J161+J165+J166+J169+J170+J171+J172</f>
        <v>23001.699999999997</v>
      </c>
      <c r="K150" s="132">
        <f t="shared" si="34"/>
        <v>109516.89</v>
      </c>
      <c r="L150" s="131">
        <f t="shared" si="32"/>
        <v>109516.89</v>
      </c>
      <c r="M150" s="267">
        <f t="shared" si="33"/>
        <v>40.586507893451959</v>
      </c>
      <c r="O150" s="42">
        <v>70706.2</v>
      </c>
    </row>
    <row r="151" spans="1:15" ht="18" customHeight="1" x14ac:dyDescent="0.2">
      <c r="A151" s="69">
        <v>300</v>
      </c>
      <c r="B151" s="106" t="s">
        <v>209</v>
      </c>
      <c r="C151" s="99">
        <f>SUM(C152:C158)</f>
        <v>0</v>
      </c>
      <c r="D151" s="99">
        <f>SUM(D152:D159)</f>
        <v>46950</v>
      </c>
      <c r="E151" s="98">
        <f t="shared" ref="E151:E176" si="37">+C151+D151</f>
        <v>46950</v>
      </c>
      <c r="F151" s="99">
        <f>SUM(F152:F159)</f>
        <v>46950</v>
      </c>
      <c r="G151" s="99">
        <f>SUM(G152:G158)</f>
        <v>511.43</v>
      </c>
      <c r="H151" s="99">
        <f>+O151+G151</f>
        <v>25319.77</v>
      </c>
      <c r="I151" s="99">
        <f>SUM(I152:I158)</f>
        <v>22880.170000000002</v>
      </c>
      <c r="J151" s="53">
        <f t="shared" si="27"/>
        <v>2439.5999999999985</v>
      </c>
      <c r="K151" s="54">
        <f t="shared" si="34"/>
        <v>21630.23</v>
      </c>
      <c r="L151" s="99">
        <f t="shared" si="32"/>
        <v>21630.23</v>
      </c>
      <c r="M151" s="268">
        <f t="shared" si="33"/>
        <v>53.929222577209799</v>
      </c>
      <c r="O151" s="42">
        <v>24808.34</v>
      </c>
    </row>
    <row r="152" spans="1:15" ht="17.25" customHeight="1" x14ac:dyDescent="0.2">
      <c r="A152" s="68">
        <v>301</v>
      </c>
      <c r="B152" s="100" t="s">
        <v>329</v>
      </c>
      <c r="C152" s="101"/>
      <c r="D152" s="101">
        <v>650</v>
      </c>
      <c r="E152" s="101">
        <f t="shared" si="37"/>
        <v>650</v>
      </c>
      <c r="F152" s="102">
        <v>650</v>
      </c>
      <c r="G152" s="102">
        <v>0</v>
      </c>
      <c r="H152" s="102">
        <f>+O152+G152</f>
        <v>53.46</v>
      </c>
      <c r="I152" s="102">
        <v>53.46</v>
      </c>
      <c r="J152" s="48">
        <f t="shared" si="27"/>
        <v>0</v>
      </c>
      <c r="K152" s="50">
        <f t="shared" si="34"/>
        <v>596.54</v>
      </c>
      <c r="L152" s="102">
        <f t="shared" si="32"/>
        <v>596.54</v>
      </c>
      <c r="M152" s="268">
        <f t="shared" si="33"/>
        <v>8.2246153846153849</v>
      </c>
      <c r="O152" s="42">
        <v>53.46</v>
      </c>
    </row>
    <row r="153" spans="1:15" ht="17.25" customHeight="1" x14ac:dyDescent="0.2">
      <c r="A153" s="68">
        <v>302</v>
      </c>
      <c r="B153" s="100" t="s">
        <v>332</v>
      </c>
      <c r="C153" s="101"/>
      <c r="D153" s="101">
        <v>5000</v>
      </c>
      <c r="E153" s="101">
        <f t="shared" si="37"/>
        <v>5000</v>
      </c>
      <c r="F153" s="102">
        <v>5000</v>
      </c>
      <c r="G153" s="102"/>
      <c r="H153" s="102"/>
      <c r="I153" s="102"/>
      <c r="J153" s="48">
        <f t="shared" si="27"/>
        <v>0</v>
      </c>
      <c r="K153" s="50">
        <f t="shared" si="34"/>
        <v>5000</v>
      </c>
      <c r="L153" s="102"/>
      <c r="M153" s="268"/>
      <c r="O153" s="42"/>
    </row>
    <row r="154" spans="1:15" ht="17.25" customHeight="1" x14ac:dyDescent="0.2">
      <c r="A154" s="68">
        <v>303</v>
      </c>
      <c r="B154" s="100" t="s">
        <v>328</v>
      </c>
      <c r="C154" s="101"/>
      <c r="D154" s="101">
        <v>7500</v>
      </c>
      <c r="E154" s="101">
        <f t="shared" si="37"/>
        <v>7500</v>
      </c>
      <c r="F154" s="102">
        <v>7500</v>
      </c>
      <c r="G154" s="102">
        <v>511.43</v>
      </c>
      <c r="H154" s="102">
        <f t="shared" ref="H154:H171" si="38">+O154+G154</f>
        <v>795.51</v>
      </c>
      <c r="I154" s="102">
        <v>795.51</v>
      </c>
      <c r="J154" s="48">
        <f t="shared" si="27"/>
        <v>0</v>
      </c>
      <c r="K154" s="50">
        <f t="shared" si="34"/>
        <v>6704.49</v>
      </c>
      <c r="L154" s="102">
        <f t="shared" ref="L154:L202" si="39">+E154-H154</f>
        <v>6704.49</v>
      </c>
      <c r="M154" s="268">
        <f t="shared" ref="M154:M159" si="40">+H154*100/F154</f>
        <v>10.6068</v>
      </c>
      <c r="O154" s="42">
        <v>284.08</v>
      </c>
    </row>
    <row r="155" spans="1:15" ht="12.75" customHeight="1" x14ac:dyDescent="0.2">
      <c r="A155" s="68">
        <v>304</v>
      </c>
      <c r="B155" s="100" t="s">
        <v>321</v>
      </c>
      <c r="C155" s="101"/>
      <c r="D155" s="101">
        <v>32500</v>
      </c>
      <c r="E155" s="101">
        <f t="shared" si="37"/>
        <v>32500</v>
      </c>
      <c r="F155" s="102">
        <v>32500</v>
      </c>
      <c r="G155" s="102">
        <v>0</v>
      </c>
      <c r="H155" s="102">
        <f t="shared" si="38"/>
        <v>23839.599999999999</v>
      </c>
      <c r="I155" s="102">
        <v>21400</v>
      </c>
      <c r="J155" s="48">
        <f t="shared" ref="J155:J201" si="41">H155-I155</f>
        <v>2439.5999999999985</v>
      </c>
      <c r="K155" s="50">
        <f t="shared" ref="K155:K188" si="42">+F155-H155</f>
        <v>8660.4000000000015</v>
      </c>
      <c r="L155" s="102">
        <f t="shared" si="39"/>
        <v>8660.4000000000015</v>
      </c>
      <c r="M155" s="268">
        <f t="shared" si="40"/>
        <v>73.35261538461539</v>
      </c>
      <c r="O155" s="42">
        <v>23839.599999999999</v>
      </c>
    </row>
    <row r="156" spans="1:15" ht="0.6" hidden="1" customHeight="1" x14ac:dyDescent="0.2">
      <c r="A156" s="68">
        <v>305</v>
      </c>
      <c r="B156" s="100" t="s">
        <v>267</v>
      </c>
      <c r="C156" s="101">
        <v>0</v>
      </c>
      <c r="D156" s="101"/>
      <c r="E156" s="101">
        <f t="shared" si="37"/>
        <v>0</v>
      </c>
      <c r="F156" s="102"/>
      <c r="G156" s="102"/>
      <c r="H156" s="102">
        <f t="shared" si="38"/>
        <v>0</v>
      </c>
      <c r="I156" s="102"/>
      <c r="J156" s="48">
        <f t="shared" si="41"/>
        <v>0</v>
      </c>
      <c r="K156" s="50">
        <f t="shared" si="42"/>
        <v>0</v>
      </c>
      <c r="L156" s="102">
        <f t="shared" si="39"/>
        <v>0</v>
      </c>
      <c r="M156" s="268" t="e">
        <f t="shared" si="40"/>
        <v>#DIV/0!</v>
      </c>
      <c r="O156" s="42">
        <v>0</v>
      </c>
    </row>
    <row r="157" spans="1:15" ht="15" hidden="1" customHeight="1" x14ac:dyDescent="0.2">
      <c r="A157" s="68">
        <v>307</v>
      </c>
      <c r="B157" s="100" t="s">
        <v>304</v>
      </c>
      <c r="C157" s="101"/>
      <c r="D157" s="101"/>
      <c r="E157" s="101">
        <f t="shared" si="37"/>
        <v>0</v>
      </c>
      <c r="F157" s="102"/>
      <c r="G157" s="102"/>
      <c r="H157" s="102">
        <f t="shared" si="38"/>
        <v>0</v>
      </c>
      <c r="I157" s="102"/>
      <c r="J157" s="48">
        <f t="shared" si="41"/>
        <v>0</v>
      </c>
      <c r="K157" s="50">
        <f t="shared" si="42"/>
        <v>0</v>
      </c>
      <c r="L157" s="102">
        <f t="shared" si="39"/>
        <v>0</v>
      </c>
      <c r="M157" s="268" t="e">
        <f t="shared" si="40"/>
        <v>#DIV/0!</v>
      </c>
      <c r="O157" s="42">
        <v>0</v>
      </c>
    </row>
    <row r="158" spans="1:15" ht="15" customHeight="1" x14ac:dyDescent="0.2">
      <c r="A158" s="68">
        <v>308</v>
      </c>
      <c r="B158" s="100" t="s">
        <v>254</v>
      </c>
      <c r="C158" s="101"/>
      <c r="D158" s="101">
        <v>1000</v>
      </c>
      <c r="E158" s="101">
        <f t="shared" si="37"/>
        <v>1000</v>
      </c>
      <c r="F158" s="102">
        <v>1000</v>
      </c>
      <c r="G158" s="102">
        <v>0</v>
      </c>
      <c r="H158" s="102">
        <f t="shared" si="38"/>
        <v>631.20000000000005</v>
      </c>
      <c r="I158" s="102">
        <v>631.20000000000005</v>
      </c>
      <c r="J158" s="48">
        <f t="shared" si="41"/>
        <v>0</v>
      </c>
      <c r="K158" s="50">
        <f t="shared" si="42"/>
        <v>368.79999999999995</v>
      </c>
      <c r="L158" s="102">
        <f t="shared" si="39"/>
        <v>368.79999999999995</v>
      </c>
      <c r="M158" s="268">
        <f t="shared" si="40"/>
        <v>63.120000000000005</v>
      </c>
      <c r="O158" s="42">
        <v>631.20000000000005</v>
      </c>
    </row>
    <row r="159" spans="1:15" ht="14.45" customHeight="1" x14ac:dyDescent="0.2">
      <c r="A159" s="68">
        <v>309</v>
      </c>
      <c r="B159" s="100" t="s">
        <v>214</v>
      </c>
      <c r="C159" s="101"/>
      <c r="D159" s="101">
        <v>300</v>
      </c>
      <c r="E159" s="101">
        <f t="shared" si="37"/>
        <v>300</v>
      </c>
      <c r="F159" s="102">
        <v>300</v>
      </c>
      <c r="G159" s="102"/>
      <c r="H159" s="102">
        <f t="shared" si="38"/>
        <v>0</v>
      </c>
      <c r="I159" s="102"/>
      <c r="J159" s="48">
        <f t="shared" si="41"/>
        <v>0</v>
      </c>
      <c r="K159" s="50">
        <f t="shared" si="42"/>
        <v>300</v>
      </c>
      <c r="L159" s="102">
        <f t="shared" si="39"/>
        <v>300</v>
      </c>
      <c r="M159" s="268">
        <f t="shared" si="40"/>
        <v>0</v>
      </c>
      <c r="O159" s="42">
        <v>0</v>
      </c>
    </row>
    <row r="160" spans="1:15" ht="0.6" hidden="1" customHeight="1" x14ac:dyDescent="0.2">
      <c r="A160" s="68"/>
      <c r="B160" s="100"/>
      <c r="C160" s="101"/>
      <c r="D160" s="101"/>
      <c r="E160" s="101"/>
      <c r="F160" s="102"/>
      <c r="G160" s="102"/>
      <c r="H160" s="102"/>
      <c r="I160" s="102"/>
      <c r="J160" s="48">
        <f t="shared" si="41"/>
        <v>0</v>
      </c>
      <c r="K160" s="50"/>
      <c r="L160" s="102"/>
      <c r="M160" s="268"/>
      <c r="O160" s="42"/>
    </row>
    <row r="161" spans="1:15" ht="12.6" hidden="1" customHeight="1" x14ac:dyDescent="0.2">
      <c r="A161" s="69">
        <v>310</v>
      </c>
      <c r="B161" s="106" t="s">
        <v>210</v>
      </c>
      <c r="C161" s="98">
        <f>+C162+C163+C164</f>
        <v>0</v>
      </c>
      <c r="D161" s="98"/>
      <c r="E161" s="98">
        <f t="shared" si="37"/>
        <v>0</v>
      </c>
      <c r="F161" s="98"/>
      <c r="G161" s="98"/>
      <c r="H161" s="99">
        <f t="shared" si="38"/>
        <v>0</v>
      </c>
      <c r="I161" s="98"/>
      <c r="J161" s="48">
        <f t="shared" si="41"/>
        <v>0</v>
      </c>
      <c r="K161" s="50">
        <f t="shared" si="42"/>
        <v>0</v>
      </c>
      <c r="L161" s="99">
        <f t="shared" si="39"/>
        <v>0</v>
      </c>
      <c r="M161" s="268" t="s">
        <v>2</v>
      </c>
      <c r="O161" s="42">
        <v>0</v>
      </c>
    </row>
    <row r="162" spans="1:15" ht="13.5" hidden="1" customHeight="1" x14ac:dyDescent="0.2">
      <c r="A162" s="68">
        <v>313</v>
      </c>
      <c r="B162" s="100" t="s">
        <v>261</v>
      </c>
      <c r="C162" s="101"/>
      <c r="D162" s="101"/>
      <c r="E162" s="101">
        <f t="shared" si="37"/>
        <v>0</v>
      </c>
      <c r="F162" s="101"/>
      <c r="G162" s="102"/>
      <c r="H162" s="102">
        <f t="shared" si="38"/>
        <v>0</v>
      </c>
      <c r="I162" s="102"/>
      <c r="J162" s="48">
        <f t="shared" si="41"/>
        <v>0</v>
      </c>
      <c r="K162" s="50">
        <f t="shared" si="42"/>
        <v>0</v>
      </c>
      <c r="L162" s="102">
        <f t="shared" si="39"/>
        <v>0</v>
      </c>
      <c r="M162" s="268" t="e">
        <f>+H162*100/F162</f>
        <v>#DIV/0!</v>
      </c>
      <c r="O162" s="42">
        <v>0</v>
      </c>
    </row>
    <row r="163" spans="1:15" ht="15" hidden="1" customHeight="1" x14ac:dyDescent="0.2">
      <c r="A163" s="68">
        <v>314</v>
      </c>
      <c r="B163" s="100" t="s">
        <v>262</v>
      </c>
      <c r="C163" s="101">
        <v>0</v>
      </c>
      <c r="D163" s="101"/>
      <c r="E163" s="101">
        <f t="shared" si="37"/>
        <v>0</v>
      </c>
      <c r="F163" s="101"/>
      <c r="G163" s="102"/>
      <c r="H163" s="102">
        <f t="shared" si="38"/>
        <v>0</v>
      </c>
      <c r="I163" s="102"/>
      <c r="J163" s="48">
        <f t="shared" si="41"/>
        <v>0</v>
      </c>
      <c r="K163" s="50">
        <f t="shared" si="42"/>
        <v>0</v>
      </c>
      <c r="L163" s="102">
        <f t="shared" si="39"/>
        <v>0</v>
      </c>
      <c r="M163" s="268" t="e">
        <f>+H163*100/F163</f>
        <v>#DIV/0!</v>
      </c>
      <c r="O163" s="42">
        <v>0</v>
      </c>
    </row>
    <row r="164" spans="1:15" ht="15" hidden="1" customHeight="1" x14ac:dyDescent="0.2">
      <c r="A164" s="68">
        <v>319</v>
      </c>
      <c r="B164" s="100" t="s">
        <v>246</v>
      </c>
      <c r="C164" s="101"/>
      <c r="D164" s="101"/>
      <c r="E164" s="101">
        <f t="shared" si="37"/>
        <v>0</v>
      </c>
      <c r="F164" s="101"/>
      <c r="G164" s="102"/>
      <c r="H164" s="102">
        <f t="shared" si="38"/>
        <v>0</v>
      </c>
      <c r="I164" s="102"/>
      <c r="J164" s="48">
        <f t="shared" si="41"/>
        <v>0</v>
      </c>
      <c r="K164" s="50">
        <f t="shared" si="42"/>
        <v>0</v>
      </c>
      <c r="L164" s="102">
        <f t="shared" si="39"/>
        <v>0</v>
      </c>
      <c r="M164" s="268" t="e">
        <f>+H164*100/F164</f>
        <v>#DIV/0!</v>
      </c>
      <c r="O164" s="42">
        <v>0</v>
      </c>
    </row>
    <row r="165" spans="1:15" ht="14.25" customHeight="1" x14ac:dyDescent="0.2">
      <c r="A165" s="69">
        <v>320</v>
      </c>
      <c r="B165" s="97" t="s">
        <v>211</v>
      </c>
      <c r="C165" s="98">
        <v>0</v>
      </c>
      <c r="D165" s="98">
        <v>500</v>
      </c>
      <c r="E165" s="98">
        <f t="shared" si="37"/>
        <v>500</v>
      </c>
      <c r="F165" s="99">
        <v>500</v>
      </c>
      <c r="G165" s="99"/>
      <c r="H165" s="99">
        <f t="shared" si="38"/>
        <v>0</v>
      </c>
      <c r="I165" s="99"/>
      <c r="J165" s="48">
        <f t="shared" si="41"/>
        <v>0</v>
      </c>
      <c r="K165" s="54">
        <f t="shared" si="42"/>
        <v>500</v>
      </c>
      <c r="L165" s="99">
        <f t="shared" si="39"/>
        <v>500</v>
      </c>
      <c r="M165" s="268"/>
      <c r="O165" s="42">
        <v>0</v>
      </c>
    </row>
    <row r="166" spans="1:15" ht="15.75" customHeight="1" x14ac:dyDescent="0.2">
      <c r="A166" s="69">
        <v>330</v>
      </c>
      <c r="B166" s="97" t="s">
        <v>322</v>
      </c>
      <c r="C166" s="98">
        <v>0</v>
      </c>
      <c r="D166" s="98">
        <f>SUM(D167)</f>
        <v>13480</v>
      </c>
      <c r="E166" s="98">
        <f>SUM(E167)</f>
        <v>13480</v>
      </c>
      <c r="F166" s="99">
        <f>SUM(F167)</f>
        <v>13480</v>
      </c>
      <c r="G166" s="99">
        <f>G167</f>
        <v>0</v>
      </c>
      <c r="H166" s="99">
        <f t="shared" si="38"/>
        <v>472.94</v>
      </c>
      <c r="I166" s="99"/>
      <c r="J166" s="53">
        <f t="shared" si="41"/>
        <v>472.94</v>
      </c>
      <c r="K166" s="54">
        <f t="shared" si="42"/>
        <v>13007.06</v>
      </c>
      <c r="L166" s="99">
        <f t="shared" si="39"/>
        <v>13007.06</v>
      </c>
      <c r="M166" s="268">
        <f>+H166*100/F166</f>
        <v>3.5084569732937685</v>
      </c>
      <c r="O166" s="42">
        <v>472.94</v>
      </c>
    </row>
    <row r="167" spans="1:15" ht="15.75" customHeight="1" x14ac:dyDescent="0.2">
      <c r="A167" s="68">
        <v>332</v>
      </c>
      <c r="B167" s="104" t="s">
        <v>212</v>
      </c>
      <c r="C167" s="98"/>
      <c r="D167" s="101">
        <v>13480</v>
      </c>
      <c r="E167" s="101">
        <f t="shared" si="37"/>
        <v>13480</v>
      </c>
      <c r="F167" s="102">
        <v>13480</v>
      </c>
      <c r="G167" s="99">
        <v>0</v>
      </c>
      <c r="H167" s="102">
        <f t="shared" si="38"/>
        <v>472.94</v>
      </c>
      <c r="I167" s="278"/>
      <c r="J167" s="48">
        <f t="shared" si="41"/>
        <v>472.94</v>
      </c>
      <c r="K167" s="50">
        <f t="shared" si="42"/>
        <v>13007.06</v>
      </c>
      <c r="L167" s="102">
        <f t="shared" si="39"/>
        <v>13007.06</v>
      </c>
      <c r="M167" s="269">
        <f>+H167*100/F167</f>
        <v>3.5084569732937685</v>
      </c>
      <c r="O167" s="42">
        <v>472.94</v>
      </c>
    </row>
    <row r="168" spans="1:15" ht="14.25" customHeight="1" x14ac:dyDescent="0.2">
      <c r="A168" s="69">
        <v>340</v>
      </c>
      <c r="B168" s="97" t="s">
        <v>61</v>
      </c>
      <c r="C168" s="98">
        <v>0</v>
      </c>
      <c r="D168" s="98">
        <v>500</v>
      </c>
      <c r="E168" s="98">
        <f>SUM(C168:D168)</f>
        <v>500</v>
      </c>
      <c r="F168" s="99">
        <v>500</v>
      </c>
      <c r="G168" s="99"/>
      <c r="H168" s="99">
        <f t="shared" si="38"/>
        <v>0</v>
      </c>
      <c r="I168" s="278"/>
      <c r="J168" s="53">
        <f t="shared" si="41"/>
        <v>0</v>
      </c>
      <c r="K168" s="54">
        <f t="shared" si="42"/>
        <v>500</v>
      </c>
      <c r="L168" s="99">
        <f t="shared" si="39"/>
        <v>500</v>
      </c>
      <c r="M168" s="268"/>
      <c r="O168" s="42">
        <v>0</v>
      </c>
    </row>
    <row r="169" spans="1:15" ht="14.25" customHeight="1" x14ac:dyDescent="0.2">
      <c r="A169" s="69">
        <v>350</v>
      </c>
      <c r="B169" s="97" t="s">
        <v>213</v>
      </c>
      <c r="C169" s="98">
        <v>0</v>
      </c>
      <c r="D169" s="98">
        <v>4500</v>
      </c>
      <c r="E169" s="98">
        <f t="shared" si="37"/>
        <v>4500</v>
      </c>
      <c r="F169" s="99">
        <v>4500</v>
      </c>
      <c r="G169" s="99">
        <v>106.99</v>
      </c>
      <c r="H169" s="99">
        <f t="shared" si="38"/>
        <v>3108.9799999999996</v>
      </c>
      <c r="I169" s="278">
        <v>829.89</v>
      </c>
      <c r="J169" s="53">
        <f t="shared" si="41"/>
        <v>2279.0899999999997</v>
      </c>
      <c r="K169" s="54">
        <f t="shared" si="42"/>
        <v>1391.0200000000004</v>
      </c>
      <c r="L169" s="99">
        <f t="shared" si="39"/>
        <v>1391.0200000000004</v>
      </c>
      <c r="M169" s="268"/>
      <c r="O169" s="42">
        <v>3001.99</v>
      </c>
    </row>
    <row r="170" spans="1:15" ht="13.5" customHeight="1" x14ac:dyDescent="0.2">
      <c r="A170" s="69">
        <v>370</v>
      </c>
      <c r="B170" s="97" t="s">
        <v>214</v>
      </c>
      <c r="C170" s="98">
        <v>0</v>
      </c>
      <c r="D170" s="98">
        <v>78100</v>
      </c>
      <c r="E170" s="98">
        <f t="shared" si="37"/>
        <v>78100</v>
      </c>
      <c r="F170" s="99">
        <v>78100</v>
      </c>
      <c r="G170" s="99">
        <v>3488.49</v>
      </c>
      <c r="H170" s="99">
        <f t="shared" si="38"/>
        <v>20292.440000000002</v>
      </c>
      <c r="I170" s="278">
        <v>13951.11</v>
      </c>
      <c r="J170" s="53">
        <f t="shared" si="41"/>
        <v>6341.3300000000017</v>
      </c>
      <c r="K170" s="54">
        <f t="shared" si="42"/>
        <v>57807.56</v>
      </c>
      <c r="L170" s="99">
        <f t="shared" si="39"/>
        <v>57807.56</v>
      </c>
      <c r="M170" s="268">
        <f t="shared" ref="M170:M187" si="43">+H170*100/F170</f>
        <v>25.982637644046097</v>
      </c>
      <c r="O170" s="42">
        <v>16803.95</v>
      </c>
    </row>
    <row r="171" spans="1:15" ht="13.5" customHeight="1" x14ac:dyDescent="0.2">
      <c r="A171" s="69">
        <v>380</v>
      </c>
      <c r="B171" s="97" t="s">
        <v>215</v>
      </c>
      <c r="C171" s="98"/>
      <c r="D171" s="98">
        <v>16600</v>
      </c>
      <c r="E171" s="98">
        <f t="shared" si="37"/>
        <v>16600</v>
      </c>
      <c r="F171" s="99">
        <v>16600</v>
      </c>
      <c r="G171" s="99">
        <v>0</v>
      </c>
      <c r="H171" s="99">
        <f t="shared" si="38"/>
        <v>3082.89</v>
      </c>
      <c r="I171" s="278">
        <v>444.25</v>
      </c>
      <c r="J171" s="53">
        <f t="shared" si="41"/>
        <v>2638.64</v>
      </c>
      <c r="K171" s="54">
        <f t="shared" si="42"/>
        <v>13517.11</v>
      </c>
      <c r="L171" s="99">
        <f t="shared" si="39"/>
        <v>13517.11</v>
      </c>
      <c r="M171" s="268">
        <f t="shared" si="43"/>
        <v>18.571626506024096</v>
      </c>
      <c r="O171" s="42">
        <v>3082.89</v>
      </c>
    </row>
    <row r="172" spans="1:15" ht="12.75" customHeight="1" x14ac:dyDescent="0.2">
      <c r="A172" s="69">
        <v>390</v>
      </c>
      <c r="B172" s="97" t="s">
        <v>265</v>
      </c>
      <c r="C172" s="107"/>
      <c r="D172" s="108">
        <f>SUM(D173:D177)</f>
        <v>23700</v>
      </c>
      <c r="E172" s="108">
        <f t="shared" si="37"/>
        <v>23700</v>
      </c>
      <c r="F172" s="109">
        <f>SUM(F173:F177)</f>
        <v>23700</v>
      </c>
      <c r="G172" s="109">
        <f>SUM(G174:G177)</f>
        <v>0</v>
      </c>
      <c r="H172" s="110">
        <f>SUM(H173:H177)</f>
        <v>22536.089999999997</v>
      </c>
      <c r="I172" s="278">
        <f>SUM(I173:I177)</f>
        <v>13705.99</v>
      </c>
      <c r="J172" s="53">
        <f t="shared" si="41"/>
        <v>8830.0999999999967</v>
      </c>
      <c r="K172" s="54">
        <f t="shared" si="42"/>
        <v>1163.9100000000035</v>
      </c>
      <c r="L172" s="111">
        <f t="shared" si="39"/>
        <v>1163.9100000000035</v>
      </c>
      <c r="M172" s="268">
        <f t="shared" si="43"/>
        <v>95.088987341772139</v>
      </c>
      <c r="O172" s="42">
        <v>22536.089999999997</v>
      </c>
    </row>
    <row r="173" spans="1:15" ht="12.75" customHeight="1" x14ac:dyDescent="0.2">
      <c r="A173" s="69">
        <v>391</v>
      </c>
      <c r="B173" s="104" t="s">
        <v>265</v>
      </c>
      <c r="C173" s="112"/>
      <c r="D173" s="89">
        <v>3000</v>
      </c>
      <c r="E173" s="89">
        <f t="shared" si="37"/>
        <v>3000</v>
      </c>
      <c r="F173" s="113">
        <v>3000</v>
      </c>
      <c r="G173" s="113">
        <v>0</v>
      </c>
      <c r="H173" s="114">
        <f>+O173+G173</f>
        <v>2873.94</v>
      </c>
      <c r="I173" s="279">
        <v>2873.91</v>
      </c>
      <c r="J173" s="48">
        <f t="shared" si="41"/>
        <v>3.0000000000200089E-2</v>
      </c>
      <c r="K173" s="50">
        <f t="shared" si="42"/>
        <v>126.05999999999995</v>
      </c>
      <c r="L173" s="115">
        <f t="shared" si="39"/>
        <v>126.05999999999995</v>
      </c>
      <c r="M173" s="269">
        <f t="shared" si="43"/>
        <v>95.798000000000002</v>
      </c>
      <c r="O173" s="42">
        <v>2873.94</v>
      </c>
    </row>
    <row r="174" spans="1:15" ht="12.75" customHeight="1" x14ac:dyDescent="0.2">
      <c r="A174" s="69">
        <v>393</v>
      </c>
      <c r="B174" s="104" t="s">
        <v>323</v>
      </c>
      <c r="C174" s="112"/>
      <c r="D174" s="89">
        <v>9000</v>
      </c>
      <c r="E174" s="89">
        <f t="shared" si="37"/>
        <v>9000</v>
      </c>
      <c r="F174" s="113">
        <v>9000</v>
      </c>
      <c r="G174" s="113">
        <v>0</v>
      </c>
      <c r="H174" s="114">
        <f>+O174+G174</f>
        <v>8830.07</v>
      </c>
      <c r="I174" s="279"/>
      <c r="J174" s="48">
        <f t="shared" si="41"/>
        <v>8830.07</v>
      </c>
      <c r="K174" s="50">
        <f t="shared" si="42"/>
        <v>169.93000000000029</v>
      </c>
      <c r="L174" s="115">
        <f t="shared" si="39"/>
        <v>169.93000000000029</v>
      </c>
      <c r="M174" s="269">
        <f t="shared" si="43"/>
        <v>98.111888888888885</v>
      </c>
      <c r="O174" s="42">
        <v>8830.07</v>
      </c>
    </row>
    <row r="175" spans="1:15" ht="12.75" customHeight="1" x14ac:dyDescent="0.2">
      <c r="A175" s="69">
        <v>396</v>
      </c>
      <c r="B175" s="104" t="s">
        <v>265</v>
      </c>
      <c r="C175" s="112"/>
      <c r="D175" s="89">
        <v>600</v>
      </c>
      <c r="E175" s="89">
        <f t="shared" si="37"/>
        <v>600</v>
      </c>
      <c r="F175" s="113">
        <v>600</v>
      </c>
      <c r="G175" s="113">
        <v>0</v>
      </c>
      <c r="H175" s="114">
        <f>+O175+G175</f>
        <v>464.38</v>
      </c>
      <c r="I175" s="279">
        <v>464.38</v>
      </c>
      <c r="J175" s="48">
        <f t="shared" si="41"/>
        <v>0</v>
      </c>
      <c r="K175" s="50">
        <f t="shared" si="42"/>
        <v>135.62</v>
      </c>
      <c r="L175" s="115">
        <f t="shared" si="39"/>
        <v>135.62</v>
      </c>
      <c r="M175" s="269">
        <f t="shared" si="43"/>
        <v>77.396666666666661</v>
      </c>
      <c r="O175" s="42">
        <v>464.38</v>
      </c>
    </row>
    <row r="176" spans="1:15" ht="12.75" customHeight="1" x14ac:dyDescent="0.2">
      <c r="A176" s="69">
        <v>398</v>
      </c>
      <c r="B176" s="104" t="s">
        <v>265</v>
      </c>
      <c r="C176" s="112"/>
      <c r="D176" s="89">
        <v>4400</v>
      </c>
      <c r="E176" s="89">
        <f t="shared" si="37"/>
        <v>4400</v>
      </c>
      <c r="F176" s="113">
        <v>4400</v>
      </c>
      <c r="G176" s="113">
        <v>0</v>
      </c>
      <c r="H176" s="114">
        <f>+O176+G176</f>
        <v>3915.2999999999997</v>
      </c>
      <c r="I176" s="279">
        <v>3915.3</v>
      </c>
      <c r="J176" s="48">
        <f t="shared" si="41"/>
        <v>0</v>
      </c>
      <c r="K176" s="50">
        <f t="shared" si="42"/>
        <v>484.70000000000027</v>
      </c>
      <c r="L176" s="115">
        <f t="shared" si="39"/>
        <v>484.70000000000027</v>
      </c>
      <c r="M176" s="269">
        <f t="shared" si="43"/>
        <v>88.984090909090909</v>
      </c>
      <c r="O176" s="42">
        <v>3915.2999999999997</v>
      </c>
    </row>
    <row r="177" spans="1:18" ht="12.75" customHeight="1" x14ac:dyDescent="0.2">
      <c r="A177" s="69">
        <v>399</v>
      </c>
      <c r="B177" s="104" t="s">
        <v>312</v>
      </c>
      <c r="C177" s="112"/>
      <c r="D177" s="116">
        <v>6700</v>
      </c>
      <c r="E177" s="116">
        <f>SUM(C177:D177)</f>
        <v>6700</v>
      </c>
      <c r="F177" s="117">
        <v>6700</v>
      </c>
      <c r="G177" s="117">
        <v>0</v>
      </c>
      <c r="H177" s="102">
        <f>+O177+G177</f>
        <v>6452.4</v>
      </c>
      <c r="I177" s="280">
        <v>6452.4</v>
      </c>
      <c r="J177" s="48">
        <f t="shared" si="41"/>
        <v>0</v>
      </c>
      <c r="K177" s="50">
        <f t="shared" si="42"/>
        <v>247.60000000000036</v>
      </c>
      <c r="L177" s="115">
        <f t="shared" si="39"/>
        <v>247.60000000000036</v>
      </c>
      <c r="M177" s="269">
        <f t="shared" si="43"/>
        <v>96.3044776119403</v>
      </c>
      <c r="O177" s="42">
        <v>6452.4</v>
      </c>
    </row>
    <row r="178" spans="1:18" ht="15" customHeight="1" x14ac:dyDescent="0.2">
      <c r="A178" s="133">
        <v>4</v>
      </c>
      <c r="B178" s="156" t="s">
        <v>216</v>
      </c>
      <c r="C178" s="156">
        <f>SUM(C179)</f>
        <v>995142</v>
      </c>
      <c r="D178" s="156">
        <f>+D179+D181</f>
        <v>-476250</v>
      </c>
      <c r="E178" s="156">
        <f t="shared" ref="E178:E185" si="44">+C178+D178</f>
        <v>518892</v>
      </c>
      <c r="F178" s="157">
        <f>+F179+F181</f>
        <v>518892</v>
      </c>
      <c r="G178" s="158">
        <f>+G179+G181</f>
        <v>4373.95</v>
      </c>
      <c r="H178" s="159">
        <f>+H179+H181</f>
        <v>105848.37</v>
      </c>
      <c r="I178" s="160">
        <f>+I179+I181</f>
        <v>40743.35</v>
      </c>
      <c r="J178" s="274">
        <f>J179+J181</f>
        <v>65105.020000000004</v>
      </c>
      <c r="K178" s="161">
        <f t="shared" si="42"/>
        <v>413043.63</v>
      </c>
      <c r="L178" s="159">
        <f t="shared" si="39"/>
        <v>413043.63</v>
      </c>
      <c r="M178" s="270">
        <f t="shared" si="43"/>
        <v>20.398921162785321</v>
      </c>
      <c r="O178" s="42">
        <v>101474.42000000001</v>
      </c>
    </row>
    <row r="179" spans="1:18" x14ac:dyDescent="0.2">
      <c r="A179" s="69">
        <v>430</v>
      </c>
      <c r="B179" s="149" t="s">
        <v>217</v>
      </c>
      <c r="C179" s="108">
        <f>SUM(C180)</f>
        <v>995142</v>
      </c>
      <c r="D179" s="149">
        <f>SUM(D180)</f>
        <v>-486190</v>
      </c>
      <c r="E179" s="108">
        <f t="shared" si="44"/>
        <v>508952</v>
      </c>
      <c r="F179" s="162">
        <f>+F180</f>
        <v>508952</v>
      </c>
      <c r="G179" s="163">
        <f>+G180</f>
        <v>3913.15</v>
      </c>
      <c r="H179" s="50">
        <f>+O179+G179</f>
        <v>100676.47</v>
      </c>
      <c r="I179" s="108">
        <f>SUM(I180)</f>
        <v>38994.85</v>
      </c>
      <c r="J179" s="53">
        <f t="shared" si="41"/>
        <v>61681.62</v>
      </c>
      <c r="K179" s="54">
        <f t="shared" si="42"/>
        <v>408275.53</v>
      </c>
      <c r="L179" s="109">
        <f t="shared" si="39"/>
        <v>408275.53</v>
      </c>
      <c r="M179" s="264">
        <f t="shared" si="43"/>
        <v>19.78113260189566</v>
      </c>
      <c r="O179" s="42">
        <v>96763.32</v>
      </c>
    </row>
    <row r="180" spans="1:18" ht="13.5" customHeight="1" x14ac:dyDescent="0.2">
      <c r="A180" s="68">
        <v>439</v>
      </c>
      <c r="B180" s="146" t="s">
        <v>218</v>
      </c>
      <c r="C180" s="89">
        <v>995142</v>
      </c>
      <c r="D180" s="89">
        <f>-486190</f>
        <v>-486190</v>
      </c>
      <c r="E180" s="89">
        <f t="shared" si="44"/>
        <v>508952</v>
      </c>
      <c r="F180" s="147">
        <v>508952</v>
      </c>
      <c r="G180" s="164">
        <v>3913.15</v>
      </c>
      <c r="H180" s="50">
        <f>+O180+G180</f>
        <v>100676.47</v>
      </c>
      <c r="I180" s="89">
        <v>38994.85</v>
      </c>
      <c r="J180" s="48">
        <f t="shared" si="41"/>
        <v>61681.62</v>
      </c>
      <c r="K180" s="50">
        <f t="shared" si="42"/>
        <v>408275.53</v>
      </c>
      <c r="L180" s="113">
        <f t="shared" si="39"/>
        <v>408275.53</v>
      </c>
      <c r="M180" s="263">
        <f t="shared" si="43"/>
        <v>19.78113260189566</v>
      </c>
      <c r="O180" s="42">
        <v>96763.32</v>
      </c>
    </row>
    <row r="181" spans="1:18" ht="13.5" customHeight="1" x14ac:dyDescent="0.2">
      <c r="A181" s="69">
        <v>490</v>
      </c>
      <c r="B181" s="149" t="s">
        <v>219</v>
      </c>
      <c r="C181" s="89">
        <f>SUM(C182)</f>
        <v>0</v>
      </c>
      <c r="D181" s="108">
        <f>+D182</f>
        <v>9940</v>
      </c>
      <c r="E181" s="108">
        <f t="shared" si="44"/>
        <v>9940</v>
      </c>
      <c r="F181" s="162">
        <f>+F182</f>
        <v>9940</v>
      </c>
      <c r="G181" s="88">
        <f>+G182</f>
        <v>460.8</v>
      </c>
      <c r="H181" s="108">
        <f>+H182</f>
        <v>5171.9000000000005</v>
      </c>
      <c r="I181" s="108">
        <f>I182</f>
        <v>1748.5</v>
      </c>
      <c r="J181" s="53">
        <f t="shared" si="41"/>
        <v>3423.4000000000005</v>
      </c>
      <c r="K181" s="50">
        <f t="shared" si="42"/>
        <v>4768.0999999999995</v>
      </c>
      <c r="L181" s="109">
        <f t="shared" si="39"/>
        <v>4768.0999999999995</v>
      </c>
      <c r="M181" s="264">
        <f t="shared" si="43"/>
        <v>52.031187122736426</v>
      </c>
      <c r="O181" s="42">
        <v>4711.1000000000004</v>
      </c>
    </row>
    <row r="182" spans="1:18" ht="14.45" customHeight="1" x14ac:dyDescent="0.2">
      <c r="A182" s="68">
        <v>494</v>
      </c>
      <c r="B182" s="146" t="s">
        <v>220</v>
      </c>
      <c r="C182" s="89"/>
      <c r="D182" s="89">
        <v>9940</v>
      </c>
      <c r="E182" s="89">
        <f t="shared" si="44"/>
        <v>9940</v>
      </c>
      <c r="F182" s="86">
        <v>9940</v>
      </c>
      <c r="G182" s="165">
        <v>460.8</v>
      </c>
      <c r="H182" s="113">
        <f>+O182+G182</f>
        <v>5171.9000000000005</v>
      </c>
      <c r="I182" s="113">
        <v>1748.5</v>
      </c>
      <c r="J182" s="48">
        <f t="shared" si="41"/>
        <v>3423.4000000000005</v>
      </c>
      <c r="K182" s="50">
        <f t="shared" si="42"/>
        <v>4768.0999999999995</v>
      </c>
      <c r="L182" s="113">
        <f t="shared" si="39"/>
        <v>4768.0999999999995</v>
      </c>
      <c r="M182" s="263">
        <f t="shared" si="43"/>
        <v>52.031187122736426</v>
      </c>
      <c r="O182" s="42">
        <v>4711.1000000000004</v>
      </c>
    </row>
    <row r="183" spans="1:18" ht="15.75" customHeight="1" x14ac:dyDescent="0.2">
      <c r="A183" s="134" t="s">
        <v>221</v>
      </c>
      <c r="B183" s="166" t="s">
        <v>288</v>
      </c>
      <c r="C183" s="160">
        <f>C184+C186+C192+C195+C199</f>
        <v>670580</v>
      </c>
      <c r="D183" s="160">
        <f>+D184+D186+D195+D192+D199</f>
        <v>1211400</v>
      </c>
      <c r="E183" s="167">
        <f t="shared" si="44"/>
        <v>1881980</v>
      </c>
      <c r="F183" s="160">
        <f>+F184+F186+F192+F195+F199</f>
        <v>1857970</v>
      </c>
      <c r="G183" s="168">
        <f>+G184+G186+G195+G192+G199</f>
        <v>59671.520000000004</v>
      </c>
      <c r="H183" s="160">
        <f>+H184+H186+H195+H192+H199</f>
        <v>899301.06000000017</v>
      </c>
      <c r="I183" s="160">
        <f>+I184+I186+I195+I192+I199</f>
        <v>872490.73</v>
      </c>
      <c r="J183" s="168">
        <f>+J184+J186+J195+J192+J199</f>
        <v>26810.330000000075</v>
      </c>
      <c r="K183" s="161">
        <f t="shared" si="42"/>
        <v>958668.93999999983</v>
      </c>
      <c r="L183" s="159">
        <f t="shared" si="39"/>
        <v>982678.93999999983</v>
      </c>
      <c r="M183" s="270">
        <f t="shared" si="43"/>
        <v>48.402345570703517</v>
      </c>
      <c r="O183" s="285">
        <v>839629.54000000015</v>
      </c>
    </row>
    <row r="184" spans="1:18" s="27" customFormat="1" x14ac:dyDescent="0.2">
      <c r="A184" s="62" t="s">
        <v>223</v>
      </c>
      <c r="B184" s="169" t="s">
        <v>224</v>
      </c>
      <c r="C184" s="108">
        <f>SUM(C185)</f>
        <v>118164</v>
      </c>
      <c r="D184" s="108">
        <f>SUM(D185)</f>
        <v>0</v>
      </c>
      <c r="E184" s="108">
        <f t="shared" si="44"/>
        <v>118164</v>
      </c>
      <c r="F184" s="162">
        <f>+F185</f>
        <v>106164</v>
      </c>
      <c r="G184" s="163">
        <f>+G185</f>
        <v>4440.12</v>
      </c>
      <c r="H184" s="109">
        <f>SUM(H185)</f>
        <v>44401.270000000004</v>
      </c>
      <c r="I184" s="108">
        <f>+I185</f>
        <v>44401.2</v>
      </c>
      <c r="J184" s="48">
        <f t="shared" si="41"/>
        <v>7.0000000006984919E-2</v>
      </c>
      <c r="K184" s="54">
        <f t="shared" si="42"/>
        <v>61762.729999999996</v>
      </c>
      <c r="L184" s="109">
        <f t="shared" si="39"/>
        <v>73762.73</v>
      </c>
      <c r="M184" s="264">
        <f t="shared" si="43"/>
        <v>41.82328284540899</v>
      </c>
      <c r="O184" s="43">
        <v>39961.15</v>
      </c>
    </row>
    <row r="185" spans="1:18" s="27" customFormat="1" ht="13.5" customHeight="1" x14ac:dyDescent="0.2">
      <c r="A185" s="62" t="s">
        <v>225</v>
      </c>
      <c r="B185" s="148" t="s">
        <v>303</v>
      </c>
      <c r="C185" s="89">
        <v>118164</v>
      </c>
      <c r="D185" s="89"/>
      <c r="E185" s="89">
        <f t="shared" si="44"/>
        <v>118164</v>
      </c>
      <c r="F185" s="147">
        <v>106164</v>
      </c>
      <c r="G185" s="164">
        <v>4440.12</v>
      </c>
      <c r="H185" s="50">
        <f>+O185+G185</f>
        <v>44401.270000000004</v>
      </c>
      <c r="I185" s="89">
        <v>44401.2</v>
      </c>
      <c r="J185" s="48">
        <f t="shared" si="41"/>
        <v>7.0000000006984919E-2</v>
      </c>
      <c r="K185" s="50">
        <f t="shared" si="42"/>
        <v>61762.729999999996</v>
      </c>
      <c r="L185" s="113">
        <f t="shared" si="39"/>
        <v>73762.73</v>
      </c>
      <c r="M185" s="263">
        <f t="shared" si="43"/>
        <v>41.82328284540899</v>
      </c>
      <c r="O185" s="43">
        <v>39961.15</v>
      </c>
      <c r="P185" s="27" t="s">
        <v>2</v>
      </c>
      <c r="Q185" s="27" t="s">
        <v>2</v>
      </c>
    </row>
    <row r="186" spans="1:18" s="27" customFormat="1" x14ac:dyDescent="0.2">
      <c r="A186" s="66" t="s">
        <v>226</v>
      </c>
      <c r="B186" s="149" t="s">
        <v>92</v>
      </c>
      <c r="C186" s="108">
        <f>+C187+C189+C191+C190+C188</f>
        <v>438286</v>
      </c>
      <c r="D186" s="108">
        <f>SUM(D187:D191)</f>
        <v>1202500</v>
      </c>
      <c r="E186" s="108">
        <f>+E187+E190+E191+E188</f>
        <v>1640786</v>
      </c>
      <c r="F186" s="162">
        <f>+F187+F188+F190+F191</f>
        <v>1640786</v>
      </c>
      <c r="G186" s="163">
        <f>SUM(G187:G191)</f>
        <v>54981.4</v>
      </c>
      <c r="H186" s="54">
        <f>+O186+G186</f>
        <v>822548.2300000001</v>
      </c>
      <c r="I186" s="108">
        <f>SUM(I187:I191)</f>
        <v>822548.53</v>
      </c>
      <c r="J186" s="48">
        <f t="shared" si="41"/>
        <v>-0.29999999993015081</v>
      </c>
      <c r="K186" s="54">
        <f t="shared" si="42"/>
        <v>818237.7699999999</v>
      </c>
      <c r="L186" s="109">
        <f t="shared" si="39"/>
        <v>818237.7699999999</v>
      </c>
      <c r="M186" s="264">
        <f t="shared" si="43"/>
        <v>50.131353509842242</v>
      </c>
      <c r="O186" s="43">
        <v>767566.83000000007</v>
      </c>
      <c r="R186" s="7" t="s">
        <v>2</v>
      </c>
    </row>
    <row r="187" spans="1:18" s="27" customFormat="1" ht="14.25" customHeight="1" x14ac:dyDescent="0.2">
      <c r="A187" s="68">
        <v>611</v>
      </c>
      <c r="B187" s="146" t="s">
        <v>249</v>
      </c>
      <c r="C187" s="89">
        <v>5000</v>
      </c>
      <c r="D187" s="89">
        <v>-3900</v>
      </c>
      <c r="E187" s="89">
        <f t="shared" ref="E187:E197" si="45">+C187+D187</f>
        <v>1100</v>
      </c>
      <c r="F187" s="86">
        <v>1100</v>
      </c>
      <c r="G187" s="165">
        <v>0</v>
      </c>
      <c r="H187" s="50">
        <f>+O187+G187</f>
        <v>0</v>
      </c>
      <c r="I187" s="113">
        <v>0</v>
      </c>
      <c r="J187" s="48">
        <f t="shared" si="41"/>
        <v>0</v>
      </c>
      <c r="K187" s="50">
        <f t="shared" si="42"/>
        <v>1100</v>
      </c>
      <c r="L187" s="113">
        <f t="shared" si="39"/>
        <v>1100</v>
      </c>
      <c r="M187" s="263">
        <f t="shared" si="43"/>
        <v>0</v>
      </c>
      <c r="O187" s="43">
        <v>0</v>
      </c>
    </row>
    <row r="188" spans="1:18" s="27" customFormat="1" ht="13.5" customHeight="1" x14ac:dyDescent="0.2">
      <c r="A188" s="68">
        <v>612</v>
      </c>
      <c r="B188" s="146" t="s">
        <v>279</v>
      </c>
      <c r="C188" s="89">
        <v>280036</v>
      </c>
      <c r="D188" s="89">
        <f>198000-198000</f>
        <v>0</v>
      </c>
      <c r="E188" s="89">
        <f t="shared" si="45"/>
        <v>280036</v>
      </c>
      <c r="F188" s="86">
        <v>280036</v>
      </c>
      <c r="G188" s="165">
        <v>0</v>
      </c>
      <c r="H188" s="50">
        <v>0</v>
      </c>
      <c r="I188" s="113">
        <v>0</v>
      </c>
      <c r="J188" s="48">
        <f t="shared" si="41"/>
        <v>0</v>
      </c>
      <c r="K188" s="50">
        <f t="shared" si="42"/>
        <v>280036</v>
      </c>
      <c r="L188" s="113">
        <f t="shared" si="39"/>
        <v>280036</v>
      </c>
      <c r="M188" s="263" t="s">
        <v>2</v>
      </c>
      <c r="O188" s="43">
        <v>0</v>
      </c>
    </row>
    <row r="189" spans="1:18" s="27" customFormat="1" ht="12" hidden="1" customHeight="1" x14ac:dyDescent="0.2">
      <c r="A189" s="68">
        <v>613</v>
      </c>
      <c r="B189" s="146" t="s">
        <v>258</v>
      </c>
      <c r="C189" s="89">
        <v>0</v>
      </c>
      <c r="D189" s="89"/>
      <c r="E189" s="89">
        <f t="shared" si="45"/>
        <v>0</v>
      </c>
      <c r="F189" s="86">
        <v>0</v>
      </c>
      <c r="G189" s="165"/>
      <c r="H189" s="50">
        <f t="shared" ref="H189:H201" si="46">+O189+G189</f>
        <v>0</v>
      </c>
      <c r="I189" s="113"/>
      <c r="J189" s="48">
        <f t="shared" si="41"/>
        <v>0</v>
      </c>
      <c r="K189" s="50">
        <f t="shared" ref="K189:K200" si="47">+F189-H189</f>
        <v>0</v>
      </c>
      <c r="L189" s="113">
        <f t="shared" si="39"/>
        <v>0</v>
      </c>
      <c r="M189" s="263" t="e">
        <f>+H189*100/F189</f>
        <v>#DIV/0!</v>
      </c>
      <c r="O189" s="43">
        <v>0</v>
      </c>
    </row>
    <row r="190" spans="1:18" s="27" customFormat="1" ht="12.75" customHeight="1" x14ac:dyDescent="0.2">
      <c r="A190" s="68">
        <v>614</v>
      </c>
      <c r="B190" s="146" t="s">
        <v>257</v>
      </c>
      <c r="C190" s="89">
        <v>150000</v>
      </c>
      <c r="D190" s="89">
        <v>1187000</v>
      </c>
      <c r="E190" s="89">
        <f t="shared" si="45"/>
        <v>1337000</v>
      </c>
      <c r="F190" s="86">
        <v>1337000</v>
      </c>
      <c r="G190" s="165">
        <v>54981.4</v>
      </c>
      <c r="H190" s="50">
        <f t="shared" si="46"/>
        <v>819048.2300000001</v>
      </c>
      <c r="I190" s="113">
        <v>819048.53</v>
      </c>
      <c r="J190" s="48">
        <f t="shared" si="41"/>
        <v>-0.29999999993015081</v>
      </c>
      <c r="K190" s="50">
        <f t="shared" si="47"/>
        <v>517951.7699999999</v>
      </c>
      <c r="L190" s="113">
        <f t="shared" si="39"/>
        <v>517951.7699999999</v>
      </c>
      <c r="M190" s="263">
        <f>+H190*100/F190</f>
        <v>61.260151832460743</v>
      </c>
      <c r="O190" s="43">
        <v>764066.83000000007</v>
      </c>
    </row>
    <row r="191" spans="1:18" s="27" customFormat="1" ht="13.5" customHeight="1" x14ac:dyDescent="0.2">
      <c r="A191" s="68">
        <v>619</v>
      </c>
      <c r="B191" s="146" t="s">
        <v>255</v>
      </c>
      <c r="C191" s="89">
        <v>3250</v>
      </c>
      <c r="D191" s="89">
        <v>19400</v>
      </c>
      <c r="E191" s="89">
        <f t="shared" si="45"/>
        <v>22650</v>
      </c>
      <c r="F191" s="86">
        <v>22650</v>
      </c>
      <c r="G191" s="165">
        <v>0</v>
      </c>
      <c r="H191" s="50">
        <f t="shared" si="46"/>
        <v>3500</v>
      </c>
      <c r="I191" s="113">
        <v>3500</v>
      </c>
      <c r="J191" s="48">
        <f t="shared" si="41"/>
        <v>0</v>
      </c>
      <c r="K191" s="50">
        <f t="shared" si="47"/>
        <v>19150</v>
      </c>
      <c r="L191" s="113">
        <f t="shared" si="39"/>
        <v>19150</v>
      </c>
      <c r="M191" s="263">
        <f>+H191*100/F191</f>
        <v>15.452538631346579</v>
      </c>
      <c r="O191" s="43">
        <v>3500</v>
      </c>
    </row>
    <row r="192" spans="1:18" s="27" customFormat="1" ht="13.5" customHeight="1" x14ac:dyDescent="0.2">
      <c r="A192" s="69">
        <v>620</v>
      </c>
      <c r="B192" s="149" t="s">
        <v>227</v>
      </c>
      <c r="C192" s="108">
        <f>+C193+C194</f>
        <v>87458</v>
      </c>
      <c r="D192" s="108">
        <f>+D193+D194</f>
        <v>-11900</v>
      </c>
      <c r="E192" s="108">
        <f t="shared" si="45"/>
        <v>75558</v>
      </c>
      <c r="F192" s="162">
        <f>+F193+F194</f>
        <v>63548</v>
      </c>
      <c r="G192" s="163">
        <f>+G194+G193</f>
        <v>250</v>
      </c>
      <c r="H192" s="54">
        <f t="shared" si="46"/>
        <v>24738</v>
      </c>
      <c r="I192" s="108">
        <f>+I194+I193</f>
        <v>3391</v>
      </c>
      <c r="J192" s="48">
        <f t="shared" si="41"/>
        <v>21347</v>
      </c>
      <c r="K192" s="54">
        <f t="shared" si="47"/>
        <v>38810</v>
      </c>
      <c r="L192" s="109">
        <f t="shared" si="39"/>
        <v>50820</v>
      </c>
      <c r="M192" s="264">
        <f>+H192*100/F192</f>
        <v>38.928054384087616</v>
      </c>
      <c r="O192" s="43">
        <v>24488</v>
      </c>
    </row>
    <row r="193" spans="1:15" s="27" customFormat="1" ht="13.5" customHeight="1" x14ac:dyDescent="0.2">
      <c r="A193" s="68" t="s">
        <v>247</v>
      </c>
      <c r="B193" s="146" t="s">
        <v>248</v>
      </c>
      <c r="C193" s="89">
        <v>20977</v>
      </c>
      <c r="D193" s="89">
        <v>-5900</v>
      </c>
      <c r="E193" s="89">
        <f t="shared" si="45"/>
        <v>15077</v>
      </c>
      <c r="F193" s="86">
        <v>10747</v>
      </c>
      <c r="G193" s="165">
        <v>0</v>
      </c>
      <c r="H193" s="50">
        <f t="shared" si="46"/>
        <v>0</v>
      </c>
      <c r="I193" s="113">
        <v>0</v>
      </c>
      <c r="J193" s="48">
        <f t="shared" si="41"/>
        <v>0</v>
      </c>
      <c r="K193" s="50">
        <f t="shared" si="47"/>
        <v>10747</v>
      </c>
      <c r="L193" s="113">
        <f t="shared" si="39"/>
        <v>15077</v>
      </c>
      <c r="M193" s="263" t="s">
        <v>2</v>
      </c>
      <c r="O193" s="43">
        <v>0</v>
      </c>
    </row>
    <row r="194" spans="1:15" s="27" customFormat="1" ht="12" customHeight="1" x14ac:dyDescent="0.2">
      <c r="A194" s="68">
        <v>624</v>
      </c>
      <c r="B194" s="146" t="s">
        <v>228</v>
      </c>
      <c r="C194" s="89">
        <v>66481</v>
      </c>
      <c r="D194" s="89">
        <v>-6000</v>
      </c>
      <c r="E194" s="89">
        <f t="shared" si="45"/>
        <v>60481</v>
      </c>
      <c r="F194" s="147">
        <v>52801</v>
      </c>
      <c r="G194" s="164">
        <v>250</v>
      </c>
      <c r="H194" s="50">
        <f t="shared" si="46"/>
        <v>24738</v>
      </c>
      <c r="I194" s="89">
        <v>3391</v>
      </c>
      <c r="J194" s="48">
        <f t="shared" si="41"/>
        <v>21347</v>
      </c>
      <c r="K194" s="50">
        <f t="shared" si="47"/>
        <v>28063</v>
      </c>
      <c r="L194" s="113">
        <f t="shared" si="39"/>
        <v>35743</v>
      </c>
      <c r="M194" s="263">
        <f>+H194*100/F194</f>
        <v>46.851385390428213</v>
      </c>
      <c r="O194" s="43">
        <v>24488</v>
      </c>
    </row>
    <row r="195" spans="1:15" s="27" customFormat="1" x14ac:dyDescent="0.2">
      <c r="A195" s="61" t="s">
        <v>229</v>
      </c>
      <c r="B195" s="169" t="s">
        <v>230</v>
      </c>
      <c r="C195" s="108">
        <f>SUM(C196:C198)</f>
        <v>26672</v>
      </c>
      <c r="D195" s="108">
        <f>SUM(D196:D198)</f>
        <v>5000</v>
      </c>
      <c r="E195" s="108">
        <f t="shared" si="45"/>
        <v>31672</v>
      </c>
      <c r="F195" s="170">
        <f>+F196+F198+F197</f>
        <v>31672</v>
      </c>
      <c r="G195" s="171">
        <f>SUM(G196:G198)</f>
        <v>0</v>
      </c>
      <c r="H195" s="54">
        <f t="shared" si="46"/>
        <v>5963.5599999999995</v>
      </c>
      <c r="I195" s="170">
        <f>SUM(I196:I198)</f>
        <v>2150</v>
      </c>
      <c r="J195" s="48">
        <f t="shared" si="41"/>
        <v>3813.5599999999995</v>
      </c>
      <c r="K195" s="54">
        <f t="shared" si="47"/>
        <v>25708.440000000002</v>
      </c>
      <c r="L195" s="109">
        <f t="shared" si="39"/>
        <v>25708.440000000002</v>
      </c>
      <c r="M195" s="264">
        <f t="shared" ref="M195:M201" si="48">+H195*100/F195</f>
        <v>18.829123516039402</v>
      </c>
      <c r="O195" s="43">
        <v>5963.5599999999995</v>
      </c>
    </row>
    <row r="196" spans="1:15" s="27" customFormat="1" ht="13.5" customHeight="1" x14ac:dyDescent="0.2">
      <c r="A196" s="62">
        <v>662</v>
      </c>
      <c r="B196" s="148" t="s">
        <v>231</v>
      </c>
      <c r="C196" s="89">
        <v>15172</v>
      </c>
      <c r="D196" s="89">
        <v>1500</v>
      </c>
      <c r="E196" s="89">
        <f t="shared" si="45"/>
        <v>16672</v>
      </c>
      <c r="F196" s="86">
        <v>16672</v>
      </c>
      <c r="G196" s="165">
        <v>0</v>
      </c>
      <c r="H196" s="50">
        <f t="shared" si="46"/>
        <v>1250</v>
      </c>
      <c r="I196" s="113">
        <v>1250</v>
      </c>
      <c r="J196" s="48">
        <f t="shared" si="41"/>
        <v>0</v>
      </c>
      <c r="K196" s="50">
        <f t="shared" si="47"/>
        <v>15422</v>
      </c>
      <c r="L196" s="113">
        <f t="shared" si="39"/>
        <v>15422</v>
      </c>
      <c r="M196" s="263">
        <f t="shared" si="48"/>
        <v>7.4976007677543191</v>
      </c>
      <c r="O196" s="43">
        <v>1250</v>
      </c>
    </row>
    <row r="197" spans="1:15" s="27" customFormat="1" ht="12.75" customHeight="1" x14ac:dyDescent="0.2">
      <c r="A197" s="62" t="s">
        <v>232</v>
      </c>
      <c r="B197" s="148" t="s">
        <v>233</v>
      </c>
      <c r="C197" s="89">
        <v>0</v>
      </c>
      <c r="D197" s="89">
        <v>9000</v>
      </c>
      <c r="E197" s="89">
        <f t="shared" si="45"/>
        <v>9000</v>
      </c>
      <c r="F197" s="86">
        <v>9000</v>
      </c>
      <c r="G197" s="165">
        <v>0</v>
      </c>
      <c r="H197" s="50">
        <f t="shared" si="46"/>
        <v>2000</v>
      </c>
      <c r="I197" s="113">
        <v>0</v>
      </c>
      <c r="J197" s="48">
        <f t="shared" si="41"/>
        <v>2000</v>
      </c>
      <c r="K197" s="50">
        <f t="shared" si="47"/>
        <v>7000</v>
      </c>
      <c r="L197" s="113">
        <f t="shared" si="39"/>
        <v>7000</v>
      </c>
      <c r="M197" s="263">
        <f t="shared" si="48"/>
        <v>22.222222222222221</v>
      </c>
      <c r="O197" s="43">
        <v>2000</v>
      </c>
    </row>
    <row r="198" spans="1:15" s="27" customFormat="1" ht="12.75" customHeight="1" x14ac:dyDescent="0.2">
      <c r="A198" s="62" t="s">
        <v>234</v>
      </c>
      <c r="B198" s="148" t="s">
        <v>235</v>
      </c>
      <c r="C198" s="89">
        <v>11500</v>
      </c>
      <c r="D198" s="89">
        <v>-5500</v>
      </c>
      <c r="E198" s="89">
        <f>+C198+D198</f>
        <v>6000</v>
      </c>
      <c r="F198" s="86">
        <v>6000</v>
      </c>
      <c r="G198" s="165">
        <v>0</v>
      </c>
      <c r="H198" s="50">
        <f t="shared" si="46"/>
        <v>2713.56</v>
      </c>
      <c r="I198" s="113">
        <v>900</v>
      </c>
      <c r="J198" s="48">
        <f t="shared" si="41"/>
        <v>1813.56</v>
      </c>
      <c r="K198" s="50">
        <f t="shared" si="47"/>
        <v>3286.44</v>
      </c>
      <c r="L198" s="113">
        <f t="shared" si="39"/>
        <v>3286.44</v>
      </c>
      <c r="M198" s="263">
        <f t="shared" si="48"/>
        <v>45.225999999999999</v>
      </c>
      <c r="O198" s="43">
        <v>2713.56</v>
      </c>
    </row>
    <row r="199" spans="1:15" s="27" customFormat="1" ht="13.5" customHeight="1" x14ac:dyDescent="0.2">
      <c r="A199" s="73">
        <v>690</v>
      </c>
      <c r="B199" s="109" t="s">
        <v>252</v>
      </c>
      <c r="C199" s="109">
        <f>+C200</f>
        <v>0</v>
      </c>
      <c r="D199" s="109">
        <f>SUM(D200:D201)</f>
        <v>15800</v>
      </c>
      <c r="E199" s="108">
        <f>+C199+D199</f>
        <v>15800</v>
      </c>
      <c r="F199" s="170">
        <f>F201+F200</f>
        <v>15800</v>
      </c>
      <c r="G199" s="171">
        <f>+G200+G201</f>
        <v>0</v>
      </c>
      <c r="H199" s="109">
        <f t="shared" si="46"/>
        <v>1650</v>
      </c>
      <c r="I199" s="109">
        <f>+I200</f>
        <v>0</v>
      </c>
      <c r="J199" s="48">
        <f t="shared" si="41"/>
        <v>1650</v>
      </c>
      <c r="K199" s="54">
        <f t="shared" si="47"/>
        <v>14150</v>
      </c>
      <c r="L199" s="109">
        <f t="shared" si="39"/>
        <v>14150</v>
      </c>
      <c r="M199" s="264">
        <f t="shared" si="48"/>
        <v>10.443037974683545</v>
      </c>
      <c r="O199" s="43">
        <v>1650</v>
      </c>
    </row>
    <row r="200" spans="1:15" ht="16.899999999999999" customHeight="1" x14ac:dyDescent="0.2">
      <c r="A200" s="71">
        <v>692</v>
      </c>
      <c r="B200" s="172" t="s">
        <v>337</v>
      </c>
      <c r="C200" s="113"/>
      <c r="D200" s="113">
        <v>600</v>
      </c>
      <c r="E200" s="89">
        <f>+C200+D200</f>
        <v>600</v>
      </c>
      <c r="F200" s="86">
        <v>600</v>
      </c>
      <c r="G200" s="165">
        <v>0</v>
      </c>
      <c r="H200" s="113">
        <f t="shared" si="46"/>
        <v>0</v>
      </c>
      <c r="I200" s="113">
        <v>0</v>
      </c>
      <c r="J200" s="48">
        <f t="shared" si="41"/>
        <v>0</v>
      </c>
      <c r="K200" s="50">
        <f t="shared" si="47"/>
        <v>600</v>
      </c>
      <c r="L200" s="113">
        <f t="shared" si="39"/>
        <v>600</v>
      </c>
      <c r="M200" s="263">
        <f t="shared" si="48"/>
        <v>0</v>
      </c>
      <c r="O200" s="42">
        <v>0</v>
      </c>
    </row>
    <row r="201" spans="1:15" ht="17.25" customHeight="1" thickBot="1" x14ac:dyDescent="0.25">
      <c r="A201" s="71">
        <v>697</v>
      </c>
      <c r="B201" s="172" t="s">
        <v>260</v>
      </c>
      <c r="C201" s="113"/>
      <c r="D201" s="113">
        <v>15200</v>
      </c>
      <c r="E201" s="89">
        <f>+C201+D201</f>
        <v>15200</v>
      </c>
      <c r="F201" s="86">
        <v>15200</v>
      </c>
      <c r="G201" s="165">
        <v>0</v>
      </c>
      <c r="H201" s="50">
        <f t="shared" si="46"/>
        <v>1650</v>
      </c>
      <c r="I201" s="113"/>
      <c r="J201" s="48">
        <f t="shared" si="41"/>
        <v>1650</v>
      </c>
      <c r="K201" s="50">
        <f>+F201-H201</f>
        <v>13550</v>
      </c>
      <c r="L201" s="109">
        <f t="shared" si="39"/>
        <v>13550</v>
      </c>
      <c r="M201" s="263">
        <f t="shared" si="48"/>
        <v>10.855263157894736</v>
      </c>
      <c r="O201" s="42">
        <v>1650</v>
      </c>
    </row>
    <row r="202" spans="1:15" ht="28.9" customHeight="1" thickBot="1" x14ac:dyDescent="0.25">
      <c r="A202" s="72" t="s">
        <v>2</v>
      </c>
      <c r="B202" s="179" t="s">
        <v>236</v>
      </c>
      <c r="C202" s="180">
        <f t="shared" ref="C202:F202" si="49">+C183+C178+C150+C90+C37+C12</f>
        <v>106036141</v>
      </c>
      <c r="D202" s="180">
        <f t="shared" si="49"/>
        <v>0</v>
      </c>
      <c r="E202" s="180">
        <f t="shared" si="49"/>
        <v>106036141</v>
      </c>
      <c r="F202" s="180">
        <f t="shared" si="49"/>
        <v>88367108</v>
      </c>
      <c r="G202" s="181">
        <f>+G183+G178+G150+G90+G37+G12</f>
        <v>7658568.1439999994</v>
      </c>
      <c r="H202" s="180">
        <f>+H183+H178+H150+H90+H37+H12</f>
        <v>71948551.653999999</v>
      </c>
      <c r="I202" s="180">
        <f>+I183+I178+I150+I90+I37+I12-1</f>
        <v>68991570.030000001</v>
      </c>
      <c r="J202" s="181">
        <f>+J183+J178+J150+J90+J37+J12</f>
        <v>2956979.8740000045</v>
      </c>
      <c r="K202" s="182">
        <f>+F202-H202</f>
        <v>16418556.346000001</v>
      </c>
      <c r="L202" s="183">
        <f t="shared" si="39"/>
        <v>34087589.346000001</v>
      </c>
      <c r="M202" s="271">
        <f>+H202*100/F202</f>
        <v>81.420059208003039</v>
      </c>
      <c r="O202" s="42">
        <v>64289982.509999998</v>
      </c>
    </row>
    <row r="203" spans="1:15" x14ac:dyDescent="0.2">
      <c r="F203" s="24" t="s">
        <v>2</v>
      </c>
    </row>
    <row r="204" spans="1:15" x14ac:dyDescent="0.2">
      <c r="F204" s="26" t="s">
        <v>2</v>
      </c>
      <c r="G204" s="186"/>
    </row>
    <row r="205" spans="1:15" x14ac:dyDescent="0.2">
      <c r="I205" s="30" t="s">
        <v>2</v>
      </c>
      <c r="J205" s="30"/>
    </row>
    <row r="207" spans="1:15" x14ac:dyDescent="0.2">
      <c r="E207" s="26" t="s">
        <v>2</v>
      </c>
    </row>
  </sheetData>
  <mergeCells count="13">
    <mergeCell ref="A2:M2"/>
    <mergeCell ref="A3:M3"/>
    <mergeCell ref="A4:M4"/>
    <mergeCell ref="A5:M5"/>
    <mergeCell ref="C8:F9"/>
    <mergeCell ref="G8:H9"/>
    <mergeCell ref="I8:I10"/>
    <mergeCell ref="K8:L9"/>
    <mergeCell ref="M8:M10"/>
    <mergeCell ref="D10:D11"/>
    <mergeCell ref="B8:B11"/>
    <mergeCell ref="A8:A11"/>
    <mergeCell ref="J8:J10"/>
  </mergeCells>
  <pageMargins left="0.51181102362204722" right="0.11811023622047245" top="0.55118110236220474" bottom="0.55118110236220474" header="0.31496062992125984" footer="0.31496062992125984"/>
  <pageSetup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C000"/>
  </sheetPr>
  <dimension ref="A1:S403"/>
  <sheetViews>
    <sheetView showGridLines="0" showZeros="0" tabSelected="1" workbookViewId="0">
      <selection activeCell="S23" sqref="S23"/>
    </sheetView>
  </sheetViews>
  <sheetFormatPr baseColWidth="10" defaultColWidth="11.42578125" defaultRowHeight="13.5" x14ac:dyDescent="0.25"/>
  <cols>
    <col min="1" max="1" width="6.140625" customWidth="1"/>
    <col min="2" max="2" width="34.7109375" customWidth="1"/>
    <col min="3" max="4" width="14.7109375" hidden="1" customWidth="1"/>
    <col min="5" max="5" width="14.7109375" customWidth="1"/>
    <col min="6" max="6" width="12" customWidth="1"/>
    <col min="7" max="7" width="11.7109375" customWidth="1"/>
    <col min="8" max="8" width="13.28515625" customWidth="1"/>
    <col min="9" max="9" width="10.7109375" customWidth="1"/>
    <col min="10" max="10" width="13.5703125" customWidth="1"/>
    <col min="11" max="11" width="11.28515625" hidden="1" customWidth="1"/>
    <col min="12" max="12" width="10.7109375" style="20" hidden="1" customWidth="1"/>
    <col min="13" max="13" width="0.140625" hidden="1" customWidth="1"/>
    <col min="14" max="14" width="11.5703125" customWidth="1"/>
    <col min="15" max="15" width="14.28515625" hidden="1" customWidth="1"/>
    <col min="16" max="16" width="4.5703125" hidden="1" customWidth="1"/>
    <col min="17" max="17" width="11.42578125" hidden="1" customWidth="1"/>
  </cols>
  <sheetData>
    <row r="1" spans="1:16" ht="16.899999999999999" customHeight="1" x14ac:dyDescent="0.25">
      <c r="A1" s="309" t="s">
        <v>300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6" ht="18" customHeight="1" x14ac:dyDescent="0.25">
      <c r="A2" s="309" t="s">
        <v>301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6" ht="15.6" customHeight="1" x14ac:dyDescent="0.3">
      <c r="A3" s="45"/>
      <c r="B3" s="286" t="s">
        <v>331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6" ht="19.899999999999999" customHeight="1" x14ac:dyDescent="0.3">
      <c r="A4" s="45"/>
      <c r="B4" s="308" t="s">
        <v>338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6" ht="3" hidden="1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1"/>
      <c r="N5" s="31"/>
    </row>
    <row r="6" spans="1:16" ht="10.9" customHeight="1" x14ac:dyDescent="0.3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44"/>
      <c r="N6" s="44"/>
    </row>
    <row r="7" spans="1:16" ht="16.5" customHeight="1" x14ac:dyDescent="0.2">
      <c r="A7" s="318" t="s">
        <v>290</v>
      </c>
      <c r="B7" s="311" t="s">
        <v>0</v>
      </c>
      <c r="C7" s="317" t="s">
        <v>8</v>
      </c>
      <c r="D7" s="317"/>
      <c r="E7" s="317"/>
      <c r="F7" s="317"/>
      <c r="G7" s="317"/>
      <c r="H7" s="317"/>
      <c r="I7" s="311" t="s">
        <v>274</v>
      </c>
      <c r="J7" s="315" t="s">
        <v>287</v>
      </c>
      <c r="K7" s="315"/>
      <c r="L7" s="315"/>
      <c r="M7" s="315"/>
      <c r="N7" s="313" t="s">
        <v>318</v>
      </c>
    </row>
    <row r="8" spans="1:16" ht="21" customHeight="1" x14ac:dyDescent="0.2">
      <c r="A8" s="319"/>
      <c r="B8" s="316"/>
      <c r="C8" s="321" t="s">
        <v>12</v>
      </c>
      <c r="D8" s="321" t="s">
        <v>305</v>
      </c>
      <c r="E8" s="199" t="s">
        <v>3</v>
      </c>
      <c r="F8" s="199" t="s">
        <v>1</v>
      </c>
      <c r="G8" s="199" t="s">
        <v>9</v>
      </c>
      <c r="H8" s="199" t="s">
        <v>4</v>
      </c>
      <c r="I8" s="312"/>
      <c r="J8" s="199" t="s">
        <v>6</v>
      </c>
      <c r="K8" s="200"/>
      <c r="L8" s="200"/>
      <c r="M8" s="199" t="s">
        <v>7</v>
      </c>
      <c r="N8" s="314"/>
    </row>
    <row r="9" spans="1:16" ht="13.5" customHeight="1" x14ac:dyDescent="0.2">
      <c r="A9" s="320"/>
      <c r="B9" s="201"/>
      <c r="C9" s="312"/>
      <c r="D9" s="312"/>
      <c r="E9" s="202">
        <v>1</v>
      </c>
      <c r="F9" s="202">
        <v>2</v>
      </c>
      <c r="G9" s="202">
        <v>3</v>
      </c>
      <c r="H9" s="202">
        <v>4</v>
      </c>
      <c r="I9" s="203">
        <v>5</v>
      </c>
      <c r="J9" s="202" t="s">
        <v>291</v>
      </c>
      <c r="K9" s="201"/>
      <c r="L9" s="204"/>
      <c r="M9" s="202" t="s">
        <v>292</v>
      </c>
      <c r="N9" s="205" t="s">
        <v>296</v>
      </c>
    </row>
    <row r="10" spans="1:16" ht="23.25" customHeight="1" x14ac:dyDescent="0.2">
      <c r="A10" s="206" t="s">
        <v>16</v>
      </c>
      <c r="B10" s="207" t="s">
        <v>17</v>
      </c>
      <c r="C10" s="208">
        <f>+C11+C13+C14</f>
        <v>172356</v>
      </c>
      <c r="D10" s="208">
        <f>SUM(D12)</f>
        <v>-109000</v>
      </c>
      <c r="E10" s="208">
        <f>SUM(C10:D10)</f>
        <v>63356</v>
      </c>
      <c r="F10" s="208">
        <f>+F11+F13+F14</f>
        <v>28987</v>
      </c>
      <c r="G10" s="208">
        <f>+G11+G13+G14</f>
        <v>0</v>
      </c>
      <c r="H10" s="208">
        <f>+H11+H13+H14</f>
        <v>0</v>
      </c>
      <c r="I10" s="208">
        <f>+I11+I13+I14</f>
        <v>0</v>
      </c>
      <c r="J10" s="208">
        <f>F10-H10</f>
        <v>28987</v>
      </c>
      <c r="K10" s="208" t="e">
        <f>+K11+K13</f>
        <v>#REF!</v>
      </c>
      <c r="L10" s="209" t="e">
        <f>+#REF!*100/#REF!</f>
        <v>#REF!</v>
      </c>
      <c r="M10" s="210">
        <f>E10-H10</f>
        <v>63356</v>
      </c>
      <c r="N10" s="211">
        <f>H10/F10</f>
        <v>0</v>
      </c>
      <c r="O10">
        <v>0</v>
      </c>
      <c r="P10">
        <v>0</v>
      </c>
    </row>
    <row r="11" spans="1:16" ht="18" customHeight="1" x14ac:dyDescent="0.2">
      <c r="A11" s="282" t="s">
        <v>18</v>
      </c>
      <c r="B11" s="283" t="s">
        <v>19</v>
      </c>
      <c r="C11" s="228">
        <f>SUM(C12:C12)</f>
        <v>146128</v>
      </c>
      <c r="D11" s="228"/>
      <c r="E11" s="228">
        <f>SUM(E12)</f>
        <v>37128</v>
      </c>
      <c r="F11" s="228">
        <f>SUM(F12)</f>
        <v>8390</v>
      </c>
      <c r="G11" s="228"/>
      <c r="H11" s="228">
        <f>SUM(H12:H12)</f>
        <v>0</v>
      </c>
      <c r="I11" s="228"/>
      <c r="J11" s="228">
        <f t="shared" ref="J11:J55" si="0">F11-H11</f>
        <v>8390</v>
      </c>
      <c r="K11" s="188" t="e">
        <f>+K12+K14</f>
        <v>#REF!</v>
      </c>
      <c r="L11" s="191" t="e">
        <f>+#REF!*100/#REF!</f>
        <v>#REF!</v>
      </c>
      <c r="M11" s="190">
        <f t="shared" ref="M11:M55" si="1">E11-H11</f>
        <v>37128</v>
      </c>
      <c r="N11" s="187">
        <f t="shared" ref="N11:N52" si="2">H11/F11</f>
        <v>0</v>
      </c>
      <c r="O11">
        <v>0</v>
      </c>
      <c r="P11">
        <v>0</v>
      </c>
    </row>
    <row r="12" spans="1:16" ht="18" customHeight="1" x14ac:dyDescent="0.2">
      <c r="A12" s="213" t="s">
        <v>268</v>
      </c>
      <c r="B12" s="189" t="s">
        <v>269</v>
      </c>
      <c r="C12" s="188">
        <v>146128</v>
      </c>
      <c r="D12" s="284">
        <v>-109000</v>
      </c>
      <c r="E12" s="188">
        <f>SUM(C12:D12)</f>
        <v>37128</v>
      </c>
      <c r="F12" s="188">
        <v>8390</v>
      </c>
      <c r="G12" s="188"/>
      <c r="H12" s="188"/>
      <c r="I12" s="188"/>
      <c r="J12" s="188">
        <f t="shared" si="0"/>
        <v>8390</v>
      </c>
      <c r="K12" s="188" t="e">
        <f>+K13+K16</f>
        <v>#REF!</v>
      </c>
      <c r="L12" s="191" t="e">
        <f>+#REF!*100/#REF!</f>
        <v>#REF!</v>
      </c>
      <c r="M12" s="190">
        <f t="shared" si="1"/>
        <v>37128</v>
      </c>
      <c r="N12" s="187">
        <f t="shared" si="2"/>
        <v>0</v>
      </c>
    </row>
    <row r="13" spans="1:16" ht="18" customHeight="1" x14ac:dyDescent="0.2">
      <c r="A13" s="213" t="s">
        <v>34</v>
      </c>
      <c r="B13" s="189" t="s">
        <v>280</v>
      </c>
      <c r="C13" s="188">
        <v>4220</v>
      </c>
      <c r="D13" s="188"/>
      <c r="E13" s="188">
        <f>SUM(C13:D13)</f>
        <v>4220</v>
      </c>
      <c r="F13" s="188">
        <v>2814</v>
      </c>
      <c r="G13" s="188"/>
      <c r="H13" s="188"/>
      <c r="I13" s="188"/>
      <c r="J13" s="188">
        <f t="shared" si="0"/>
        <v>2814</v>
      </c>
      <c r="K13" s="188" t="e">
        <f>+K14+K18</f>
        <v>#REF!</v>
      </c>
      <c r="L13" s="191" t="e">
        <f>+#REF!*100/#REF!</f>
        <v>#REF!</v>
      </c>
      <c r="M13" s="190">
        <f t="shared" si="1"/>
        <v>4220</v>
      </c>
      <c r="N13" s="187">
        <f t="shared" si="2"/>
        <v>0</v>
      </c>
    </row>
    <row r="14" spans="1:16" ht="18" customHeight="1" x14ac:dyDescent="0.2">
      <c r="A14" s="213" t="s">
        <v>36</v>
      </c>
      <c r="B14" s="214" t="s">
        <v>281</v>
      </c>
      <c r="C14" s="188">
        <v>22008</v>
      </c>
      <c r="D14" s="188"/>
      <c r="E14" s="188">
        <f>18354+2192+1023+439</f>
        <v>22008</v>
      </c>
      <c r="F14" s="188">
        <v>17783</v>
      </c>
      <c r="G14" s="188"/>
      <c r="H14" s="188"/>
      <c r="I14" s="188"/>
      <c r="J14" s="188">
        <f t="shared" si="0"/>
        <v>17783</v>
      </c>
      <c r="K14" s="188" t="e">
        <f>+K16+#REF!</f>
        <v>#REF!</v>
      </c>
      <c r="L14" s="191" t="e">
        <f>+#REF!*100/#REF!</f>
        <v>#REF!</v>
      </c>
      <c r="M14" s="190">
        <f t="shared" si="1"/>
        <v>22008</v>
      </c>
      <c r="N14" s="187">
        <f t="shared" si="2"/>
        <v>0</v>
      </c>
    </row>
    <row r="15" spans="1:16" ht="9.6" customHeight="1" x14ac:dyDescent="0.3">
      <c r="A15" s="215"/>
      <c r="B15" s="216"/>
      <c r="C15" s="217"/>
      <c r="D15" s="217"/>
      <c r="E15" s="217"/>
      <c r="F15" s="217"/>
      <c r="G15" s="218"/>
      <c r="H15" s="218"/>
      <c r="I15" s="218"/>
      <c r="J15" s="217"/>
      <c r="K15" s="217"/>
      <c r="L15" s="219"/>
      <c r="M15" s="220"/>
      <c r="N15" s="221"/>
    </row>
    <row r="16" spans="1:16" ht="18" customHeight="1" x14ac:dyDescent="0.2">
      <c r="A16" s="222" t="s">
        <v>53</v>
      </c>
      <c r="B16" s="223" t="s">
        <v>54</v>
      </c>
      <c r="C16" s="224">
        <f>SUM(C18:C22)</f>
        <v>493198</v>
      </c>
      <c r="D16" s="224">
        <f>SUM(D17:D23)</f>
        <v>84638</v>
      </c>
      <c r="E16" s="224">
        <f t="shared" ref="E16:E23" si="3">SUM(C16:D16)</f>
        <v>577836</v>
      </c>
      <c r="F16" s="224">
        <f>SUM(F17:F24)</f>
        <v>577836</v>
      </c>
      <c r="G16" s="224">
        <f>SUM(G17:G23)</f>
        <v>19331</v>
      </c>
      <c r="H16" s="224">
        <f>P16+G16</f>
        <v>330554.46999999997</v>
      </c>
      <c r="I16" s="224">
        <f>SUM(I17:I24)</f>
        <v>292204.15999999997</v>
      </c>
      <c r="J16" s="224">
        <f t="shared" si="0"/>
        <v>247281.53000000003</v>
      </c>
      <c r="K16" s="224" t="e">
        <f>+K18+K19</f>
        <v>#REF!</v>
      </c>
      <c r="L16" s="225" t="e">
        <f>+#REF!*100/#REF!</f>
        <v>#REF!</v>
      </c>
      <c r="M16" s="226">
        <f t="shared" si="1"/>
        <v>247281.53000000003</v>
      </c>
      <c r="N16" s="227">
        <f t="shared" si="2"/>
        <v>0.57205586014024734</v>
      </c>
      <c r="P16">
        <v>311223.46999999997</v>
      </c>
    </row>
    <row r="17" spans="1:19" ht="18" customHeight="1" x14ac:dyDescent="0.2">
      <c r="A17" s="212">
        <v>110</v>
      </c>
      <c r="B17" s="256" t="s">
        <v>333</v>
      </c>
      <c r="C17" s="228"/>
      <c r="D17" s="188">
        <v>46276</v>
      </c>
      <c r="E17" s="188">
        <f t="shared" si="3"/>
        <v>46276</v>
      </c>
      <c r="F17" s="188">
        <v>46276</v>
      </c>
      <c r="G17" s="188">
        <v>0</v>
      </c>
      <c r="H17" s="188">
        <f>P17+G17</f>
        <v>46275.49</v>
      </c>
      <c r="I17" s="188">
        <v>46275.49</v>
      </c>
      <c r="J17" s="188">
        <f t="shared" si="0"/>
        <v>0.51000000000203727</v>
      </c>
      <c r="K17" s="188"/>
      <c r="L17" s="191"/>
      <c r="M17" s="190"/>
      <c r="N17" s="187">
        <f t="shared" si="2"/>
        <v>0.99998897916846741</v>
      </c>
      <c r="P17">
        <v>46275.49</v>
      </c>
    </row>
    <row r="18" spans="1:19" ht="18" customHeight="1" x14ac:dyDescent="0.2">
      <c r="A18" s="212">
        <v>120</v>
      </c>
      <c r="B18" s="189" t="s">
        <v>289</v>
      </c>
      <c r="C18" s="228">
        <v>8858</v>
      </c>
      <c r="D18" s="229">
        <v>-4800</v>
      </c>
      <c r="E18" s="188">
        <f t="shared" si="3"/>
        <v>4058</v>
      </c>
      <c r="F18" s="188">
        <v>4058</v>
      </c>
      <c r="G18" s="188">
        <v>0</v>
      </c>
      <c r="H18" s="188">
        <v>0</v>
      </c>
      <c r="I18" s="188"/>
      <c r="J18" s="188">
        <f t="shared" si="0"/>
        <v>4058</v>
      </c>
      <c r="K18" s="188" t="e">
        <f>+#REF!+#REF!</f>
        <v>#REF!</v>
      </c>
      <c r="L18" s="191" t="e">
        <f>+#REF!*100/#REF!</f>
        <v>#REF!</v>
      </c>
      <c r="M18" s="190">
        <f t="shared" si="1"/>
        <v>4058</v>
      </c>
      <c r="N18" s="187">
        <f t="shared" si="2"/>
        <v>0</v>
      </c>
      <c r="P18">
        <v>0</v>
      </c>
    </row>
    <row r="19" spans="1:19" ht="18" customHeight="1" x14ac:dyDescent="0.2">
      <c r="A19" s="230" t="s">
        <v>86</v>
      </c>
      <c r="B19" s="214" t="s">
        <v>87</v>
      </c>
      <c r="C19" s="228">
        <v>1000</v>
      </c>
      <c r="D19" s="229">
        <v>-550</v>
      </c>
      <c r="E19" s="188">
        <f t="shared" si="3"/>
        <v>450</v>
      </c>
      <c r="F19" s="188">
        <v>450</v>
      </c>
      <c r="G19" s="188">
        <v>0</v>
      </c>
      <c r="H19" s="188">
        <v>0</v>
      </c>
      <c r="I19" s="188"/>
      <c r="J19" s="188">
        <f t="shared" si="0"/>
        <v>450</v>
      </c>
      <c r="K19" s="188" t="e">
        <f>+#REF!+K22</f>
        <v>#REF!</v>
      </c>
      <c r="L19" s="191" t="e">
        <f>+#REF!*100/#REF!</f>
        <v>#REF!</v>
      </c>
      <c r="M19" s="190">
        <f t="shared" si="1"/>
        <v>450</v>
      </c>
      <c r="N19" s="187" t="s">
        <v>2</v>
      </c>
      <c r="P19">
        <v>0</v>
      </c>
    </row>
    <row r="20" spans="1:19" ht="18" customHeight="1" x14ac:dyDescent="0.2">
      <c r="A20" s="230" t="s">
        <v>98</v>
      </c>
      <c r="B20" s="214" t="s">
        <v>99</v>
      </c>
      <c r="C20" s="228">
        <v>19017</v>
      </c>
      <c r="D20" s="188">
        <v>412517</v>
      </c>
      <c r="E20" s="188">
        <f t="shared" si="3"/>
        <v>431534</v>
      </c>
      <c r="F20" s="188">
        <v>431534</v>
      </c>
      <c r="G20" s="188">
        <v>17833</v>
      </c>
      <c r="H20" s="188">
        <f>P20+G20</f>
        <v>243670.36</v>
      </c>
      <c r="I20" s="188">
        <v>225837.36</v>
      </c>
      <c r="J20" s="188">
        <f t="shared" si="0"/>
        <v>187863.64</v>
      </c>
      <c r="K20" s="188" t="e">
        <f>+K22+K26</f>
        <v>#REF!</v>
      </c>
      <c r="L20" s="191" t="e">
        <f>+#REF!*100/#REF!</f>
        <v>#REF!</v>
      </c>
      <c r="M20" s="190">
        <f t="shared" si="1"/>
        <v>187863.64</v>
      </c>
      <c r="N20" s="187">
        <f t="shared" si="2"/>
        <v>0.56466086102137947</v>
      </c>
      <c r="P20">
        <v>225837.36</v>
      </c>
    </row>
    <row r="21" spans="1:19" ht="18" customHeight="1" x14ac:dyDescent="0.2">
      <c r="A21" s="231">
        <v>170</v>
      </c>
      <c r="B21" s="214" t="s">
        <v>324</v>
      </c>
      <c r="C21" s="228"/>
      <c r="D21" s="188">
        <v>2100</v>
      </c>
      <c r="E21" s="188">
        <f t="shared" si="3"/>
        <v>2100</v>
      </c>
      <c r="F21" s="188">
        <v>2100</v>
      </c>
      <c r="G21" s="188"/>
      <c r="H21" s="188"/>
      <c r="I21" s="188"/>
      <c r="J21" s="188">
        <f t="shared" si="0"/>
        <v>2100</v>
      </c>
      <c r="K21" s="188"/>
      <c r="L21" s="191"/>
      <c r="M21" s="190">
        <f t="shared" si="1"/>
        <v>2100</v>
      </c>
      <c r="N21" s="187"/>
    </row>
    <row r="22" spans="1:19" ht="18" customHeight="1" x14ac:dyDescent="0.2">
      <c r="A22" s="230" t="s">
        <v>107</v>
      </c>
      <c r="B22" s="214" t="s">
        <v>108</v>
      </c>
      <c r="C22" s="228">
        <v>464323</v>
      </c>
      <c r="D22" s="229">
        <f>-390766</f>
        <v>-390766</v>
      </c>
      <c r="E22" s="188">
        <f t="shared" si="3"/>
        <v>73557</v>
      </c>
      <c r="F22" s="188">
        <v>73557</v>
      </c>
      <c r="G22" s="188">
        <v>1498</v>
      </c>
      <c r="H22" s="188">
        <f>P22+G22</f>
        <v>20776.25</v>
      </c>
      <c r="I22" s="188">
        <v>258.94</v>
      </c>
      <c r="J22" s="188">
        <f t="shared" si="0"/>
        <v>52780.75</v>
      </c>
      <c r="K22" s="188" t="e">
        <f>+K25+K27</f>
        <v>#REF!</v>
      </c>
      <c r="L22" s="191" t="e">
        <f>+#REF!*100/#REF!</f>
        <v>#REF!</v>
      </c>
      <c r="M22" s="190">
        <f t="shared" si="1"/>
        <v>52780.75</v>
      </c>
      <c r="N22" s="187">
        <f t="shared" si="2"/>
        <v>0.28245102437565428</v>
      </c>
      <c r="O22" s="3"/>
      <c r="P22" s="3">
        <v>19278.25</v>
      </c>
      <c r="Q22" s="3"/>
      <c r="R22" s="3"/>
      <c r="S22" s="3"/>
    </row>
    <row r="23" spans="1:19" ht="18" customHeight="1" x14ac:dyDescent="0.2">
      <c r="A23" s="231">
        <v>190</v>
      </c>
      <c r="B23" s="214" t="s">
        <v>325</v>
      </c>
      <c r="C23" s="228"/>
      <c r="D23" s="188">
        <v>19861</v>
      </c>
      <c r="E23" s="188">
        <f t="shared" si="3"/>
        <v>19861</v>
      </c>
      <c r="F23" s="188">
        <v>19861</v>
      </c>
      <c r="G23" s="188">
        <v>0</v>
      </c>
      <c r="H23" s="188">
        <f>P23+G23</f>
        <v>19832.37</v>
      </c>
      <c r="I23" s="188">
        <v>19832.37</v>
      </c>
      <c r="J23" s="188">
        <f t="shared" si="0"/>
        <v>28.630000000001019</v>
      </c>
      <c r="K23" s="188"/>
      <c r="L23" s="191"/>
      <c r="M23" s="190">
        <f t="shared" si="1"/>
        <v>28.630000000001019</v>
      </c>
      <c r="N23" s="187">
        <f t="shared" si="2"/>
        <v>0.99855848144604997</v>
      </c>
      <c r="O23" s="3"/>
      <c r="P23" s="3">
        <v>19832.37</v>
      </c>
      <c r="Q23" s="3"/>
      <c r="R23" s="3"/>
      <c r="S23" s="3"/>
    </row>
    <row r="24" spans="1:19" ht="7.15" customHeight="1" x14ac:dyDescent="0.3">
      <c r="A24" s="232"/>
      <c r="B24" s="216"/>
      <c r="C24" s="218"/>
      <c r="D24" s="217"/>
      <c r="E24" s="217"/>
      <c r="F24" s="217"/>
      <c r="G24" s="217"/>
      <c r="H24" s="217"/>
      <c r="I24" s="217"/>
      <c r="J24" s="217"/>
      <c r="K24" s="217"/>
      <c r="L24" s="219"/>
      <c r="M24" s="220"/>
      <c r="N24" s="221"/>
      <c r="O24" s="3"/>
      <c r="P24" s="3"/>
      <c r="Q24" s="3"/>
      <c r="R24" s="3"/>
      <c r="S24" s="3"/>
    </row>
    <row r="25" spans="1:19" ht="18" customHeight="1" x14ac:dyDescent="0.2">
      <c r="A25" s="206" t="s">
        <v>113</v>
      </c>
      <c r="B25" s="207" t="s">
        <v>114</v>
      </c>
      <c r="C25" s="208">
        <f>+C26+C27+C29+C31+C32+C33+C28</f>
        <v>3002</v>
      </c>
      <c r="D25" s="208">
        <f>SUM(D26:D34)</f>
        <v>61263</v>
      </c>
      <c r="E25" s="208">
        <f>SUM(C25:D25)</f>
        <v>64265</v>
      </c>
      <c r="F25" s="208">
        <f>SUM(F26:F34)</f>
        <v>64265</v>
      </c>
      <c r="G25" s="208">
        <f>SUM(G26:G34)</f>
        <v>28192.36</v>
      </c>
      <c r="H25" s="208">
        <f>P25+G25</f>
        <v>47970.95</v>
      </c>
      <c r="I25" s="208">
        <f>SUM(I26:I34)</f>
        <v>6463.34</v>
      </c>
      <c r="J25" s="208">
        <f t="shared" si="0"/>
        <v>16294.050000000003</v>
      </c>
      <c r="K25" s="208" t="e">
        <f t="shared" ref="K25:K31" si="4">+K26+K28</f>
        <v>#REF!</v>
      </c>
      <c r="L25" s="209" t="e">
        <f>+#REF!*100/#REF!</f>
        <v>#REF!</v>
      </c>
      <c r="M25" s="210">
        <f t="shared" si="1"/>
        <v>16294.050000000003</v>
      </c>
      <c r="N25" s="211">
        <f t="shared" si="2"/>
        <v>0.74645530226406287</v>
      </c>
      <c r="O25" s="3">
        <v>564.42999999999995</v>
      </c>
      <c r="P25" s="3">
        <v>19778.59</v>
      </c>
      <c r="Q25" s="3"/>
      <c r="R25" s="3"/>
      <c r="S25" s="3"/>
    </row>
    <row r="26" spans="1:19" ht="16.149999999999999" customHeight="1" x14ac:dyDescent="0.2">
      <c r="A26" s="230" t="s">
        <v>121</v>
      </c>
      <c r="B26" s="214" t="s">
        <v>122</v>
      </c>
      <c r="C26" s="228">
        <v>0</v>
      </c>
      <c r="D26" s="228"/>
      <c r="E26" s="228"/>
      <c r="F26" s="228"/>
      <c r="G26" s="228"/>
      <c r="H26" s="228"/>
      <c r="I26" s="228"/>
      <c r="J26" s="228">
        <f t="shared" si="0"/>
        <v>0</v>
      </c>
      <c r="K26" s="228" t="e">
        <f t="shared" si="4"/>
        <v>#REF!</v>
      </c>
      <c r="L26" s="233" t="e">
        <f>+#REF!*100/#REF!</f>
        <v>#REF!</v>
      </c>
      <c r="M26" s="190">
        <f t="shared" si="1"/>
        <v>0</v>
      </c>
      <c r="N26" s="187"/>
      <c r="O26" s="3"/>
      <c r="P26" s="3"/>
      <c r="Q26" s="3"/>
      <c r="R26" s="3"/>
      <c r="S26" s="3"/>
    </row>
    <row r="27" spans="1:19" ht="18" hidden="1" customHeight="1" x14ac:dyDescent="0.2">
      <c r="A27" s="230" t="s">
        <v>133</v>
      </c>
      <c r="B27" s="214" t="s">
        <v>134</v>
      </c>
      <c r="C27" s="228">
        <v>0</v>
      </c>
      <c r="D27" s="228"/>
      <c r="E27" s="228"/>
      <c r="F27" s="228"/>
      <c r="G27" s="228"/>
      <c r="H27" s="228"/>
      <c r="I27" s="228"/>
      <c r="J27" s="228">
        <f t="shared" si="0"/>
        <v>0</v>
      </c>
      <c r="K27" s="228" t="e">
        <f t="shared" si="4"/>
        <v>#REF!</v>
      </c>
      <c r="L27" s="233" t="e">
        <f>+#REF!*100/#REF!</f>
        <v>#REF!</v>
      </c>
      <c r="M27" s="190">
        <f t="shared" si="1"/>
        <v>0</v>
      </c>
      <c r="N27" s="187"/>
      <c r="O27" s="3"/>
      <c r="P27" s="3"/>
      <c r="Q27" s="3"/>
      <c r="R27" s="3"/>
      <c r="S27" s="3"/>
    </row>
    <row r="28" spans="1:19" ht="18" customHeight="1" x14ac:dyDescent="0.2">
      <c r="A28" s="212">
        <v>230</v>
      </c>
      <c r="B28" s="189" t="s">
        <v>273</v>
      </c>
      <c r="C28" s="228">
        <v>3002</v>
      </c>
      <c r="D28" s="229">
        <v>-1651</v>
      </c>
      <c r="E28" s="188">
        <f>SUM(C28:D28)</f>
        <v>1351</v>
      </c>
      <c r="F28" s="188">
        <v>1351</v>
      </c>
      <c r="G28" s="188"/>
      <c r="H28" s="188"/>
      <c r="I28" s="188"/>
      <c r="J28" s="188">
        <f t="shared" si="0"/>
        <v>1351</v>
      </c>
      <c r="K28" s="188" t="e">
        <f t="shared" si="4"/>
        <v>#REF!</v>
      </c>
      <c r="L28" s="191" t="e">
        <f>+#REF!*100/#REF!</f>
        <v>#REF!</v>
      </c>
      <c r="M28" s="190">
        <f t="shared" si="1"/>
        <v>1351</v>
      </c>
      <c r="N28" s="187"/>
      <c r="O28" s="3"/>
      <c r="P28" s="3"/>
      <c r="Q28" s="3"/>
      <c r="R28" s="3"/>
      <c r="S28" s="3"/>
    </row>
    <row r="29" spans="1:19" ht="18" customHeight="1" x14ac:dyDescent="0.2">
      <c r="A29" s="230" t="s">
        <v>150</v>
      </c>
      <c r="B29" s="214" t="s">
        <v>151</v>
      </c>
      <c r="C29" s="228">
        <v>0</v>
      </c>
      <c r="D29" s="228"/>
      <c r="E29" s="188"/>
      <c r="F29" s="188" t="s">
        <v>2</v>
      </c>
      <c r="G29" s="188">
        <v>0</v>
      </c>
      <c r="H29" s="188">
        <v>0</v>
      </c>
      <c r="I29" s="188">
        <v>0</v>
      </c>
      <c r="J29" s="188" t="s">
        <v>2</v>
      </c>
      <c r="K29" s="188" t="e">
        <f t="shared" si="4"/>
        <v>#REF!</v>
      </c>
      <c r="L29" s="191" t="e">
        <f>+#REF!*100/#REF!</f>
        <v>#REF!</v>
      </c>
      <c r="M29" s="190">
        <f t="shared" si="1"/>
        <v>0</v>
      </c>
      <c r="N29" s="187"/>
      <c r="O29" s="3"/>
      <c r="P29" s="3">
        <v>0</v>
      </c>
      <c r="Q29" s="3"/>
      <c r="R29" s="3"/>
      <c r="S29" s="3"/>
    </row>
    <row r="30" spans="1:19" s="6" customFormat="1" ht="18.75" customHeight="1" x14ac:dyDescent="0.2">
      <c r="A30" s="231">
        <v>250</v>
      </c>
      <c r="B30" s="214" t="s">
        <v>314</v>
      </c>
      <c r="C30" s="228"/>
      <c r="D30" s="188">
        <v>26450</v>
      </c>
      <c r="E30" s="234">
        <f>SUM(C30:D30)</f>
        <v>26450</v>
      </c>
      <c r="F30" s="234">
        <v>26450</v>
      </c>
      <c r="G30" s="188">
        <v>297.45999999999998</v>
      </c>
      <c r="H30" s="188">
        <f>P30+G30</f>
        <v>16648.3</v>
      </c>
      <c r="I30" s="188">
        <v>3035.59</v>
      </c>
      <c r="J30" s="188">
        <f t="shared" si="0"/>
        <v>9801.7000000000007</v>
      </c>
      <c r="K30" s="188" t="e">
        <f t="shared" si="4"/>
        <v>#REF!</v>
      </c>
      <c r="L30" s="191" t="e">
        <f>+#REF!*100/#REF!</f>
        <v>#REF!</v>
      </c>
      <c r="M30" s="190">
        <f t="shared" si="1"/>
        <v>9801.7000000000007</v>
      </c>
      <c r="N30" s="187">
        <f t="shared" si="2"/>
        <v>0.62942533081285446</v>
      </c>
      <c r="O30" s="28"/>
      <c r="P30" s="28">
        <v>16350.84</v>
      </c>
      <c r="Q30" s="28"/>
      <c r="R30" s="28"/>
      <c r="S30" s="28"/>
    </row>
    <row r="31" spans="1:19" ht="18" customHeight="1" x14ac:dyDescent="0.2">
      <c r="A31" s="230" t="s">
        <v>176</v>
      </c>
      <c r="B31" s="214" t="s">
        <v>177</v>
      </c>
      <c r="C31" s="228">
        <v>0</v>
      </c>
      <c r="D31" s="188">
        <v>33000</v>
      </c>
      <c r="E31" s="188">
        <f>SUM(C31:D31)</f>
        <v>33000</v>
      </c>
      <c r="F31" s="188">
        <v>33000</v>
      </c>
      <c r="G31" s="188">
        <v>27894.9</v>
      </c>
      <c r="H31" s="188">
        <f>P31+G31</f>
        <v>27894.9</v>
      </c>
      <c r="I31" s="188"/>
      <c r="J31" s="188">
        <f t="shared" si="0"/>
        <v>5105.0999999999985</v>
      </c>
      <c r="K31" s="188" t="e">
        <f t="shared" si="4"/>
        <v>#REF!</v>
      </c>
      <c r="L31" s="191" t="e">
        <f>+#REF!*100/#REF!</f>
        <v>#REF!</v>
      </c>
      <c r="M31" s="190">
        <f t="shared" si="1"/>
        <v>5105.0999999999985</v>
      </c>
      <c r="N31" s="187"/>
      <c r="O31" s="3"/>
      <c r="P31" s="3"/>
      <c r="Q31" s="3"/>
      <c r="R31" s="3"/>
      <c r="S31" s="3"/>
    </row>
    <row r="32" spans="1:19" ht="18" customHeight="1" x14ac:dyDescent="0.2">
      <c r="A32" s="230" t="s">
        <v>184</v>
      </c>
      <c r="B32" s="214" t="s">
        <v>185</v>
      </c>
      <c r="C32" s="228">
        <v>0</v>
      </c>
      <c r="D32" s="228"/>
      <c r="E32" s="188"/>
      <c r="F32" s="188"/>
      <c r="G32" s="188"/>
      <c r="H32" s="188"/>
      <c r="I32" s="188"/>
      <c r="J32" s="188">
        <f t="shared" si="0"/>
        <v>0</v>
      </c>
      <c r="K32" s="188" t="e">
        <f>+K33+K36</f>
        <v>#REF!</v>
      </c>
      <c r="L32" s="191" t="e">
        <f>+#REF!*100/#REF!</f>
        <v>#REF!</v>
      </c>
      <c r="M32" s="190">
        <f t="shared" si="1"/>
        <v>0</v>
      </c>
      <c r="N32" s="187"/>
      <c r="O32" s="3"/>
      <c r="P32" s="3"/>
      <c r="Q32" s="3"/>
      <c r="R32" s="3"/>
      <c r="S32" s="3"/>
    </row>
    <row r="33" spans="1:19" ht="18" hidden="1" customHeight="1" x14ac:dyDescent="0.3">
      <c r="A33" s="235" t="s">
        <v>200</v>
      </c>
      <c r="B33" s="216" t="s">
        <v>201</v>
      </c>
      <c r="C33" s="218">
        <v>0</v>
      </c>
      <c r="D33" s="218"/>
      <c r="E33" s="217"/>
      <c r="F33" s="217"/>
      <c r="G33" s="217"/>
      <c r="H33" s="217"/>
      <c r="I33" s="217"/>
      <c r="J33" s="217">
        <f t="shared" si="0"/>
        <v>0</v>
      </c>
      <c r="K33" s="217" t="e">
        <f>+K34+K37</f>
        <v>#REF!</v>
      </c>
      <c r="L33" s="219" t="e">
        <f>+#REF!*100/#REF!</f>
        <v>#REF!</v>
      </c>
      <c r="M33" s="220">
        <f t="shared" si="1"/>
        <v>0</v>
      </c>
      <c r="N33" s="221"/>
      <c r="O33" s="3"/>
      <c r="P33" s="3"/>
      <c r="Q33" s="3"/>
      <c r="R33" s="3"/>
      <c r="S33" s="3"/>
    </row>
    <row r="34" spans="1:19" ht="18" customHeight="1" x14ac:dyDescent="0.3">
      <c r="A34" s="231">
        <v>290</v>
      </c>
      <c r="B34" s="214" t="s">
        <v>313</v>
      </c>
      <c r="C34" s="228">
        <v>0</v>
      </c>
      <c r="D34" s="188">
        <v>3464</v>
      </c>
      <c r="E34" s="188">
        <f>SUM(C34:D34)</f>
        <v>3464</v>
      </c>
      <c r="F34" s="188">
        <v>3464</v>
      </c>
      <c r="G34" s="188">
        <v>0</v>
      </c>
      <c r="H34" s="188">
        <f>P34+G34</f>
        <v>3427.75</v>
      </c>
      <c r="I34" s="188">
        <v>3427.75</v>
      </c>
      <c r="J34" s="188">
        <f t="shared" si="0"/>
        <v>36.25</v>
      </c>
      <c r="K34" s="217" t="e">
        <f>+K36+K38</f>
        <v>#REF!</v>
      </c>
      <c r="L34" s="219" t="e">
        <f>+#REF!*100/#REF!</f>
        <v>#REF!</v>
      </c>
      <c r="M34" s="220">
        <f t="shared" si="1"/>
        <v>36.25</v>
      </c>
      <c r="N34" s="187">
        <f t="shared" si="2"/>
        <v>0.98953521939953815</v>
      </c>
      <c r="O34" s="3">
        <v>564.42999999999995</v>
      </c>
      <c r="P34" s="3">
        <v>3427.75</v>
      </c>
      <c r="Q34" s="3"/>
      <c r="R34" s="3"/>
      <c r="S34" s="3"/>
    </row>
    <row r="35" spans="1:19" ht="7.9" customHeight="1" x14ac:dyDescent="0.3">
      <c r="A35" s="236"/>
      <c r="B35" s="216"/>
      <c r="C35" s="218"/>
      <c r="D35" s="218"/>
      <c r="E35" s="218"/>
      <c r="F35" s="218"/>
      <c r="G35" s="218"/>
      <c r="H35" s="218"/>
      <c r="I35" s="218"/>
      <c r="J35" s="218"/>
      <c r="K35" s="218"/>
      <c r="L35" s="237"/>
      <c r="M35" s="220"/>
      <c r="N35" s="221"/>
      <c r="O35" s="3"/>
      <c r="P35" s="3"/>
      <c r="Q35" s="3"/>
      <c r="R35" s="3"/>
      <c r="S35" s="3"/>
    </row>
    <row r="36" spans="1:19" ht="18" customHeight="1" x14ac:dyDescent="0.2">
      <c r="A36" s="238" t="s">
        <v>207</v>
      </c>
      <c r="B36" s="239" t="s">
        <v>208</v>
      </c>
      <c r="C36" s="240">
        <f>SUM(C37:C45)</f>
        <v>920722</v>
      </c>
      <c r="D36" s="241">
        <f>SUM(D37:D45)</f>
        <v>357156</v>
      </c>
      <c r="E36" s="240">
        <f t="shared" ref="E36:E45" si="5">SUM(C36:D36)</f>
        <v>1277878</v>
      </c>
      <c r="F36" s="240">
        <f>SUM(F37:F45)</f>
        <v>1277878</v>
      </c>
      <c r="G36" s="240">
        <f>SUM(G37:G45)</f>
        <v>303946</v>
      </c>
      <c r="H36" s="240">
        <f>P36+G36</f>
        <v>554993.75</v>
      </c>
      <c r="I36" s="240">
        <f>SUM(I37:I46)</f>
        <v>107998.15</v>
      </c>
      <c r="J36" s="240">
        <f t="shared" si="0"/>
        <v>722884.25</v>
      </c>
      <c r="K36" s="240" t="e">
        <f t="shared" ref="K36:K41" si="6">+K37+K39</f>
        <v>#REF!</v>
      </c>
      <c r="L36" s="242" t="e">
        <f>+#REF!*100/#REF!</f>
        <v>#REF!</v>
      </c>
      <c r="M36" s="243">
        <f t="shared" si="1"/>
        <v>722884.25</v>
      </c>
      <c r="N36" s="244">
        <f>H36/F36*100</f>
        <v>43.43088698608161</v>
      </c>
      <c r="O36" s="3">
        <v>27893.42</v>
      </c>
      <c r="P36" s="3">
        <v>251047.75</v>
      </c>
      <c r="Q36" s="3"/>
      <c r="R36" s="3"/>
      <c r="S36" s="3"/>
    </row>
    <row r="37" spans="1:19" ht="18" customHeight="1" x14ac:dyDescent="0.2">
      <c r="A37" s="245">
        <v>300</v>
      </c>
      <c r="B37" s="189" t="s">
        <v>209</v>
      </c>
      <c r="C37" s="233">
        <v>0</v>
      </c>
      <c r="D37" s="191">
        <v>36800</v>
      </c>
      <c r="E37" s="191">
        <f t="shared" si="5"/>
        <v>36800</v>
      </c>
      <c r="F37" s="191">
        <v>36800</v>
      </c>
      <c r="G37" s="191">
        <v>6572.99</v>
      </c>
      <c r="H37" s="188">
        <f>P37+G37</f>
        <v>6572.99</v>
      </c>
      <c r="I37" s="191"/>
      <c r="J37" s="188">
        <f t="shared" si="0"/>
        <v>30227.010000000002</v>
      </c>
      <c r="K37" s="228" t="e">
        <f t="shared" si="6"/>
        <v>#REF!</v>
      </c>
      <c r="L37" s="233" t="e">
        <f>+#REF!*100/#REF!</f>
        <v>#REF!</v>
      </c>
      <c r="M37" s="190">
        <f t="shared" si="1"/>
        <v>30227.010000000002</v>
      </c>
      <c r="N37" s="187">
        <f t="shared" si="2"/>
        <v>0.17861385869565216</v>
      </c>
      <c r="O37" s="3"/>
      <c r="P37" s="3"/>
      <c r="Q37" s="3"/>
      <c r="R37" s="3"/>
      <c r="S37" s="3"/>
    </row>
    <row r="38" spans="1:19" ht="18" customHeight="1" x14ac:dyDescent="0.2">
      <c r="A38" s="245">
        <v>310</v>
      </c>
      <c r="B38" s="189" t="s">
        <v>315</v>
      </c>
      <c r="C38" s="188">
        <v>71387</v>
      </c>
      <c r="D38" s="188">
        <v>198000</v>
      </c>
      <c r="E38" s="188">
        <f t="shared" si="5"/>
        <v>269387</v>
      </c>
      <c r="F38" s="188">
        <v>269387</v>
      </c>
      <c r="G38" s="188">
        <v>83027.78</v>
      </c>
      <c r="H38" s="188">
        <f>P38+G38</f>
        <v>83027.78</v>
      </c>
      <c r="I38" s="188"/>
      <c r="J38" s="188">
        <f t="shared" si="0"/>
        <v>186359.22</v>
      </c>
      <c r="K38" s="188" t="e">
        <f t="shared" si="6"/>
        <v>#REF!</v>
      </c>
      <c r="L38" s="191" t="e">
        <f>+#REF!*100/#REF!</f>
        <v>#REF!</v>
      </c>
      <c r="M38" s="190">
        <f t="shared" si="1"/>
        <v>186359.22</v>
      </c>
      <c r="N38" s="187">
        <f t="shared" si="2"/>
        <v>0.30821004725543549</v>
      </c>
      <c r="O38" s="3"/>
      <c r="P38" s="3"/>
      <c r="Q38" s="3"/>
      <c r="R38" s="3"/>
      <c r="S38" s="3"/>
    </row>
    <row r="39" spans="1:19" ht="15" customHeight="1" x14ac:dyDescent="0.2">
      <c r="A39" s="245">
        <v>320</v>
      </c>
      <c r="B39" s="214" t="s">
        <v>211</v>
      </c>
      <c r="C39" s="188">
        <v>427091</v>
      </c>
      <c r="D39" s="229">
        <v>-211900</v>
      </c>
      <c r="E39" s="188">
        <f t="shared" si="5"/>
        <v>215191</v>
      </c>
      <c r="F39" s="188">
        <v>215191</v>
      </c>
      <c r="G39" s="188">
        <v>7419.24</v>
      </c>
      <c r="H39" s="188">
        <f>P39+G39</f>
        <v>63787.99</v>
      </c>
      <c r="I39" s="188">
        <v>18520.3</v>
      </c>
      <c r="J39" s="188">
        <f t="shared" si="0"/>
        <v>151403.01</v>
      </c>
      <c r="K39" s="188" t="e">
        <f t="shared" si="6"/>
        <v>#REF!</v>
      </c>
      <c r="L39" s="191" t="e">
        <f>+#REF!*100/#REF!</f>
        <v>#REF!</v>
      </c>
      <c r="M39" s="190">
        <f t="shared" si="1"/>
        <v>151403.01</v>
      </c>
      <c r="N39" s="187">
        <f t="shared" si="2"/>
        <v>0.29642498989269994</v>
      </c>
      <c r="O39" s="3"/>
      <c r="P39" s="3">
        <v>56368.75</v>
      </c>
      <c r="Q39" s="3"/>
      <c r="R39" s="3"/>
      <c r="S39" s="3"/>
    </row>
    <row r="40" spans="1:19" ht="13.5" customHeight="1" x14ac:dyDescent="0.2">
      <c r="A40" s="245">
        <v>330</v>
      </c>
      <c r="B40" s="214" t="s">
        <v>278</v>
      </c>
      <c r="C40" s="188">
        <v>0</v>
      </c>
      <c r="D40" s="188">
        <v>130000</v>
      </c>
      <c r="E40" s="188">
        <f t="shared" si="5"/>
        <v>130000</v>
      </c>
      <c r="F40" s="188">
        <v>130000</v>
      </c>
      <c r="G40" s="188">
        <v>12011.82</v>
      </c>
      <c r="H40" s="188">
        <f>P40+G40</f>
        <v>87606.790000000008</v>
      </c>
      <c r="I40" s="188">
        <v>7889.65</v>
      </c>
      <c r="J40" s="188">
        <f t="shared" si="0"/>
        <v>42393.209999999992</v>
      </c>
      <c r="K40" s="188" t="e">
        <f t="shared" si="6"/>
        <v>#REF!</v>
      </c>
      <c r="L40" s="191" t="e">
        <f>+#REF!*100/#REF!</f>
        <v>#REF!</v>
      </c>
      <c r="M40" s="190">
        <f t="shared" si="1"/>
        <v>42393.209999999992</v>
      </c>
      <c r="N40" s="187">
        <f t="shared" si="2"/>
        <v>0.67389838461538465</v>
      </c>
      <c r="O40" s="3"/>
      <c r="P40" s="3">
        <v>75594.97</v>
      </c>
      <c r="Q40" s="3"/>
      <c r="R40" s="3"/>
      <c r="S40" s="3"/>
    </row>
    <row r="41" spans="1:19" ht="17.45" customHeight="1" x14ac:dyDescent="0.2">
      <c r="A41" s="245">
        <v>340</v>
      </c>
      <c r="B41" s="214" t="s">
        <v>61</v>
      </c>
      <c r="C41" s="188"/>
      <c r="D41" s="188">
        <v>21000</v>
      </c>
      <c r="E41" s="188">
        <f t="shared" si="5"/>
        <v>21000</v>
      </c>
      <c r="F41" s="188">
        <v>21000</v>
      </c>
      <c r="G41" s="188"/>
      <c r="H41" s="188"/>
      <c r="I41" s="188"/>
      <c r="J41" s="188">
        <f t="shared" si="0"/>
        <v>21000</v>
      </c>
      <c r="K41" s="188" t="e">
        <f t="shared" si="6"/>
        <v>#REF!</v>
      </c>
      <c r="L41" s="191" t="e">
        <f>+#REF!*100/#REF!</f>
        <v>#REF!</v>
      </c>
      <c r="M41" s="190">
        <f t="shared" si="1"/>
        <v>21000</v>
      </c>
      <c r="N41" s="187">
        <f t="shared" si="2"/>
        <v>0</v>
      </c>
      <c r="O41" s="3"/>
      <c r="P41" s="3"/>
      <c r="Q41" s="3"/>
      <c r="R41" s="3"/>
      <c r="S41" s="3"/>
    </row>
    <row r="42" spans="1:19" ht="16.5" customHeight="1" x14ac:dyDescent="0.2">
      <c r="A42" s="245">
        <v>350</v>
      </c>
      <c r="B42" s="214" t="s">
        <v>213</v>
      </c>
      <c r="C42" s="188">
        <v>0</v>
      </c>
      <c r="D42" s="188">
        <v>53000</v>
      </c>
      <c r="E42" s="188">
        <f t="shared" si="5"/>
        <v>53000</v>
      </c>
      <c r="F42" s="188">
        <v>53000</v>
      </c>
      <c r="G42" s="188">
        <v>21904.51</v>
      </c>
      <c r="H42" s="188">
        <f>P42+G42</f>
        <v>33937.440000000002</v>
      </c>
      <c r="I42" s="188">
        <v>9511.24</v>
      </c>
      <c r="J42" s="188">
        <f t="shared" si="0"/>
        <v>19062.559999999998</v>
      </c>
      <c r="K42" s="188" t="e">
        <f>+K43+#REF!</f>
        <v>#REF!</v>
      </c>
      <c r="L42" s="191" t="e">
        <f>+#REF!*100/#REF!</f>
        <v>#REF!</v>
      </c>
      <c r="M42" s="190">
        <f t="shared" si="1"/>
        <v>19062.559999999998</v>
      </c>
      <c r="N42" s="187">
        <f t="shared" si="2"/>
        <v>0.64032905660377359</v>
      </c>
      <c r="O42" s="3"/>
      <c r="P42" s="3">
        <v>12032.93</v>
      </c>
      <c r="Q42" s="3"/>
      <c r="R42" s="3"/>
      <c r="S42" s="3"/>
    </row>
    <row r="43" spans="1:19" ht="18" customHeight="1" x14ac:dyDescent="0.2">
      <c r="A43" s="245">
        <v>370</v>
      </c>
      <c r="B43" s="214" t="s">
        <v>214</v>
      </c>
      <c r="C43" s="188">
        <v>354383</v>
      </c>
      <c r="D43" s="229">
        <v>-97888</v>
      </c>
      <c r="E43" s="188">
        <f t="shared" si="5"/>
        <v>256495</v>
      </c>
      <c r="F43" s="188">
        <v>256495</v>
      </c>
      <c r="G43" s="188">
        <v>43272.6</v>
      </c>
      <c r="H43" s="188">
        <f>P43+G43</f>
        <v>87185.41</v>
      </c>
      <c r="I43" s="188">
        <v>23837.87</v>
      </c>
      <c r="J43" s="188">
        <f t="shared" si="0"/>
        <v>169309.59</v>
      </c>
      <c r="K43" s="188" t="e">
        <f>+K44+#REF!</f>
        <v>#REF!</v>
      </c>
      <c r="L43" s="191" t="e">
        <f>+#REF!*100/#REF!</f>
        <v>#REF!</v>
      </c>
      <c r="M43" s="190">
        <f t="shared" si="1"/>
        <v>169309.59</v>
      </c>
      <c r="N43" s="187">
        <f>H43/F43*100</f>
        <v>33.991075849431759</v>
      </c>
      <c r="O43" s="3">
        <v>10592.5</v>
      </c>
      <c r="P43" s="3">
        <v>43912.81</v>
      </c>
      <c r="Q43" s="3"/>
      <c r="R43" s="3"/>
      <c r="S43" s="3"/>
    </row>
    <row r="44" spans="1:19" ht="18" customHeight="1" x14ac:dyDescent="0.2">
      <c r="A44" s="245">
        <v>380</v>
      </c>
      <c r="B44" s="214" t="s">
        <v>215</v>
      </c>
      <c r="C44" s="188">
        <v>67861</v>
      </c>
      <c r="D44" s="188">
        <v>202000</v>
      </c>
      <c r="E44" s="188">
        <f t="shared" si="5"/>
        <v>269861</v>
      </c>
      <c r="F44" s="188">
        <v>269861</v>
      </c>
      <c r="G44" s="188">
        <v>127454.34</v>
      </c>
      <c r="H44" s="188">
        <f>P44+G44</f>
        <v>169675.03999999998</v>
      </c>
      <c r="I44" s="188">
        <v>35641.75</v>
      </c>
      <c r="J44" s="188">
        <f t="shared" si="0"/>
        <v>100185.96000000002</v>
      </c>
      <c r="K44" s="188" t="e">
        <f>+#REF!+#REF!</f>
        <v>#REF!</v>
      </c>
      <c r="L44" s="191" t="e">
        <f>+#REF!*100/#REF!</f>
        <v>#REF!</v>
      </c>
      <c r="M44" s="190">
        <f t="shared" si="1"/>
        <v>100185.96000000002</v>
      </c>
      <c r="N44" s="187">
        <f>H44/F44*100</f>
        <v>62.874976376727268</v>
      </c>
      <c r="O44" s="3">
        <v>1350.76</v>
      </c>
      <c r="P44" s="3">
        <v>42220.7</v>
      </c>
      <c r="Q44" s="3"/>
      <c r="R44" s="3"/>
      <c r="S44" s="3"/>
    </row>
    <row r="45" spans="1:19" ht="18" customHeight="1" x14ac:dyDescent="0.2">
      <c r="A45" s="245">
        <v>390</v>
      </c>
      <c r="B45" s="214" t="s">
        <v>316</v>
      </c>
      <c r="C45" s="188"/>
      <c r="D45" s="188">
        <v>26144</v>
      </c>
      <c r="E45" s="188">
        <f t="shared" si="5"/>
        <v>26144</v>
      </c>
      <c r="F45" s="188">
        <v>26144</v>
      </c>
      <c r="G45" s="188">
        <v>2282.7199999999998</v>
      </c>
      <c r="H45" s="188">
        <f>P45+G45</f>
        <v>21899.100000000002</v>
      </c>
      <c r="I45" s="188">
        <v>12597.34</v>
      </c>
      <c r="J45" s="188">
        <f t="shared" si="0"/>
        <v>4244.8999999999978</v>
      </c>
      <c r="K45" s="228" t="e">
        <f>+K47+#REF!</f>
        <v>#REF!</v>
      </c>
      <c r="L45" s="233" t="e">
        <f>+#REF!*100/#REF!</f>
        <v>#REF!</v>
      </c>
      <c r="M45" s="190">
        <f t="shared" si="1"/>
        <v>4244.8999999999978</v>
      </c>
      <c r="N45" s="187">
        <f>H45/F45*100</f>
        <v>83.763387392900867</v>
      </c>
      <c r="O45" s="3">
        <v>15950.16</v>
      </c>
      <c r="P45" s="3">
        <v>19616.38</v>
      </c>
      <c r="Q45" s="3"/>
      <c r="R45" s="3"/>
      <c r="S45" s="3"/>
    </row>
    <row r="46" spans="1:19" ht="8.4499999999999993" customHeight="1" x14ac:dyDescent="0.3">
      <c r="A46" s="236"/>
      <c r="B46" s="216"/>
      <c r="C46" s="217"/>
      <c r="D46" s="217"/>
      <c r="E46" s="217"/>
      <c r="F46" s="217"/>
      <c r="G46" s="217"/>
      <c r="H46" s="217"/>
      <c r="I46" s="217"/>
      <c r="J46" s="218"/>
      <c r="K46" s="218"/>
      <c r="L46" s="237"/>
      <c r="M46" s="220"/>
      <c r="N46" s="221"/>
      <c r="O46" s="3"/>
      <c r="P46" s="3"/>
      <c r="Q46" s="3"/>
      <c r="R46" s="3"/>
      <c r="S46" s="3"/>
    </row>
    <row r="47" spans="1:19" ht="18" customHeight="1" x14ac:dyDescent="0.2">
      <c r="A47" s="246">
        <v>5</v>
      </c>
      <c r="B47" s="247" t="s">
        <v>270</v>
      </c>
      <c r="C47" s="208">
        <f>C48</f>
        <v>7487600</v>
      </c>
      <c r="D47" s="208">
        <f t="shared" ref="D47:I47" si="7">SUM(D48)</f>
        <v>5501091</v>
      </c>
      <c r="E47" s="208">
        <f t="shared" si="7"/>
        <v>12988691</v>
      </c>
      <c r="F47" s="208">
        <f t="shared" si="7"/>
        <v>12988691</v>
      </c>
      <c r="G47" s="208">
        <f t="shared" si="7"/>
        <v>4750744.32</v>
      </c>
      <c r="H47" s="208">
        <f t="shared" si="7"/>
        <v>11913631.34</v>
      </c>
      <c r="I47" s="208">
        <f t="shared" si="7"/>
        <v>4804642.2</v>
      </c>
      <c r="J47" s="208">
        <f t="shared" si="0"/>
        <v>1075059.6600000001</v>
      </c>
      <c r="K47" s="208" t="e">
        <f>+#REF!+K48</f>
        <v>#REF!</v>
      </c>
      <c r="L47" s="209" t="e">
        <f>+#REF!*100/#REF!</f>
        <v>#REF!</v>
      </c>
      <c r="M47" s="210">
        <f t="shared" si="1"/>
        <v>1075059.6600000001</v>
      </c>
      <c r="N47" s="211">
        <f t="shared" si="2"/>
        <v>0.91723110050119749</v>
      </c>
      <c r="O47" s="3"/>
      <c r="P47" s="3">
        <v>7162887.0200000005</v>
      </c>
      <c r="Q47" s="3"/>
      <c r="R47" s="3"/>
      <c r="S47" s="3"/>
    </row>
    <row r="48" spans="1:19" ht="18" customHeight="1" x14ac:dyDescent="0.2">
      <c r="A48" s="231">
        <v>510</v>
      </c>
      <c r="B48" s="214" t="s">
        <v>271</v>
      </c>
      <c r="C48" s="188">
        <v>7487600</v>
      </c>
      <c r="D48" s="188">
        <v>5501091</v>
      </c>
      <c r="E48" s="188">
        <f>SUM(C48:D48)</f>
        <v>12988691</v>
      </c>
      <c r="F48" s="188">
        <v>12988691</v>
      </c>
      <c r="G48" s="188">
        <v>4750744.32</v>
      </c>
      <c r="H48" s="188">
        <f>P48+G48</f>
        <v>11913631.34</v>
      </c>
      <c r="I48" s="188">
        <v>4804642.2</v>
      </c>
      <c r="J48" s="188">
        <f t="shared" si="0"/>
        <v>1075059.6600000001</v>
      </c>
      <c r="K48" s="228" t="e">
        <f>+#REF!+K50</f>
        <v>#REF!</v>
      </c>
      <c r="L48" s="233" t="e">
        <f>+#REF!*100/#REF!</f>
        <v>#REF!</v>
      </c>
      <c r="M48" s="190">
        <f t="shared" si="1"/>
        <v>1075059.6600000001</v>
      </c>
      <c r="N48" s="187">
        <f t="shared" si="2"/>
        <v>0.91723110050119749</v>
      </c>
      <c r="O48" s="3"/>
      <c r="P48" s="3">
        <v>7162887.0200000005</v>
      </c>
      <c r="Q48" s="3"/>
      <c r="R48" s="3"/>
      <c r="S48" s="3"/>
    </row>
    <row r="49" spans="1:19" ht="10.15" customHeight="1" x14ac:dyDescent="0.3">
      <c r="A49" s="248"/>
      <c r="B49" s="216"/>
      <c r="C49" s="217"/>
      <c r="D49" s="217"/>
      <c r="E49" s="217"/>
      <c r="F49" s="217"/>
      <c r="G49" s="217"/>
      <c r="H49" s="217"/>
      <c r="I49" s="217"/>
      <c r="J49" s="218"/>
      <c r="K49" s="218"/>
      <c r="L49" s="237"/>
      <c r="M49" s="220"/>
      <c r="N49" s="221"/>
      <c r="O49" s="3"/>
      <c r="P49" s="3"/>
      <c r="Q49" s="3"/>
      <c r="R49" s="3"/>
      <c r="S49" s="3"/>
    </row>
    <row r="50" spans="1:19" ht="18" customHeight="1" x14ac:dyDescent="0.2">
      <c r="A50" s="206" t="s">
        <v>221</v>
      </c>
      <c r="B50" s="249" t="s">
        <v>222</v>
      </c>
      <c r="C50" s="208">
        <f>+C51+C52+C53</f>
        <v>133656</v>
      </c>
      <c r="D50" s="208">
        <f>SUM(D51:D53)</f>
        <v>-95557</v>
      </c>
      <c r="E50" s="208">
        <f>SUM(E51:E53)</f>
        <v>38099</v>
      </c>
      <c r="F50" s="208">
        <f>SUM(F51:F53)</f>
        <v>38099</v>
      </c>
      <c r="G50" s="208">
        <f>SUM(G52)</f>
        <v>0</v>
      </c>
      <c r="H50" s="208">
        <f>SUM(H52)</f>
        <v>21999.200000000001</v>
      </c>
      <c r="I50" s="208">
        <f>SUM(I52)</f>
        <v>21999.200000000001</v>
      </c>
      <c r="J50" s="208">
        <f t="shared" si="0"/>
        <v>16099.8</v>
      </c>
      <c r="K50" s="208">
        <f>+K51+K53</f>
        <v>0</v>
      </c>
      <c r="L50" s="209" t="e">
        <f>+#REF!*100/#REF!</f>
        <v>#REF!</v>
      </c>
      <c r="M50" s="210">
        <f t="shared" si="1"/>
        <v>16099.8</v>
      </c>
      <c r="N50" s="211">
        <f t="shared" si="2"/>
        <v>0.57742197957951658</v>
      </c>
      <c r="O50" s="3"/>
      <c r="P50" s="3">
        <v>21999.200000000001</v>
      </c>
      <c r="Q50" s="3"/>
      <c r="R50" s="3"/>
      <c r="S50" s="3"/>
    </row>
    <row r="51" spans="1:19" ht="18" customHeight="1" x14ac:dyDescent="0.2">
      <c r="A51" s="230" t="s">
        <v>226</v>
      </c>
      <c r="B51" s="214" t="s">
        <v>92</v>
      </c>
      <c r="C51" s="188">
        <v>28900</v>
      </c>
      <c r="D51" s="229">
        <v>-25895</v>
      </c>
      <c r="E51" s="188">
        <f>SUM(C51:D51)</f>
        <v>3005</v>
      </c>
      <c r="F51" s="188">
        <v>3005</v>
      </c>
      <c r="G51" s="188"/>
      <c r="H51" s="188"/>
      <c r="I51" s="188"/>
      <c r="J51" s="188" t="s">
        <v>2</v>
      </c>
      <c r="K51" s="188">
        <f>+K52+K55</f>
        <v>0</v>
      </c>
      <c r="L51" s="191" t="e">
        <f>+#REF!*100/#REF!</f>
        <v>#REF!</v>
      </c>
      <c r="M51" s="190">
        <f t="shared" si="1"/>
        <v>3005</v>
      </c>
      <c r="N51" s="187" t="s">
        <v>2</v>
      </c>
      <c r="O51" s="3"/>
      <c r="P51" s="3"/>
      <c r="Q51" s="3"/>
      <c r="R51" s="3"/>
      <c r="S51" s="3"/>
    </row>
    <row r="52" spans="1:19" ht="18" customHeight="1" x14ac:dyDescent="0.2">
      <c r="A52" s="231">
        <v>620</v>
      </c>
      <c r="B52" s="214" t="s">
        <v>275</v>
      </c>
      <c r="C52" s="188">
        <v>29756</v>
      </c>
      <c r="D52" s="188">
        <v>-2162</v>
      </c>
      <c r="E52" s="188">
        <f>SUM(C52:D52)</f>
        <v>27594</v>
      </c>
      <c r="F52" s="188">
        <v>27594</v>
      </c>
      <c r="G52" s="188">
        <v>0</v>
      </c>
      <c r="H52" s="188">
        <f>P52+G52</f>
        <v>21999.200000000001</v>
      </c>
      <c r="I52" s="188">
        <v>21999.200000000001</v>
      </c>
      <c r="J52" s="188">
        <v>21999.200000000001</v>
      </c>
      <c r="K52" s="188">
        <f>+K53+K56</f>
        <v>0</v>
      </c>
      <c r="L52" s="191" t="e">
        <f>+#REF!*100/#REF!</f>
        <v>#REF!</v>
      </c>
      <c r="M52" s="190">
        <f t="shared" si="1"/>
        <v>5594.7999999999993</v>
      </c>
      <c r="N52" s="187">
        <f t="shared" si="2"/>
        <v>0.79724577806769592</v>
      </c>
      <c r="O52" s="3"/>
      <c r="P52" s="3">
        <v>21999.200000000001</v>
      </c>
      <c r="Q52" s="3"/>
      <c r="R52" s="3"/>
      <c r="S52" s="3"/>
    </row>
    <row r="53" spans="1:19" ht="18" customHeight="1" x14ac:dyDescent="0.2">
      <c r="A53" s="231">
        <v>630</v>
      </c>
      <c r="B53" s="214" t="s">
        <v>317</v>
      </c>
      <c r="C53" s="188">
        <v>75000</v>
      </c>
      <c r="D53" s="188">
        <v>-67500</v>
      </c>
      <c r="E53" s="188">
        <f>SUM(C53:D53)</f>
        <v>7500</v>
      </c>
      <c r="F53" s="188">
        <v>7500</v>
      </c>
      <c r="G53" s="188"/>
      <c r="H53" s="188"/>
      <c r="I53" s="188"/>
      <c r="J53" s="188">
        <f t="shared" si="0"/>
        <v>7500</v>
      </c>
      <c r="K53" s="188">
        <f>+K55+K57</f>
        <v>0</v>
      </c>
      <c r="L53" s="191" t="e">
        <f>+#REF!*100/#REF!</f>
        <v>#REF!</v>
      </c>
      <c r="M53" s="190">
        <f t="shared" si="1"/>
        <v>7500</v>
      </c>
      <c r="N53" s="187" t="s">
        <v>2</v>
      </c>
      <c r="O53" s="3"/>
      <c r="P53" s="3"/>
      <c r="Q53" s="3"/>
      <c r="R53" s="3"/>
      <c r="S53" s="3"/>
    </row>
    <row r="54" spans="1:19" ht="9.6" customHeight="1" x14ac:dyDescent="0.3">
      <c r="A54" s="236"/>
      <c r="B54" s="216"/>
      <c r="C54" s="218"/>
      <c r="D54" s="218"/>
      <c r="E54" s="218"/>
      <c r="F54" s="218"/>
      <c r="G54" s="218"/>
      <c r="H54" s="218"/>
      <c r="I54" s="218"/>
      <c r="J54" s="218"/>
      <c r="K54" s="218"/>
      <c r="L54" s="237"/>
      <c r="M54" s="220"/>
      <c r="N54" s="221"/>
      <c r="O54" s="3"/>
      <c r="P54" s="3"/>
      <c r="Q54" s="3"/>
      <c r="R54" s="3"/>
      <c r="S54" s="3"/>
    </row>
    <row r="55" spans="1:19" ht="19.149999999999999" customHeight="1" x14ac:dyDescent="0.3">
      <c r="A55" s="250" t="s">
        <v>2</v>
      </c>
      <c r="B55" s="251" t="s">
        <v>272</v>
      </c>
      <c r="C55" s="252">
        <f t="shared" ref="C55:H55" si="8">+C50+C47+C36+C25+C16+C10</f>
        <v>9210534</v>
      </c>
      <c r="D55" s="252">
        <f t="shared" si="8"/>
        <v>5799591</v>
      </c>
      <c r="E55" s="252">
        <f t="shared" si="8"/>
        <v>15010125</v>
      </c>
      <c r="F55" s="252">
        <f t="shared" si="8"/>
        <v>14975756</v>
      </c>
      <c r="G55" s="252">
        <f t="shared" si="8"/>
        <v>5102213.6800000006</v>
      </c>
      <c r="H55" s="252">
        <f t="shared" si="8"/>
        <v>12869149.709999999</v>
      </c>
      <c r="I55" s="252">
        <f>+I50+I47+I36+I25+I16+I10</f>
        <v>5233307.0500000007</v>
      </c>
      <c r="J55" s="252">
        <f t="shared" si="0"/>
        <v>2106606.290000001</v>
      </c>
      <c r="K55" s="252">
        <f>+K56+K58</f>
        <v>0</v>
      </c>
      <c r="L55" s="253" t="e">
        <f>+#REF!*100/#REF!</f>
        <v>#REF!</v>
      </c>
      <c r="M55" s="254">
        <f t="shared" si="1"/>
        <v>2140975.290000001</v>
      </c>
      <c r="N55" s="255">
        <f>H55/F55*100</f>
        <v>85.933222402929104</v>
      </c>
      <c r="O55" s="3">
        <v>28457.85</v>
      </c>
      <c r="P55" s="29">
        <v>7766936.0300000003</v>
      </c>
      <c r="Q55" s="3">
        <v>7766936.2199999997</v>
      </c>
      <c r="R55" s="3"/>
      <c r="S55" s="3"/>
    </row>
    <row r="56" spans="1:19" x14ac:dyDescent="0.25">
      <c r="A56" s="193"/>
      <c r="B56" s="194"/>
      <c r="C56" s="195"/>
      <c r="D56" s="195"/>
      <c r="E56" s="195"/>
      <c r="F56" s="195"/>
      <c r="G56" s="195"/>
      <c r="H56" s="195"/>
      <c r="I56" s="195"/>
      <c r="J56" s="195"/>
      <c r="K56" s="196"/>
      <c r="L56" s="197"/>
      <c r="M56" s="198"/>
      <c r="N56" s="23"/>
      <c r="O56" s="3"/>
      <c r="P56" s="3"/>
      <c r="Q56" s="3"/>
      <c r="R56" s="3"/>
      <c r="S56" s="3"/>
    </row>
    <row r="57" spans="1:19" x14ac:dyDescent="0.25">
      <c r="A57" s="184"/>
      <c r="B57" s="12"/>
      <c r="F57" s="1" t="s">
        <v>2</v>
      </c>
      <c r="O57" s="3"/>
      <c r="P57" s="29"/>
      <c r="Q57" s="3"/>
      <c r="R57" s="3"/>
      <c r="S57" s="3"/>
    </row>
    <row r="58" spans="1:19" x14ac:dyDescent="0.25">
      <c r="A58" s="184"/>
      <c r="B58" s="12"/>
      <c r="I58" t="s">
        <v>2</v>
      </c>
      <c r="O58" s="3"/>
      <c r="P58" s="3"/>
      <c r="Q58" s="3"/>
      <c r="R58" s="3"/>
      <c r="S58" s="3"/>
    </row>
    <row r="59" spans="1:19" x14ac:dyDescent="0.25">
      <c r="A59" s="3"/>
      <c r="B59" s="37">
        <v>0</v>
      </c>
      <c r="C59" s="32" t="s">
        <v>2</v>
      </c>
    </row>
    <row r="60" spans="1:19" x14ac:dyDescent="0.25">
      <c r="A60" s="3"/>
      <c r="B60" s="40"/>
      <c r="C60" s="33"/>
      <c r="D60" s="33"/>
      <c r="E60" s="33"/>
    </row>
    <row r="61" spans="1:19" x14ac:dyDescent="0.25">
      <c r="B61" s="36"/>
      <c r="C61" s="39"/>
    </row>
    <row r="62" spans="1:19" x14ac:dyDescent="0.25">
      <c r="B62" s="38"/>
      <c r="C62" s="35"/>
      <c r="D62" s="35"/>
      <c r="E62" s="35"/>
    </row>
    <row r="63" spans="1:19" x14ac:dyDescent="0.25">
      <c r="B63" s="36"/>
      <c r="C63" s="37"/>
    </row>
    <row r="64" spans="1:19" x14ac:dyDescent="0.25">
      <c r="B64" s="38"/>
      <c r="C64" s="38"/>
      <c r="D64" s="38"/>
      <c r="E64" s="38"/>
    </row>
    <row r="65" spans="1:5" x14ac:dyDescent="0.25">
      <c r="B65" s="36"/>
      <c r="C65" s="34"/>
    </row>
    <row r="66" spans="1:5" x14ac:dyDescent="0.25">
      <c r="B66" s="38"/>
      <c r="C66" s="35"/>
      <c r="D66" s="35"/>
      <c r="E66" s="35"/>
    </row>
    <row r="67" spans="1:5" x14ac:dyDescent="0.25">
      <c r="B67" s="36"/>
      <c r="C67" s="37"/>
    </row>
    <row r="68" spans="1:5" x14ac:dyDescent="0.25">
      <c r="B68" s="38"/>
      <c r="C68" s="38"/>
      <c r="D68" s="38"/>
      <c r="E68" s="38"/>
    </row>
    <row r="69" spans="1:5" x14ac:dyDescent="0.25">
      <c r="B69" s="36"/>
      <c r="C69" s="34"/>
    </row>
    <row r="70" spans="1:5" x14ac:dyDescent="0.25">
      <c r="B70" s="38"/>
      <c r="C70" s="35"/>
      <c r="D70" s="35"/>
      <c r="E70" s="35"/>
    </row>
    <row r="71" spans="1:5" x14ac:dyDescent="0.25">
      <c r="B71" s="36"/>
      <c r="C71" s="37"/>
    </row>
    <row r="72" spans="1:5" x14ac:dyDescent="0.25">
      <c r="B72" s="38"/>
      <c r="C72" s="38"/>
      <c r="D72" s="38"/>
      <c r="E72" s="38"/>
    </row>
    <row r="73" spans="1:5" x14ac:dyDescent="0.25">
      <c r="B73" s="36"/>
      <c r="C73" s="37"/>
    </row>
    <row r="74" spans="1:5" x14ac:dyDescent="0.25">
      <c r="B74" s="38"/>
      <c r="C74" s="38"/>
      <c r="D74" s="36"/>
      <c r="E74" s="38"/>
    </row>
    <row r="75" spans="1:5" x14ac:dyDescent="0.25">
      <c r="B75" s="36"/>
      <c r="C75" s="37"/>
    </row>
    <row r="76" spans="1:5" x14ac:dyDescent="0.25">
      <c r="B76" s="38"/>
      <c r="C76" s="38"/>
      <c r="D76" s="36"/>
      <c r="E76" s="38"/>
    </row>
    <row r="77" spans="1:5" x14ac:dyDescent="0.25">
      <c r="B77" s="36"/>
      <c r="C77" s="37"/>
    </row>
    <row r="78" spans="1:5" x14ac:dyDescent="0.25">
      <c r="A78" s="310"/>
      <c r="B78" s="12"/>
    </row>
    <row r="79" spans="1:5" x14ac:dyDescent="0.25">
      <c r="A79" s="310"/>
      <c r="B79" s="12"/>
    </row>
    <row r="80" spans="1:5" x14ac:dyDescent="0.25">
      <c r="A80" s="10"/>
      <c r="B80" s="12"/>
    </row>
    <row r="81" spans="1:11" x14ac:dyDescent="0.25">
      <c r="A81" s="10"/>
      <c r="B81" s="12"/>
    </row>
    <row r="82" spans="1:11" x14ac:dyDescent="0.25">
      <c r="A82" s="13"/>
      <c r="B82" s="12"/>
    </row>
    <row r="83" spans="1:11" x14ac:dyDescent="0.25">
      <c r="A83" s="13"/>
      <c r="B83" s="12"/>
    </row>
    <row r="84" spans="1:11" x14ac:dyDescent="0.25">
      <c r="A84" s="13"/>
      <c r="B84" s="12"/>
    </row>
    <row r="85" spans="1:11" x14ac:dyDescent="0.25">
      <c r="A85" s="13"/>
      <c r="B85" s="12"/>
    </row>
    <row r="86" spans="1:11" ht="14.25" thickBot="1" x14ac:dyDescent="0.3">
      <c r="A86" s="10"/>
      <c r="B86" s="12"/>
    </row>
    <row r="87" spans="1:11" ht="14.25" thickTop="1" x14ac:dyDescent="0.25">
      <c r="A87" s="10"/>
      <c r="B87" s="41"/>
      <c r="C87" s="14"/>
      <c r="D87" s="9"/>
      <c r="E87" s="9"/>
      <c r="F87" s="9"/>
      <c r="G87" s="9"/>
      <c r="H87" s="9"/>
      <c r="I87" s="9"/>
      <c r="J87" s="9"/>
      <c r="K87" s="11"/>
    </row>
    <row r="88" spans="1:11" x14ac:dyDescent="0.25">
      <c r="A88" s="4"/>
      <c r="B88" s="2"/>
      <c r="C88" s="4"/>
      <c r="D88" s="4"/>
      <c r="E88" s="4"/>
      <c r="F88" s="4"/>
      <c r="G88" s="4"/>
      <c r="H88" s="4"/>
      <c r="I88" s="4"/>
      <c r="J88" s="4"/>
      <c r="K88" s="15"/>
    </row>
    <row r="89" spans="1:11" x14ac:dyDescent="0.25">
      <c r="A89" s="5"/>
      <c r="B89" s="16"/>
      <c r="C89" s="4"/>
      <c r="D89" s="4"/>
      <c r="E89" s="4"/>
      <c r="F89" s="4"/>
      <c r="G89" s="5"/>
      <c r="H89" s="5"/>
      <c r="I89" s="5"/>
      <c r="J89" s="5"/>
      <c r="K89" s="15"/>
    </row>
    <row r="90" spans="1:11" x14ac:dyDescent="0.25">
      <c r="A90" s="5"/>
      <c r="B90" s="16"/>
      <c r="C90" s="4"/>
      <c r="D90" s="4"/>
      <c r="E90" s="4"/>
      <c r="F90" s="4"/>
      <c r="G90" s="5"/>
      <c r="H90" s="5"/>
      <c r="I90" s="5"/>
      <c r="J90" s="5"/>
      <c r="K90" s="15"/>
    </row>
    <row r="91" spans="1:11" x14ac:dyDescent="0.25">
      <c r="A91" s="5"/>
      <c r="B91" s="16"/>
      <c r="C91" s="4"/>
      <c r="D91" s="4"/>
      <c r="E91" s="4"/>
      <c r="F91" s="4"/>
      <c r="G91" s="5"/>
      <c r="H91" s="5"/>
      <c r="I91" s="5"/>
      <c r="J91" s="5"/>
      <c r="K91" s="15"/>
    </row>
    <row r="92" spans="1:11" x14ac:dyDescent="0.25">
      <c r="A92" s="5"/>
      <c r="B92" s="16"/>
      <c r="C92" s="4"/>
      <c r="D92" s="4"/>
      <c r="E92" s="4"/>
      <c r="F92" s="4"/>
      <c r="G92" s="5"/>
      <c r="H92" s="5"/>
      <c r="I92" s="5"/>
      <c r="J92" s="5"/>
      <c r="K92" s="15"/>
    </row>
    <row r="93" spans="1:11" x14ac:dyDescent="0.25">
      <c r="A93" s="5"/>
      <c r="B93" s="16"/>
      <c r="C93" s="4"/>
      <c r="D93" s="4"/>
      <c r="E93" s="4"/>
      <c r="F93" s="4"/>
      <c r="G93" s="5"/>
      <c r="H93" s="5"/>
      <c r="I93" s="5"/>
      <c r="J93" s="5"/>
      <c r="K93" s="15"/>
    </row>
    <row r="94" spans="1:11" x14ac:dyDescent="0.25">
      <c r="A94" s="5"/>
      <c r="B94" s="16"/>
      <c r="C94" s="4"/>
      <c r="D94" s="4"/>
      <c r="E94" s="4"/>
      <c r="F94" s="4"/>
      <c r="G94" s="5"/>
      <c r="H94" s="5"/>
      <c r="I94" s="5"/>
      <c r="J94" s="5"/>
      <c r="K94" s="15"/>
    </row>
    <row r="95" spans="1:11" x14ac:dyDescent="0.25">
      <c r="A95" s="5"/>
      <c r="B95" s="16"/>
      <c r="C95" s="4"/>
      <c r="D95" s="4"/>
      <c r="E95" s="4"/>
      <c r="F95" s="4"/>
      <c r="G95" s="5"/>
      <c r="H95" s="5"/>
      <c r="I95" s="5"/>
      <c r="J95" s="5"/>
      <c r="K95" s="15"/>
    </row>
    <row r="96" spans="1:11" x14ac:dyDescent="0.25">
      <c r="A96" s="5"/>
      <c r="B96" s="16"/>
      <c r="C96" s="4"/>
      <c r="D96" s="4"/>
      <c r="E96" s="4"/>
      <c r="F96" s="4"/>
      <c r="G96" s="5"/>
      <c r="H96" s="5"/>
      <c r="I96" s="5"/>
      <c r="J96" s="5"/>
      <c r="K96" s="15"/>
    </row>
    <row r="97" spans="1:14" x14ac:dyDescent="0.25">
      <c r="A97" s="5"/>
      <c r="B97" s="16"/>
      <c r="C97" s="4"/>
      <c r="D97" s="4"/>
      <c r="E97" s="4"/>
      <c r="F97" s="4"/>
      <c r="G97" s="5"/>
      <c r="H97" s="5"/>
      <c r="I97" s="5"/>
      <c r="J97" s="5"/>
      <c r="K97" s="15"/>
    </row>
    <row r="98" spans="1:14" x14ac:dyDescent="0.25">
      <c r="A98" s="5"/>
      <c r="B98" s="16"/>
      <c r="C98" s="4"/>
      <c r="D98" s="4"/>
      <c r="E98" s="4"/>
      <c r="F98" s="4"/>
      <c r="G98" s="5"/>
      <c r="H98" s="5"/>
      <c r="I98" s="5"/>
      <c r="J98" s="5"/>
      <c r="K98" s="15"/>
    </row>
    <row r="99" spans="1:14" x14ac:dyDescent="0.25">
      <c r="A99" s="5"/>
      <c r="B99" s="16"/>
      <c r="C99" s="4"/>
      <c r="D99" s="4"/>
      <c r="E99" s="4"/>
      <c r="F99" s="4"/>
      <c r="G99" s="5"/>
      <c r="H99" s="5"/>
      <c r="I99" s="5"/>
      <c r="J99" s="5"/>
      <c r="K99" s="15"/>
    </row>
    <row r="100" spans="1:14" x14ac:dyDescent="0.25">
      <c r="A100" s="5"/>
      <c r="B100" s="16"/>
      <c r="C100" s="4"/>
      <c r="D100" s="4"/>
      <c r="E100" s="4"/>
      <c r="F100" s="4"/>
      <c r="G100" s="5"/>
      <c r="H100" s="5"/>
      <c r="I100" s="5"/>
      <c r="J100" s="5"/>
      <c r="K100" s="15"/>
    </row>
    <row r="101" spans="1:14" x14ac:dyDescent="0.25">
      <c r="A101" s="5"/>
      <c r="B101" s="16"/>
      <c r="C101" s="4"/>
      <c r="D101" s="4"/>
      <c r="E101" s="4"/>
      <c r="F101" s="4"/>
      <c r="G101" s="5"/>
      <c r="H101" s="5"/>
      <c r="I101" s="5"/>
      <c r="J101" s="5"/>
      <c r="K101" s="15"/>
    </row>
    <row r="102" spans="1:14" x14ac:dyDescent="0.25">
      <c r="A102" s="5"/>
      <c r="B102" s="16"/>
      <c r="C102" s="4"/>
      <c r="D102" s="4"/>
      <c r="E102" s="4"/>
      <c r="F102" s="4"/>
      <c r="G102" s="5"/>
      <c r="H102" s="5"/>
      <c r="I102" s="5"/>
      <c r="J102" s="5"/>
      <c r="K102" s="15"/>
    </row>
    <row r="103" spans="1:14" x14ac:dyDescent="0.25">
      <c r="A103" s="5"/>
      <c r="B103" s="16"/>
      <c r="C103" s="4"/>
      <c r="D103" s="4"/>
      <c r="E103" s="4"/>
      <c r="F103" s="4"/>
      <c r="G103" s="5"/>
      <c r="H103" s="5"/>
      <c r="I103" s="5"/>
      <c r="J103" s="5"/>
      <c r="K103" s="15"/>
    </row>
    <row r="104" spans="1:14" x14ac:dyDescent="0.25">
      <c r="A104" s="5"/>
      <c r="B104" s="16"/>
      <c r="C104" s="4"/>
      <c r="D104" s="4"/>
      <c r="E104" s="4"/>
      <c r="F104" s="4"/>
      <c r="G104" s="5"/>
      <c r="H104" s="5"/>
      <c r="I104" s="5"/>
      <c r="J104" s="5"/>
      <c r="K104" s="15"/>
    </row>
    <row r="105" spans="1:14" x14ac:dyDescent="0.25">
      <c r="A105" s="5"/>
      <c r="B105" s="16"/>
      <c r="C105" s="4"/>
      <c r="D105" s="4"/>
      <c r="E105" s="4"/>
      <c r="F105" s="4"/>
      <c r="G105" s="5"/>
      <c r="H105" s="5"/>
      <c r="I105" s="5"/>
      <c r="J105" s="5"/>
      <c r="K105" s="15"/>
    </row>
    <row r="106" spans="1:14" x14ac:dyDescent="0.25">
      <c r="A106" s="5"/>
      <c r="B106" s="16"/>
      <c r="C106" s="4"/>
      <c r="D106" s="4"/>
      <c r="E106" s="4"/>
      <c r="F106" s="4"/>
      <c r="G106" s="5"/>
      <c r="H106" s="5"/>
      <c r="I106" s="5"/>
      <c r="J106" s="5"/>
      <c r="K106" s="15"/>
    </row>
    <row r="107" spans="1:14" x14ac:dyDescent="0.25">
      <c r="A107" s="5"/>
      <c r="B107" s="16"/>
      <c r="C107" s="4"/>
      <c r="D107" s="4"/>
      <c r="E107" s="4"/>
      <c r="F107" s="4"/>
      <c r="G107" s="5"/>
      <c r="H107" s="5"/>
      <c r="I107" s="5"/>
      <c r="J107" s="5"/>
      <c r="K107" s="15"/>
    </row>
    <row r="108" spans="1:14" x14ac:dyDescent="0.25">
      <c r="A108" s="5"/>
      <c r="B108" s="16"/>
      <c r="C108" s="5"/>
      <c r="D108" s="5"/>
      <c r="E108" s="5"/>
      <c r="F108" s="5"/>
      <c r="G108" s="5"/>
      <c r="H108" s="5"/>
      <c r="I108" s="5"/>
      <c r="J108" s="5"/>
      <c r="K108" s="15"/>
    </row>
    <row r="109" spans="1:14" x14ac:dyDescent="0.25">
      <c r="A109" s="5"/>
      <c r="B109" s="16"/>
      <c r="C109" s="5"/>
      <c r="D109" s="5"/>
      <c r="E109" s="5"/>
      <c r="F109" s="5"/>
      <c r="G109" s="5"/>
      <c r="H109" s="5"/>
      <c r="I109" s="5"/>
      <c r="J109" s="5"/>
      <c r="K109" s="15"/>
      <c r="L109" s="21"/>
      <c r="M109" s="8" t="s">
        <v>2</v>
      </c>
      <c r="N109" s="18"/>
    </row>
    <row r="110" spans="1:14" x14ac:dyDescent="0.25">
      <c r="A110" s="5"/>
      <c r="B110" s="16"/>
      <c r="C110" s="5"/>
      <c r="D110" s="5"/>
      <c r="E110" s="5"/>
      <c r="F110" s="5"/>
      <c r="G110" s="5"/>
      <c r="H110" s="5"/>
      <c r="I110" s="5"/>
      <c r="J110" s="5"/>
      <c r="K110" s="15"/>
      <c r="L110" s="21"/>
      <c r="M110" s="8" t="s">
        <v>2</v>
      </c>
      <c r="N110" s="18"/>
    </row>
    <row r="111" spans="1:14" x14ac:dyDescent="0.25">
      <c r="A111" s="5"/>
      <c r="B111" s="16"/>
      <c r="C111" s="5"/>
      <c r="D111" s="5"/>
      <c r="E111" s="5"/>
      <c r="F111" s="5"/>
      <c r="G111" s="5"/>
      <c r="H111" s="5"/>
      <c r="I111" s="5"/>
      <c r="J111" s="5"/>
      <c r="K111" s="15"/>
      <c r="L111" s="21"/>
      <c r="M111" s="8" t="s">
        <v>2</v>
      </c>
      <c r="N111" s="18"/>
    </row>
    <row r="112" spans="1:14" x14ac:dyDescent="0.25">
      <c r="A112" s="5"/>
      <c r="B112" s="16"/>
      <c r="C112" s="5"/>
      <c r="D112" s="5"/>
      <c r="E112" s="5"/>
      <c r="F112" s="5"/>
      <c r="G112" s="5"/>
      <c r="H112" s="5"/>
      <c r="I112" s="5"/>
      <c r="J112" s="5"/>
      <c r="K112" s="15"/>
      <c r="L112" s="21"/>
      <c r="M112" s="8" t="s">
        <v>2</v>
      </c>
      <c r="N112" s="18"/>
    </row>
    <row r="113" spans="1:14" x14ac:dyDescent="0.25">
      <c r="A113" s="5"/>
      <c r="B113" s="16"/>
      <c r="C113" s="5"/>
      <c r="D113" s="5"/>
      <c r="E113" s="5"/>
      <c r="F113" s="5"/>
      <c r="G113" s="5"/>
      <c r="H113" s="5"/>
      <c r="I113" s="5"/>
      <c r="J113" s="5"/>
      <c r="K113" s="15"/>
      <c r="L113" s="21"/>
      <c r="M113" s="8" t="s">
        <v>2</v>
      </c>
      <c r="N113" s="18"/>
    </row>
    <row r="114" spans="1:14" x14ac:dyDescent="0.25">
      <c r="A114" s="5"/>
      <c r="B114" s="16"/>
      <c r="C114" s="5"/>
      <c r="D114" s="5"/>
      <c r="E114" s="5"/>
      <c r="F114" s="5"/>
      <c r="G114" s="5"/>
      <c r="H114" s="5"/>
      <c r="I114" s="5"/>
      <c r="J114" s="5"/>
      <c r="K114" s="15"/>
      <c r="L114" s="21"/>
      <c r="M114" s="8" t="s">
        <v>2</v>
      </c>
      <c r="N114" s="18"/>
    </row>
    <row r="115" spans="1:14" x14ac:dyDescent="0.25">
      <c r="A115" s="5"/>
      <c r="B115" s="16"/>
      <c r="C115" s="5"/>
      <c r="D115" s="5"/>
      <c r="E115" s="5"/>
      <c r="F115" s="5"/>
      <c r="G115" s="5"/>
      <c r="H115" s="5"/>
      <c r="I115" s="5"/>
      <c r="J115" s="5"/>
      <c r="K115" s="15"/>
      <c r="L115" s="21"/>
      <c r="M115" s="8" t="s">
        <v>2</v>
      </c>
      <c r="N115" s="18"/>
    </row>
    <row r="116" spans="1:14" x14ac:dyDescent="0.25">
      <c r="A116" s="5"/>
      <c r="B116" s="16"/>
      <c r="C116" s="5"/>
      <c r="D116" s="5"/>
      <c r="E116" s="5"/>
      <c r="F116" s="5"/>
      <c r="G116" s="5"/>
      <c r="H116" s="5"/>
      <c r="I116" s="5"/>
      <c r="J116" s="5"/>
      <c r="K116" s="15"/>
      <c r="L116" s="21"/>
      <c r="M116" s="8" t="s">
        <v>2</v>
      </c>
      <c r="N116" s="18"/>
    </row>
    <row r="117" spans="1:14" x14ac:dyDescent="0.25">
      <c r="A117" s="5"/>
      <c r="B117" s="16"/>
      <c r="C117" s="5"/>
      <c r="D117" s="5"/>
      <c r="E117" s="5"/>
      <c r="F117" s="5"/>
      <c r="G117" s="5"/>
      <c r="H117" s="5"/>
      <c r="I117" s="5"/>
      <c r="J117" s="5"/>
      <c r="K117" s="15"/>
      <c r="L117" s="21"/>
      <c r="M117" s="8" t="s">
        <v>2</v>
      </c>
      <c r="N117" s="18"/>
    </row>
    <row r="118" spans="1:14" x14ac:dyDescent="0.25">
      <c r="A118" s="5"/>
      <c r="B118" s="16"/>
      <c r="C118" s="5"/>
      <c r="D118" s="5"/>
      <c r="E118" s="5"/>
      <c r="F118" s="5"/>
      <c r="G118" s="5"/>
      <c r="H118" s="5"/>
      <c r="I118" s="5"/>
      <c r="J118" s="5"/>
      <c r="K118" s="17"/>
      <c r="L118" s="21"/>
      <c r="M118" s="8" t="s">
        <v>2</v>
      </c>
      <c r="N118" s="18"/>
    </row>
    <row r="119" spans="1:14" x14ac:dyDescent="0.25">
      <c r="A119" s="5"/>
      <c r="B119" s="16"/>
      <c r="C119" s="5"/>
      <c r="D119" s="5"/>
      <c r="E119" s="5"/>
      <c r="F119" s="5"/>
      <c r="G119" s="5"/>
      <c r="H119" s="5"/>
      <c r="I119" s="5"/>
      <c r="J119" s="5"/>
      <c r="K119" s="17"/>
      <c r="L119" s="21"/>
      <c r="M119" s="8" t="s">
        <v>2</v>
      </c>
      <c r="N119" s="18"/>
    </row>
    <row r="120" spans="1:14" x14ac:dyDescent="0.25">
      <c r="A120" s="5"/>
      <c r="B120" s="16"/>
      <c r="C120" s="5"/>
      <c r="D120" s="5"/>
      <c r="E120" s="5"/>
      <c r="F120" s="5"/>
      <c r="G120" s="5"/>
      <c r="H120" s="5"/>
      <c r="I120" s="5"/>
      <c r="J120" s="5"/>
      <c r="K120" s="17"/>
      <c r="L120" s="21"/>
      <c r="M120" s="8" t="s">
        <v>2</v>
      </c>
      <c r="N120" s="18"/>
    </row>
    <row r="121" spans="1:14" x14ac:dyDescent="0.25">
      <c r="A121" s="5"/>
      <c r="B121" s="16"/>
      <c r="C121" s="5"/>
      <c r="D121" s="5"/>
      <c r="E121" s="5"/>
      <c r="F121" s="5"/>
      <c r="G121" s="5"/>
      <c r="H121" s="5"/>
      <c r="I121" s="5"/>
      <c r="J121" s="5"/>
      <c r="K121" s="17"/>
      <c r="L121" s="21"/>
      <c r="M121" s="8" t="s">
        <v>2</v>
      </c>
      <c r="N121" s="18"/>
    </row>
    <row r="122" spans="1:14" x14ac:dyDescent="0.25">
      <c r="A122" s="5"/>
      <c r="B122" s="16"/>
      <c r="C122" s="5"/>
      <c r="D122" s="5"/>
      <c r="E122" s="5"/>
      <c r="F122" s="5"/>
      <c r="G122" s="5"/>
      <c r="H122" s="5"/>
      <c r="I122" s="5"/>
      <c r="J122" s="5"/>
      <c r="K122" s="17"/>
      <c r="L122" s="21"/>
      <c r="M122" s="8" t="s">
        <v>2</v>
      </c>
      <c r="N122" s="18"/>
    </row>
    <row r="123" spans="1:14" x14ac:dyDescent="0.25">
      <c r="A123" s="5"/>
      <c r="B123" s="16"/>
      <c r="C123" s="5"/>
      <c r="D123" s="5"/>
      <c r="E123" s="5"/>
      <c r="F123" s="5"/>
      <c r="G123" s="5"/>
      <c r="H123" s="5"/>
      <c r="I123" s="5"/>
      <c r="J123" s="5"/>
      <c r="K123" s="17"/>
      <c r="L123" s="21"/>
      <c r="M123" s="8" t="s">
        <v>2</v>
      </c>
      <c r="N123" s="18"/>
    </row>
    <row r="124" spans="1:14" x14ac:dyDescent="0.25">
      <c r="A124" s="5"/>
      <c r="B124" s="16"/>
      <c r="C124" s="5"/>
      <c r="D124" s="5"/>
      <c r="E124" s="5"/>
      <c r="F124" s="5"/>
      <c r="G124" s="5"/>
      <c r="H124" s="5"/>
      <c r="I124" s="5"/>
      <c r="J124" s="5"/>
      <c r="K124" s="17"/>
      <c r="L124" s="21"/>
      <c r="M124" s="8" t="s">
        <v>2</v>
      </c>
      <c r="N124" s="18"/>
    </row>
    <row r="125" spans="1:14" x14ac:dyDescent="0.25">
      <c r="B125" s="12"/>
      <c r="K125" s="8"/>
      <c r="L125" s="22"/>
      <c r="M125" s="8" t="s">
        <v>2</v>
      </c>
      <c r="N125" s="18"/>
    </row>
    <row r="126" spans="1:14" x14ac:dyDescent="0.25">
      <c r="B126" s="12"/>
      <c r="K126" s="8"/>
      <c r="L126" s="22"/>
      <c r="M126" s="8" t="s">
        <v>2</v>
      </c>
      <c r="N126" s="18"/>
    </row>
    <row r="127" spans="1:14" x14ac:dyDescent="0.25">
      <c r="B127" s="12"/>
      <c r="K127" s="8"/>
      <c r="L127" s="22"/>
      <c r="M127" s="8" t="s">
        <v>2</v>
      </c>
      <c r="N127" s="18"/>
    </row>
    <row r="128" spans="1:14" x14ac:dyDescent="0.25">
      <c r="B128" s="12"/>
      <c r="K128" s="8"/>
      <c r="L128" s="22"/>
      <c r="M128" s="8" t="s">
        <v>2</v>
      </c>
      <c r="N128" s="18"/>
    </row>
    <row r="129" spans="2:14" x14ac:dyDescent="0.25">
      <c r="B129" s="12"/>
      <c r="K129" s="8"/>
      <c r="L129" s="22"/>
      <c r="M129" s="8" t="s">
        <v>2</v>
      </c>
      <c r="N129" s="18"/>
    </row>
    <row r="130" spans="2:14" x14ac:dyDescent="0.25">
      <c r="B130" s="12"/>
      <c r="K130" s="8"/>
      <c r="L130" s="22"/>
      <c r="M130" s="8" t="s">
        <v>2</v>
      </c>
      <c r="N130" s="18"/>
    </row>
    <row r="131" spans="2:14" x14ac:dyDescent="0.25">
      <c r="B131" s="12"/>
      <c r="K131" s="8"/>
      <c r="L131" s="22"/>
      <c r="M131" s="8" t="s">
        <v>2</v>
      </c>
      <c r="N131" s="18"/>
    </row>
    <row r="132" spans="2:14" x14ac:dyDescent="0.25">
      <c r="B132" s="12"/>
      <c r="K132" s="8"/>
      <c r="L132" s="22"/>
      <c r="M132" s="8" t="s">
        <v>2</v>
      </c>
      <c r="N132" s="18"/>
    </row>
    <row r="133" spans="2:14" x14ac:dyDescent="0.25">
      <c r="B133" s="12"/>
      <c r="K133" s="8"/>
      <c r="L133" s="22"/>
      <c r="M133" s="8" t="s">
        <v>2</v>
      </c>
      <c r="N133" s="18"/>
    </row>
    <row r="134" spans="2:14" x14ac:dyDescent="0.25">
      <c r="B134" s="12"/>
      <c r="K134" s="8"/>
      <c r="L134" s="22"/>
      <c r="M134" s="8" t="s">
        <v>2</v>
      </c>
      <c r="N134" s="18"/>
    </row>
    <row r="135" spans="2:14" x14ac:dyDescent="0.25">
      <c r="B135" s="12"/>
      <c r="K135" s="8"/>
      <c r="L135" s="22"/>
      <c r="M135" s="8" t="s">
        <v>2</v>
      </c>
      <c r="N135" s="18"/>
    </row>
    <row r="136" spans="2:14" x14ac:dyDescent="0.25">
      <c r="B136" s="12"/>
      <c r="K136" s="8"/>
      <c r="L136" s="22"/>
      <c r="M136" s="8" t="s">
        <v>2</v>
      </c>
      <c r="N136" s="18"/>
    </row>
    <row r="137" spans="2:14" x14ac:dyDescent="0.25">
      <c r="B137" s="12"/>
      <c r="K137" s="8"/>
      <c r="L137" s="22"/>
      <c r="M137" s="8" t="s">
        <v>2</v>
      </c>
      <c r="N137" s="18"/>
    </row>
    <row r="138" spans="2:14" x14ac:dyDescent="0.25">
      <c r="B138" s="12"/>
      <c r="K138" s="8"/>
      <c r="L138" s="22"/>
      <c r="M138" s="8" t="s">
        <v>2</v>
      </c>
      <c r="N138" s="18"/>
    </row>
    <row r="139" spans="2:14" x14ac:dyDescent="0.25">
      <c r="B139" s="12"/>
      <c r="K139" s="8"/>
      <c r="L139" s="22"/>
      <c r="M139" s="8" t="s">
        <v>2</v>
      </c>
      <c r="N139" s="18"/>
    </row>
    <row r="140" spans="2:14" x14ac:dyDescent="0.25">
      <c r="B140" s="12"/>
      <c r="K140" s="8"/>
      <c r="L140" s="22"/>
      <c r="M140" s="8" t="s">
        <v>2</v>
      </c>
      <c r="N140" s="18"/>
    </row>
    <row r="141" spans="2:14" x14ac:dyDescent="0.25">
      <c r="B141" s="12"/>
      <c r="K141" s="8"/>
      <c r="L141" s="22"/>
      <c r="M141" s="8" t="s">
        <v>2</v>
      </c>
      <c r="N141" s="18"/>
    </row>
    <row r="142" spans="2:14" x14ac:dyDescent="0.25">
      <c r="B142" s="12"/>
      <c r="K142" s="8"/>
      <c r="L142" s="22"/>
      <c r="M142" s="8" t="s">
        <v>2</v>
      </c>
      <c r="N142" s="18"/>
    </row>
    <row r="143" spans="2:14" x14ac:dyDescent="0.25">
      <c r="B143" s="12"/>
      <c r="K143" s="8"/>
      <c r="L143" s="22"/>
      <c r="M143" s="8" t="s">
        <v>2</v>
      </c>
      <c r="N143" s="18"/>
    </row>
    <row r="144" spans="2:14" x14ac:dyDescent="0.25">
      <c r="B144" s="12"/>
      <c r="K144" s="8"/>
      <c r="L144" s="22"/>
      <c r="M144" s="8" t="s">
        <v>2</v>
      </c>
      <c r="N144" s="19"/>
    </row>
    <row r="145" spans="2:14" x14ac:dyDescent="0.25">
      <c r="B145" s="12"/>
      <c r="K145" s="8"/>
      <c r="L145" s="22"/>
      <c r="M145" s="8" t="s">
        <v>2</v>
      </c>
      <c r="N145" s="19"/>
    </row>
    <row r="146" spans="2:14" x14ac:dyDescent="0.25">
      <c r="B146" s="12"/>
      <c r="K146" s="8"/>
      <c r="L146" s="22"/>
      <c r="M146" s="8" t="s">
        <v>2</v>
      </c>
      <c r="N146" s="19"/>
    </row>
    <row r="147" spans="2:14" x14ac:dyDescent="0.25">
      <c r="B147" s="12"/>
      <c r="K147" s="8"/>
      <c r="L147" s="22"/>
      <c r="M147" s="8" t="s">
        <v>2</v>
      </c>
      <c r="N147" s="19"/>
    </row>
    <row r="148" spans="2:14" x14ac:dyDescent="0.25">
      <c r="B148" s="12"/>
      <c r="K148" s="8"/>
      <c r="L148" s="22"/>
      <c r="M148" s="8" t="s">
        <v>2</v>
      </c>
      <c r="N148" s="19"/>
    </row>
    <row r="149" spans="2:14" x14ac:dyDescent="0.25">
      <c r="B149" s="12"/>
      <c r="K149" s="8"/>
      <c r="L149" s="22"/>
      <c r="M149" s="8" t="s">
        <v>2</v>
      </c>
      <c r="N149" s="19"/>
    </row>
    <row r="150" spans="2:14" x14ac:dyDescent="0.25">
      <c r="B150" s="12"/>
      <c r="K150" s="8"/>
      <c r="L150" s="22"/>
      <c r="M150" s="8" t="s">
        <v>2</v>
      </c>
      <c r="N150" s="19"/>
    </row>
    <row r="151" spans="2:14" x14ac:dyDescent="0.25">
      <c r="B151" s="12"/>
      <c r="K151" s="8"/>
      <c r="L151" s="22"/>
      <c r="M151" s="8" t="s">
        <v>2</v>
      </c>
      <c r="N151" s="19"/>
    </row>
    <row r="152" spans="2:14" x14ac:dyDescent="0.25">
      <c r="B152" s="12"/>
      <c r="K152" s="8"/>
      <c r="L152" s="22"/>
      <c r="M152" s="8" t="s">
        <v>2</v>
      </c>
      <c r="N152" s="19"/>
    </row>
    <row r="153" spans="2:14" x14ac:dyDescent="0.25">
      <c r="B153" s="12"/>
      <c r="K153" s="8"/>
      <c r="L153" s="22"/>
      <c r="M153" s="8" t="s">
        <v>2</v>
      </c>
      <c r="N153" s="19"/>
    </row>
    <row r="154" spans="2:14" x14ac:dyDescent="0.25">
      <c r="B154" s="12"/>
      <c r="K154" s="8"/>
      <c r="L154" s="22"/>
      <c r="M154" s="8" t="s">
        <v>2</v>
      </c>
      <c r="N154" s="19"/>
    </row>
    <row r="155" spans="2:14" x14ac:dyDescent="0.25">
      <c r="B155" s="12"/>
      <c r="K155" s="8"/>
      <c r="L155" s="22"/>
      <c r="M155" s="8" t="s">
        <v>2</v>
      </c>
      <c r="N155" s="19"/>
    </row>
    <row r="156" spans="2:14" x14ac:dyDescent="0.25">
      <c r="B156" s="12"/>
      <c r="K156" s="8"/>
      <c r="L156" s="22"/>
      <c r="M156" s="8" t="s">
        <v>2</v>
      </c>
      <c r="N156" s="19"/>
    </row>
    <row r="157" spans="2:14" x14ac:dyDescent="0.25">
      <c r="B157" s="12"/>
      <c r="K157" s="8"/>
      <c r="L157" s="22"/>
      <c r="M157" s="8" t="s">
        <v>2</v>
      </c>
      <c r="N157" s="19"/>
    </row>
    <row r="158" spans="2:14" x14ac:dyDescent="0.25">
      <c r="B158" s="12"/>
      <c r="K158" s="8"/>
      <c r="L158" s="22"/>
      <c r="M158" s="8" t="s">
        <v>2</v>
      </c>
      <c r="N158" s="19"/>
    </row>
    <row r="159" spans="2:14" x14ac:dyDescent="0.25">
      <c r="B159" s="12"/>
      <c r="K159" s="8"/>
      <c r="L159" s="22"/>
      <c r="M159" s="8" t="s">
        <v>2</v>
      </c>
      <c r="N159" s="19"/>
    </row>
    <row r="160" spans="2:14" x14ac:dyDescent="0.25">
      <c r="B160" s="12"/>
      <c r="K160" s="8"/>
      <c r="L160" s="22"/>
      <c r="M160" s="8" t="s">
        <v>2</v>
      </c>
      <c r="N160" s="19"/>
    </row>
    <row r="161" spans="2:14" x14ac:dyDescent="0.25">
      <c r="B161" s="12"/>
      <c r="K161" s="8"/>
      <c r="L161" s="22"/>
      <c r="M161" s="8" t="s">
        <v>2</v>
      </c>
      <c r="N161" s="19"/>
    </row>
    <row r="162" spans="2:14" x14ac:dyDescent="0.25">
      <c r="B162" s="12"/>
      <c r="K162" s="8"/>
      <c r="L162" s="22"/>
      <c r="M162" s="8" t="s">
        <v>2</v>
      </c>
      <c r="N162" s="19"/>
    </row>
    <row r="163" spans="2:14" x14ac:dyDescent="0.25">
      <c r="B163" s="12"/>
      <c r="K163" s="8"/>
      <c r="L163" s="22"/>
      <c r="M163" s="8" t="s">
        <v>2</v>
      </c>
      <c r="N163" s="19"/>
    </row>
    <row r="164" spans="2:14" x14ac:dyDescent="0.25">
      <c r="B164" s="12"/>
      <c r="K164" s="8"/>
      <c r="L164" s="22"/>
      <c r="M164" s="8" t="s">
        <v>2</v>
      </c>
      <c r="N164" s="19"/>
    </row>
    <row r="165" spans="2:14" x14ac:dyDescent="0.25">
      <c r="B165" s="12"/>
      <c r="K165" s="8"/>
      <c r="L165" s="22"/>
      <c r="M165" s="8" t="s">
        <v>2</v>
      </c>
      <c r="N165" s="19"/>
    </row>
    <row r="166" spans="2:14" x14ac:dyDescent="0.25">
      <c r="B166" s="12"/>
      <c r="K166" s="8"/>
      <c r="L166" s="22"/>
      <c r="M166" s="8" t="s">
        <v>2</v>
      </c>
      <c r="N166" s="19"/>
    </row>
    <row r="167" spans="2:14" x14ac:dyDescent="0.25">
      <c r="B167" s="12"/>
      <c r="K167" s="8"/>
      <c r="L167" s="22"/>
      <c r="M167" s="8" t="s">
        <v>2</v>
      </c>
      <c r="N167" s="19"/>
    </row>
    <row r="168" spans="2:14" x14ac:dyDescent="0.25">
      <c r="B168" s="12"/>
      <c r="K168" s="8"/>
      <c r="L168" s="22"/>
      <c r="M168" s="8" t="s">
        <v>2</v>
      </c>
      <c r="N168" s="19"/>
    </row>
    <row r="169" spans="2:14" x14ac:dyDescent="0.25">
      <c r="B169" s="12"/>
      <c r="K169" s="8"/>
      <c r="L169" s="22"/>
      <c r="M169" s="8" t="s">
        <v>2</v>
      </c>
      <c r="N169" s="19"/>
    </row>
    <row r="170" spans="2:14" x14ac:dyDescent="0.25">
      <c r="B170" s="12"/>
      <c r="K170" s="8"/>
      <c r="L170" s="22"/>
      <c r="M170" s="8" t="s">
        <v>2</v>
      </c>
      <c r="N170" s="19"/>
    </row>
    <row r="171" spans="2:14" x14ac:dyDescent="0.25">
      <c r="B171" s="12"/>
      <c r="K171" s="8"/>
      <c r="L171" s="22"/>
      <c r="M171" s="8" t="s">
        <v>2</v>
      </c>
      <c r="N171" s="19"/>
    </row>
    <row r="172" spans="2:14" x14ac:dyDescent="0.25">
      <c r="B172" s="12"/>
      <c r="K172" s="8"/>
      <c r="L172" s="22"/>
      <c r="M172" s="8" t="s">
        <v>2</v>
      </c>
      <c r="N172" s="19"/>
    </row>
    <row r="173" spans="2:14" x14ac:dyDescent="0.25">
      <c r="B173" s="12"/>
      <c r="K173" s="8"/>
      <c r="L173" s="22"/>
      <c r="M173" s="8" t="s">
        <v>2</v>
      </c>
      <c r="N173" s="19"/>
    </row>
    <row r="174" spans="2:14" x14ac:dyDescent="0.25">
      <c r="B174" s="12"/>
      <c r="K174" s="8"/>
      <c r="L174" s="22"/>
      <c r="M174" s="8" t="s">
        <v>2</v>
      </c>
      <c r="N174" s="19"/>
    </row>
    <row r="175" spans="2:14" x14ac:dyDescent="0.25">
      <c r="B175" s="12"/>
      <c r="K175" s="8"/>
      <c r="L175" s="22"/>
      <c r="M175" s="8" t="s">
        <v>2</v>
      </c>
      <c r="N175" s="19"/>
    </row>
    <row r="176" spans="2:14" x14ac:dyDescent="0.25">
      <c r="B176" s="12"/>
      <c r="K176" s="8"/>
      <c r="L176" s="22"/>
      <c r="M176" s="8" t="s">
        <v>2</v>
      </c>
      <c r="N176" s="19"/>
    </row>
    <row r="177" spans="2:14" x14ac:dyDescent="0.25">
      <c r="B177" s="12"/>
      <c r="K177" s="8"/>
      <c r="L177" s="22"/>
      <c r="M177" s="8" t="s">
        <v>2</v>
      </c>
      <c r="N177" s="19"/>
    </row>
    <row r="178" spans="2:14" x14ac:dyDescent="0.25">
      <c r="B178" s="12"/>
      <c r="K178" s="8"/>
      <c r="L178" s="22"/>
      <c r="M178" s="8" t="s">
        <v>2</v>
      </c>
      <c r="N178" s="19"/>
    </row>
    <row r="179" spans="2:14" x14ac:dyDescent="0.25">
      <c r="B179" s="12"/>
      <c r="K179" s="8"/>
      <c r="L179" s="22"/>
      <c r="M179" s="8" t="s">
        <v>2</v>
      </c>
      <c r="N179" s="19"/>
    </row>
    <row r="180" spans="2:14" x14ac:dyDescent="0.25">
      <c r="B180" s="12"/>
      <c r="K180" s="8"/>
      <c r="L180" s="22"/>
      <c r="M180" s="8" t="s">
        <v>2</v>
      </c>
      <c r="N180" s="19"/>
    </row>
    <row r="181" spans="2:14" x14ac:dyDescent="0.25">
      <c r="B181" s="12"/>
      <c r="K181" s="8"/>
      <c r="L181" s="22"/>
      <c r="M181" s="8" t="s">
        <v>2</v>
      </c>
      <c r="N181" s="19"/>
    </row>
    <row r="182" spans="2:14" x14ac:dyDescent="0.25">
      <c r="B182" s="12"/>
      <c r="K182" s="8"/>
      <c r="L182" s="22"/>
      <c r="M182" s="8" t="s">
        <v>2</v>
      </c>
      <c r="N182" s="19"/>
    </row>
    <row r="183" spans="2:14" x14ac:dyDescent="0.25">
      <c r="B183" s="12"/>
      <c r="K183" s="8"/>
      <c r="L183" s="22"/>
      <c r="M183" s="8" t="s">
        <v>2</v>
      </c>
      <c r="N183" s="19"/>
    </row>
    <row r="184" spans="2:14" x14ac:dyDescent="0.25">
      <c r="B184" s="12"/>
      <c r="K184" s="8"/>
      <c r="L184" s="22"/>
      <c r="M184" s="8" t="s">
        <v>2</v>
      </c>
      <c r="N184" s="19"/>
    </row>
    <row r="185" spans="2:14" x14ac:dyDescent="0.25">
      <c r="B185" s="12"/>
      <c r="K185" s="8"/>
      <c r="L185" s="22"/>
      <c r="M185" s="8" t="s">
        <v>2</v>
      </c>
      <c r="N185" s="19"/>
    </row>
    <row r="186" spans="2:14" x14ac:dyDescent="0.25">
      <c r="B186" s="12"/>
      <c r="K186" s="8"/>
      <c r="L186" s="22"/>
      <c r="M186" s="8" t="s">
        <v>2</v>
      </c>
      <c r="N186" s="19"/>
    </row>
    <row r="187" spans="2:14" x14ac:dyDescent="0.25">
      <c r="B187" s="12"/>
      <c r="K187" s="8"/>
      <c r="L187" s="22"/>
      <c r="M187" s="8" t="s">
        <v>2</v>
      </c>
      <c r="N187" s="19"/>
    </row>
    <row r="188" spans="2:14" x14ac:dyDescent="0.25">
      <c r="B188" s="12"/>
      <c r="K188" s="8"/>
      <c r="L188" s="22"/>
      <c r="M188" s="8" t="s">
        <v>2</v>
      </c>
      <c r="N188" s="19"/>
    </row>
    <row r="189" spans="2:14" x14ac:dyDescent="0.25">
      <c r="B189" s="12"/>
      <c r="K189" s="8"/>
      <c r="L189" s="22"/>
      <c r="M189" s="8" t="s">
        <v>2</v>
      </c>
      <c r="N189" s="19"/>
    </row>
    <row r="190" spans="2:14" x14ac:dyDescent="0.25">
      <c r="B190" s="12"/>
      <c r="K190" s="8"/>
      <c r="L190" s="22"/>
      <c r="M190" s="8" t="s">
        <v>2</v>
      </c>
      <c r="N190" s="19"/>
    </row>
    <row r="191" spans="2:14" x14ac:dyDescent="0.25">
      <c r="B191" s="12"/>
      <c r="K191" s="8"/>
      <c r="L191" s="22"/>
      <c r="M191" s="8" t="s">
        <v>2</v>
      </c>
      <c r="N191" s="19"/>
    </row>
    <row r="192" spans="2:14" x14ac:dyDescent="0.25">
      <c r="B192" s="12"/>
      <c r="K192" s="8"/>
      <c r="L192" s="22"/>
      <c r="M192" s="8" t="s">
        <v>2</v>
      </c>
      <c r="N192" s="19"/>
    </row>
    <row r="193" spans="2:14" x14ac:dyDescent="0.25">
      <c r="B193" s="12"/>
      <c r="K193" s="8"/>
      <c r="L193" s="22"/>
      <c r="M193" s="8" t="s">
        <v>2</v>
      </c>
      <c r="N193" s="19"/>
    </row>
    <row r="194" spans="2:14" x14ac:dyDescent="0.25">
      <c r="B194" s="12"/>
      <c r="K194" s="8"/>
      <c r="L194" s="22"/>
      <c r="M194" s="8" t="s">
        <v>2</v>
      </c>
      <c r="N194" s="19"/>
    </row>
    <row r="195" spans="2:14" x14ac:dyDescent="0.25">
      <c r="B195" s="12"/>
      <c r="K195" s="8"/>
      <c r="L195" s="22"/>
      <c r="M195" s="8" t="s">
        <v>2</v>
      </c>
      <c r="N195" s="19"/>
    </row>
    <row r="196" spans="2:14" x14ac:dyDescent="0.25">
      <c r="B196" s="12"/>
      <c r="K196" s="8"/>
      <c r="L196" s="22"/>
      <c r="M196" s="8" t="s">
        <v>2</v>
      </c>
      <c r="N196" s="19"/>
    </row>
    <row r="197" spans="2:14" x14ac:dyDescent="0.25">
      <c r="B197" s="12"/>
      <c r="K197" s="8"/>
      <c r="L197" s="22"/>
      <c r="M197" s="8" t="s">
        <v>2</v>
      </c>
      <c r="N197" s="19"/>
    </row>
    <row r="198" spans="2:14" x14ac:dyDescent="0.25">
      <c r="B198" s="12"/>
      <c r="K198" s="8"/>
      <c r="L198" s="22"/>
      <c r="M198" s="8" t="s">
        <v>2</v>
      </c>
      <c r="N198" s="19"/>
    </row>
    <row r="199" spans="2:14" x14ac:dyDescent="0.25">
      <c r="B199" s="12"/>
      <c r="K199" s="8"/>
      <c r="L199" s="22"/>
      <c r="M199" s="8" t="s">
        <v>2</v>
      </c>
      <c r="N199" s="19"/>
    </row>
    <row r="200" spans="2:14" x14ac:dyDescent="0.25">
      <c r="B200" s="12"/>
      <c r="K200" s="8"/>
      <c r="L200" s="22"/>
      <c r="M200" s="8" t="s">
        <v>2</v>
      </c>
      <c r="N200" s="19"/>
    </row>
    <row r="201" spans="2:14" x14ac:dyDescent="0.25">
      <c r="B201" s="12"/>
      <c r="K201" s="8"/>
      <c r="L201" s="22"/>
      <c r="M201" s="8" t="s">
        <v>2</v>
      </c>
      <c r="N201" s="19"/>
    </row>
    <row r="202" spans="2:14" x14ac:dyDescent="0.25">
      <c r="B202" s="12"/>
      <c r="K202" s="8"/>
      <c r="L202" s="22"/>
      <c r="M202" s="8" t="s">
        <v>2</v>
      </c>
      <c r="N202" s="19"/>
    </row>
    <row r="203" spans="2:14" x14ac:dyDescent="0.25">
      <c r="B203" s="12"/>
      <c r="K203" s="8"/>
      <c r="L203" s="22"/>
      <c r="M203" s="8" t="s">
        <v>2</v>
      </c>
      <c r="N203" s="19"/>
    </row>
    <row r="204" spans="2:14" x14ac:dyDescent="0.25">
      <c r="B204" s="12"/>
      <c r="K204" s="8"/>
      <c r="L204" s="22"/>
      <c r="M204" s="8" t="s">
        <v>2</v>
      </c>
      <c r="N204" s="19"/>
    </row>
    <row r="205" spans="2:14" x14ac:dyDescent="0.25">
      <c r="B205" s="12"/>
      <c r="K205" s="8"/>
      <c r="L205" s="22"/>
      <c r="M205" s="8" t="s">
        <v>2</v>
      </c>
      <c r="N205" s="19"/>
    </row>
    <row r="206" spans="2:14" x14ac:dyDescent="0.25">
      <c r="B206" s="12"/>
      <c r="K206" s="8"/>
      <c r="L206" s="22"/>
      <c r="M206" s="8" t="s">
        <v>2</v>
      </c>
      <c r="N206" s="19"/>
    </row>
    <row r="207" spans="2:14" x14ac:dyDescent="0.25">
      <c r="B207" s="12"/>
      <c r="K207" s="8"/>
      <c r="L207" s="22"/>
      <c r="M207" s="8" t="s">
        <v>2</v>
      </c>
      <c r="N207" s="19"/>
    </row>
    <row r="208" spans="2:14" x14ac:dyDescent="0.25">
      <c r="B208" s="12"/>
      <c r="K208" s="8"/>
      <c r="L208" s="22"/>
      <c r="M208" s="8" t="s">
        <v>2</v>
      </c>
      <c r="N208" s="19"/>
    </row>
    <row r="209" spans="2:14" x14ac:dyDescent="0.25">
      <c r="B209" s="12"/>
      <c r="K209" s="8"/>
      <c r="L209" s="22"/>
      <c r="M209" s="8" t="s">
        <v>2</v>
      </c>
      <c r="N209" s="8"/>
    </row>
    <row r="210" spans="2:14" x14ac:dyDescent="0.25">
      <c r="B210" s="12"/>
      <c r="K210" s="8"/>
      <c r="L210" s="22"/>
      <c r="M210" s="8" t="s">
        <v>2</v>
      </c>
      <c r="N210" s="8"/>
    </row>
    <row r="211" spans="2:14" x14ac:dyDescent="0.25">
      <c r="B211" s="12"/>
      <c r="K211" s="8"/>
      <c r="L211" s="22"/>
      <c r="M211" s="8" t="s">
        <v>2</v>
      </c>
      <c r="N211" s="8"/>
    </row>
    <row r="212" spans="2:14" x14ac:dyDescent="0.25">
      <c r="B212" s="12"/>
      <c r="K212" s="8"/>
      <c r="L212" s="22"/>
      <c r="M212" s="8" t="s">
        <v>2</v>
      </c>
      <c r="N212" s="8"/>
    </row>
    <row r="213" spans="2:14" x14ac:dyDescent="0.25">
      <c r="B213" s="12"/>
      <c r="K213" s="8"/>
      <c r="L213" s="22"/>
      <c r="M213" s="8" t="s">
        <v>2</v>
      </c>
      <c r="N213" s="8"/>
    </row>
    <row r="214" spans="2:14" x14ac:dyDescent="0.25">
      <c r="B214" s="12"/>
      <c r="K214" s="8"/>
      <c r="L214" s="22"/>
      <c r="M214" s="8" t="s">
        <v>2</v>
      </c>
      <c r="N214" s="8"/>
    </row>
    <row r="215" spans="2:14" x14ac:dyDescent="0.25">
      <c r="B215" s="12"/>
      <c r="K215" s="8"/>
      <c r="L215" s="22"/>
      <c r="M215" s="8" t="s">
        <v>2</v>
      </c>
      <c r="N215" s="8"/>
    </row>
    <row r="216" spans="2:14" x14ac:dyDescent="0.25">
      <c r="B216" s="12"/>
      <c r="K216" s="8"/>
      <c r="L216" s="22"/>
      <c r="M216" s="8" t="s">
        <v>2</v>
      </c>
      <c r="N216" s="8"/>
    </row>
    <row r="217" spans="2:14" x14ac:dyDescent="0.25">
      <c r="B217" s="12"/>
      <c r="K217" s="8"/>
      <c r="L217" s="22"/>
      <c r="M217" s="8" t="s">
        <v>2</v>
      </c>
      <c r="N217" s="8"/>
    </row>
    <row r="218" spans="2:14" x14ac:dyDescent="0.25">
      <c r="B218" s="12"/>
      <c r="K218" s="8"/>
      <c r="L218" s="22"/>
      <c r="M218" s="8" t="s">
        <v>2</v>
      </c>
      <c r="N218" s="8"/>
    </row>
    <row r="219" spans="2:14" x14ac:dyDescent="0.25">
      <c r="B219" s="12"/>
      <c r="K219" s="8"/>
      <c r="L219" s="22"/>
      <c r="M219" s="8" t="s">
        <v>2</v>
      </c>
      <c r="N219" s="8"/>
    </row>
    <row r="220" spans="2:14" x14ac:dyDescent="0.25">
      <c r="B220" s="12"/>
      <c r="K220" s="8"/>
      <c r="L220" s="22"/>
      <c r="M220" s="8" t="s">
        <v>2</v>
      </c>
      <c r="N220" s="8"/>
    </row>
    <row r="221" spans="2:14" x14ac:dyDescent="0.25">
      <c r="B221" s="12"/>
      <c r="K221" s="8"/>
      <c r="L221" s="22"/>
      <c r="M221" s="8" t="s">
        <v>2</v>
      </c>
      <c r="N221" s="8"/>
    </row>
    <row r="222" spans="2:14" x14ac:dyDescent="0.25">
      <c r="B222" s="12"/>
      <c r="K222" s="8"/>
      <c r="L222" s="22"/>
      <c r="M222" s="8" t="s">
        <v>2</v>
      </c>
      <c r="N222" s="8"/>
    </row>
    <row r="223" spans="2:14" x14ac:dyDescent="0.25">
      <c r="B223" s="12"/>
      <c r="K223" s="8"/>
      <c r="L223" s="22"/>
      <c r="M223" s="8" t="s">
        <v>2</v>
      </c>
      <c r="N223" s="8"/>
    </row>
    <row r="224" spans="2:14" x14ac:dyDescent="0.25">
      <c r="B224" s="12"/>
      <c r="K224" s="8"/>
      <c r="L224" s="22"/>
      <c r="M224" s="8" t="s">
        <v>2</v>
      </c>
      <c r="N224" s="8"/>
    </row>
    <row r="225" spans="2:14" x14ac:dyDescent="0.25">
      <c r="B225" s="12"/>
      <c r="K225" s="8"/>
      <c r="L225" s="22"/>
      <c r="M225" s="8" t="s">
        <v>2</v>
      </c>
      <c r="N225" s="8"/>
    </row>
    <row r="226" spans="2:14" x14ac:dyDescent="0.25">
      <c r="B226" s="12"/>
      <c r="K226" s="8"/>
      <c r="L226" s="22"/>
      <c r="M226" s="8" t="s">
        <v>2</v>
      </c>
      <c r="N226" s="8"/>
    </row>
    <row r="227" spans="2:14" x14ac:dyDescent="0.25">
      <c r="B227" s="12"/>
      <c r="K227" s="8"/>
      <c r="L227" s="22"/>
      <c r="M227" s="8" t="s">
        <v>2</v>
      </c>
      <c r="N227" s="8"/>
    </row>
    <row r="228" spans="2:14" x14ac:dyDescent="0.25">
      <c r="B228" s="12"/>
      <c r="K228" s="8"/>
      <c r="L228" s="22"/>
      <c r="M228" s="8" t="s">
        <v>2</v>
      </c>
      <c r="N228" s="8"/>
    </row>
    <row r="229" spans="2:14" x14ac:dyDescent="0.25">
      <c r="B229" s="12"/>
      <c r="K229" s="8"/>
      <c r="L229" s="22"/>
      <c r="M229" s="8" t="s">
        <v>2</v>
      </c>
      <c r="N229" s="8"/>
    </row>
    <row r="230" spans="2:14" x14ac:dyDescent="0.25">
      <c r="B230" s="12"/>
      <c r="K230" s="8"/>
      <c r="L230" s="22"/>
      <c r="M230" s="8" t="s">
        <v>2</v>
      </c>
      <c r="N230" s="8"/>
    </row>
    <row r="231" spans="2:14" x14ac:dyDescent="0.25">
      <c r="B231" s="12"/>
      <c r="K231" s="8"/>
      <c r="L231" s="22"/>
      <c r="M231" s="8" t="s">
        <v>2</v>
      </c>
      <c r="N231" s="8"/>
    </row>
    <row r="232" spans="2:14" x14ac:dyDescent="0.25">
      <c r="B232" s="12"/>
      <c r="K232" s="8"/>
      <c r="L232" s="22"/>
      <c r="M232" s="8" t="s">
        <v>2</v>
      </c>
      <c r="N232" s="8"/>
    </row>
    <row r="233" spans="2:14" x14ac:dyDescent="0.25">
      <c r="B233" s="12"/>
      <c r="K233" s="8"/>
      <c r="L233" s="22"/>
      <c r="M233" s="8" t="s">
        <v>2</v>
      </c>
      <c r="N233" s="8"/>
    </row>
    <row r="234" spans="2:14" x14ac:dyDescent="0.25">
      <c r="B234" s="12"/>
      <c r="K234" s="8"/>
      <c r="L234" s="22"/>
      <c r="M234" s="8" t="s">
        <v>2</v>
      </c>
      <c r="N234" s="8"/>
    </row>
    <row r="235" spans="2:14" x14ac:dyDescent="0.25">
      <c r="B235" s="12"/>
      <c r="K235" s="8"/>
      <c r="L235" s="22"/>
      <c r="M235" s="8" t="s">
        <v>2</v>
      </c>
      <c r="N235" s="8"/>
    </row>
    <row r="236" spans="2:14" x14ac:dyDescent="0.25">
      <c r="B236" s="12"/>
      <c r="K236" s="8"/>
      <c r="L236" s="22"/>
      <c r="M236" s="8" t="s">
        <v>2</v>
      </c>
      <c r="N236" s="8"/>
    </row>
    <row r="237" spans="2:14" x14ac:dyDescent="0.25">
      <c r="B237" s="12"/>
      <c r="K237" s="8"/>
      <c r="L237" s="22"/>
      <c r="M237" s="8" t="s">
        <v>2</v>
      </c>
      <c r="N237" s="8"/>
    </row>
    <row r="238" spans="2:14" x14ac:dyDescent="0.25">
      <c r="B238" s="12"/>
      <c r="K238" s="8"/>
      <c r="L238" s="22"/>
      <c r="M238" s="8" t="s">
        <v>2</v>
      </c>
      <c r="N238" s="8"/>
    </row>
    <row r="239" spans="2:14" x14ac:dyDescent="0.25">
      <c r="B239" s="12"/>
      <c r="K239" s="8"/>
      <c r="L239" s="22"/>
      <c r="M239" s="8" t="s">
        <v>2</v>
      </c>
      <c r="N239" s="8"/>
    </row>
    <row r="240" spans="2:14" x14ac:dyDescent="0.25">
      <c r="B240" s="12"/>
      <c r="K240" s="8"/>
      <c r="L240" s="22"/>
      <c r="M240" s="8" t="s">
        <v>2</v>
      </c>
      <c r="N240" s="8"/>
    </row>
    <row r="241" spans="2:14" x14ac:dyDescent="0.25">
      <c r="B241" s="12"/>
      <c r="K241" s="8"/>
      <c r="L241" s="22"/>
      <c r="M241" s="8" t="s">
        <v>2</v>
      </c>
      <c r="N241" s="8"/>
    </row>
    <row r="242" spans="2:14" x14ac:dyDescent="0.25">
      <c r="B242" s="12"/>
      <c r="K242" s="8"/>
      <c r="L242" s="22"/>
      <c r="M242" s="8" t="s">
        <v>2</v>
      </c>
      <c r="N242" s="8"/>
    </row>
    <row r="243" spans="2:14" x14ac:dyDescent="0.25">
      <c r="B243" s="12"/>
      <c r="K243" s="8"/>
      <c r="L243" s="22"/>
      <c r="M243" s="8" t="s">
        <v>2</v>
      </c>
      <c r="N243" s="8"/>
    </row>
    <row r="244" spans="2:14" x14ac:dyDescent="0.25">
      <c r="B244" s="12"/>
      <c r="K244" s="8"/>
      <c r="L244" s="22"/>
      <c r="M244" s="8" t="s">
        <v>2</v>
      </c>
      <c r="N244" s="8"/>
    </row>
    <row r="245" spans="2:14" x14ac:dyDescent="0.25">
      <c r="B245" s="12"/>
      <c r="K245" s="8"/>
      <c r="L245" s="22"/>
      <c r="M245" s="8" t="s">
        <v>2</v>
      </c>
      <c r="N245" s="8"/>
    </row>
    <row r="246" spans="2:14" x14ac:dyDescent="0.25">
      <c r="B246" s="12"/>
      <c r="K246" s="8"/>
      <c r="L246" s="22"/>
      <c r="M246" s="8" t="s">
        <v>2</v>
      </c>
      <c r="N246" s="8"/>
    </row>
    <row r="247" spans="2:14" x14ac:dyDescent="0.25">
      <c r="B247" s="12"/>
      <c r="K247" s="8"/>
      <c r="L247" s="22"/>
      <c r="M247" s="8" t="s">
        <v>2</v>
      </c>
      <c r="N247" s="8"/>
    </row>
    <row r="248" spans="2:14" x14ac:dyDescent="0.25">
      <c r="B248" s="12"/>
      <c r="K248" s="8"/>
      <c r="L248" s="22"/>
      <c r="M248" s="8" t="s">
        <v>2</v>
      </c>
      <c r="N248" s="8"/>
    </row>
    <row r="249" spans="2:14" x14ac:dyDescent="0.25">
      <c r="B249" s="12"/>
      <c r="K249" s="8"/>
      <c r="L249" s="22"/>
      <c r="M249" s="8" t="s">
        <v>2</v>
      </c>
      <c r="N249" s="8"/>
    </row>
    <row r="250" spans="2:14" x14ac:dyDescent="0.25">
      <c r="B250" s="12"/>
      <c r="K250" s="8"/>
      <c r="L250" s="22"/>
      <c r="M250" s="8" t="s">
        <v>2</v>
      </c>
      <c r="N250" s="8"/>
    </row>
    <row r="251" spans="2:14" x14ac:dyDescent="0.25">
      <c r="B251" s="12"/>
      <c r="K251" s="8"/>
      <c r="L251" s="22"/>
      <c r="M251" s="8" t="s">
        <v>2</v>
      </c>
      <c r="N251" s="8"/>
    </row>
    <row r="252" spans="2:14" x14ac:dyDescent="0.25">
      <c r="B252" s="12"/>
      <c r="K252" s="8"/>
      <c r="L252" s="22"/>
      <c r="M252" s="8" t="s">
        <v>2</v>
      </c>
      <c r="N252" s="8"/>
    </row>
    <row r="253" spans="2:14" x14ac:dyDescent="0.25">
      <c r="B253" s="12"/>
      <c r="K253" s="8"/>
      <c r="L253" s="22"/>
      <c r="M253" s="8" t="s">
        <v>2</v>
      </c>
      <c r="N253" s="8"/>
    </row>
    <row r="254" spans="2:14" x14ac:dyDescent="0.25">
      <c r="B254" s="12"/>
      <c r="K254" s="8"/>
      <c r="L254" s="22"/>
      <c r="M254" s="8" t="s">
        <v>2</v>
      </c>
      <c r="N254" s="8"/>
    </row>
    <row r="255" spans="2:14" x14ac:dyDescent="0.25">
      <c r="B255" s="12"/>
      <c r="K255" s="8"/>
      <c r="L255" s="22"/>
      <c r="M255" s="8" t="s">
        <v>2</v>
      </c>
      <c r="N255" s="8"/>
    </row>
    <row r="256" spans="2:14" x14ac:dyDescent="0.25">
      <c r="B256" s="12"/>
      <c r="K256" s="8"/>
      <c r="L256" s="22"/>
      <c r="M256" s="8" t="s">
        <v>2</v>
      </c>
      <c r="N256" s="8"/>
    </row>
    <row r="257" spans="2:14" x14ac:dyDescent="0.25">
      <c r="B257" s="12"/>
      <c r="K257" s="8"/>
      <c r="L257" s="22"/>
      <c r="M257" s="8" t="s">
        <v>2</v>
      </c>
      <c r="N257" s="8"/>
    </row>
    <row r="258" spans="2:14" x14ac:dyDescent="0.25">
      <c r="B258" s="12"/>
      <c r="K258" s="8"/>
      <c r="L258" s="22"/>
      <c r="M258" s="8" t="s">
        <v>2</v>
      </c>
      <c r="N258" s="8"/>
    </row>
    <row r="259" spans="2:14" x14ac:dyDescent="0.25">
      <c r="B259" s="12"/>
      <c r="K259" s="8"/>
      <c r="L259" s="22"/>
      <c r="M259" s="8" t="s">
        <v>2</v>
      </c>
      <c r="N259" s="8"/>
    </row>
    <row r="260" spans="2:14" x14ac:dyDescent="0.25">
      <c r="B260" s="12"/>
      <c r="K260" s="8"/>
      <c r="L260" s="22"/>
      <c r="M260" s="8" t="s">
        <v>2</v>
      </c>
      <c r="N260" s="8"/>
    </row>
    <row r="261" spans="2:14" x14ac:dyDescent="0.25">
      <c r="B261" s="12"/>
      <c r="K261" s="8"/>
      <c r="L261" s="22"/>
      <c r="M261" s="8" t="s">
        <v>2</v>
      </c>
      <c r="N261" s="8"/>
    </row>
    <row r="262" spans="2:14" x14ac:dyDescent="0.25">
      <c r="B262" s="12"/>
      <c r="K262" s="8"/>
      <c r="L262" s="22"/>
      <c r="M262" s="8" t="s">
        <v>2</v>
      </c>
      <c r="N262" s="8"/>
    </row>
    <row r="263" spans="2:14" x14ac:dyDescent="0.25">
      <c r="B263" s="12"/>
      <c r="K263" s="8"/>
      <c r="L263" s="22"/>
      <c r="M263" s="8" t="s">
        <v>2</v>
      </c>
      <c r="N263" s="8"/>
    </row>
    <row r="264" spans="2:14" x14ac:dyDescent="0.25">
      <c r="B264" s="12"/>
      <c r="K264" s="8"/>
      <c r="L264" s="22"/>
      <c r="M264" s="8" t="s">
        <v>2</v>
      </c>
      <c r="N264" s="8"/>
    </row>
    <row r="265" spans="2:14" x14ac:dyDescent="0.25">
      <c r="B265" s="12"/>
      <c r="K265" s="8"/>
      <c r="L265" s="22"/>
      <c r="M265" s="8" t="s">
        <v>2</v>
      </c>
      <c r="N265" s="8"/>
    </row>
    <row r="266" spans="2:14" x14ac:dyDescent="0.25">
      <c r="B266" s="12"/>
      <c r="K266" s="8"/>
      <c r="L266" s="22"/>
      <c r="M266" s="8" t="s">
        <v>2</v>
      </c>
      <c r="N266" s="8"/>
    </row>
    <row r="267" spans="2:14" x14ac:dyDescent="0.25">
      <c r="B267" s="12"/>
      <c r="K267" s="8"/>
      <c r="L267" s="22"/>
      <c r="M267" s="8" t="s">
        <v>2</v>
      </c>
      <c r="N267" s="8"/>
    </row>
    <row r="268" spans="2:14" x14ac:dyDescent="0.25">
      <c r="B268" s="12"/>
      <c r="K268" s="8"/>
      <c r="L268" s="22"/>
      <c r="M268" s="8" t="s">
        <v>2</v>
      </c>
      <c r="N268" s="8"/>
    </row>
    <row r="269" spans="2:14" x14ac:dyDescent="0.25">
      <c r="B269" s="12"/>
      <c r="K269" s="8"/>
      <c r="L269" s="22"/>
      <c r="M269" s="8" t="s">
        <v>2</v>
      </c>
      <c r="N269" s="8"/>
    </row>
    <row r="270" spans="2:14" x14ac:dyDescent="0.25">
      <c r="B270" s="12"/>
      <c r="K270" s="8"/>
      <c r="L270" s="22"/>
      <c r="M270" s="8" t="s">
        <v>2</v>
      </c>
      <c r="N270" s="8"/>
    </row>
    <row r="271" spans="2:14" x14ac:dyDescent="0.25">
      <c r="B271" s="12"/>
      <c r="K271" s="8"/>
      <c r="L271" s="22"/>
      <c r="M271" s="8" t="s">
        <v>2</v>
      </c>
      <c r="N271" s="8"/>
    </row>
    <row r="272" spans="2:14" x14ac:dyDescent="0.25">
      <c r="B272" s="12"/>
      <c r="K272" s="8"/>
      <c r="L272" s="22"/>
      <c r="M272" s="8" t="s">
        <v>2</v>
      </c>
      <c r="N272" s="8"/>
    </row>
    <row r="273" spans="2:14" x14ac:dyDescent="0.25">
      <c r="B273" s="12"/>
      <c r="K273" s="8"/>
      <c r="L273" s="22"/>
      <c r="M273" s="8" t="s">
        <v>2</v>
      </c>
      <c r="N273" s="8"/>
    </row>
    <row r="274" spans="2:14" x14ac:dyDescent="0.25">
      <c r="B274" s="12"/>
      <c r="K274" s="8"/>
      <c r="L274" s="22"/>
      <c r="M274" s="8" t="s">
        <v>2</v>
      </c>
      <c r="N274" s="8"/>
    </row>
    <row r="275" spans="2:14" x14ac:dyDescent="0.25">
      <c r="B275" s="12"/>
      <c r="K275" s="8"/>
      <c r="L275" s="22"/>
      <c r="M275" s="8" t="s">
        <v>2</v>
      </c>
      <c r="N275" s="8"/>
    </row>
    <row r="276" spans="2:14" x14ac:dyDescent="0.25">
      <c r="B276" s="12"/>
    </row>
    <row r="277" spans="2:14" x14ac:dyDescent="0.25">
      <c r="B277" s="12"/>
    </row>
    <row r="278" spans="2:14" x14ac:dyDescent="0.25">
      <c r="B278" s="12"/>
    </row>
    <row r="279" spans="2:14" x14ac:dyDescent="0.25">
      <c r="B279" s="12"/>
    </row>
    <row r="280" spans="2:14" x14ac:dyDescent="0.25">
      <c r="B280" s="12"/>
    </row>
    <row r="281" spans="2:14" x14ac:dyDescent="0.25">
      <c r="B281" s="12"/>
    </row>
    <row r="282" spans="2:14" x14ac:dyDescent="0.25">
      <c r="B282" s="12"/>
    </row>
    <row r="283" spans="2:14" x14ac:dyDescent="0.25">
      <c r="B283" s="12"/>
    </row>
    <row r="284" spans="2:14" x14ac:dyDescent="0.25">
      <c r="B284" s="12"/>
    </row>
    <row r="285" spans="2:14" x14ac:dyDescent="0.25">
      <c r="B285" s="12"/>
    </row>
    <row r="286" spans="2:14" x14ac:dyDescent="0.25">
      <c r="B286" s="12"/>
    </row>
    <row r="287" spans="2:14" x14ac:dyDescent="0.25">
      <c r="B287" s="12"/>
    </row>
    <row r="288" spans="2:14" x14ac:dyDescent="0.25">
      <c r="B288" s="12"/>
    </row>
    <row r="289" spans="2:2" x14ac:dyDescent="0.25">
      <c r="B289" s="12"/>
    </row>
    <row r="290" spans="2:2" x14ac:dyDescent="0.25">
      <c r="B290" s="12"/>
    </row>
    <row r="291" spans="2:2" x14ac:dyDescent="0.25">
      <c r="B291" s="12"/>
    </row>
    <row r="292" spans="2:2" x14ac:dyDescent="0.25">
      <c r="B292" s="12"/>
    </row>
    <row r="293" spans="2:2" x14ac:dyDescent="0.25">
      <c r="B293" s="12"/>
    </row>
    <row r="294" spans="2:2" x14ac:dyDescent="0.25">
      <c r="B294" s="12"/>
    </row>
    <row r="295" spans="2:2" x14ac:dyDescent="0.25">
      <c r="B295" s="12"/>
    </row>
    <row r="296" spans="2:2" x14ac:dyDescent="0.25">
      <c r="B296" s="12"/>
    </row>
    <row r="297" spans="2:2" x14ac:dyDescent="0.25">
      <c r="B297" s="12"/>
    </row>
    <row r="298" spans="2:2" x14ac:dyDescent="0.25">
      <c r="B298" s="12"/>
    </row>
    <row r="299" spans="2:2" x14ac:dyDescent="0.25">
      <c r="B299" s="12"/>
    </row>
    <row r="300" spans="2:2" x14ac:dyDescent="0.25">
      <c r="B300" s="12"/>
    </row>
    <row r="301" spans="2:2" x14ac:dyDescent="0.25">
      <c r="B301" s="12"/>
    </row>
    <row r="302" spans="2:2" x14ac:dyDescent="0.25">
      <c r="B302" s="12"/>
    </row>
    <row r="303" spans="2:2" x14ac:dyDescent="0.25">
      <c r="B303" s="12"/>
    </row>
    <row r="304" spans="2:2" x14ac:dyDescent="0.25">
      <c r="B304" s="12"/>
    </row>
    <row r="305" spans="2:2" x14ac:dyDescent="0.25">
      <c r="B305" s="12"/>
    </row>
    <row r="306" spans="2:2" x14ac:dyDescent="0.25">
      <c r="B306" s="12"/>
    </row>
    <row r="307" spans="2:2" x14ac:dyDescent="0.25">
      <c r="B307" s="12"/>
    </row>
    <row r="308" spans="2:2" x14ac:dyDescent="0.25">
      <c r="B308" s="12"/>
    </row>
    <row r="309" spans="2:2" x14ac:dyDescent="0.25">
      <c r="B309" s="12"/>
    </row>
    <row r="310" spans="2:2" x14ac:dyDescent="0.25">
      <c r="B310" s="12"/>
    </row>
    <row r="311" spans="2:2" x14ac:dyDescent="0.25">
      <c r="B311" s="12"/>
    </row>
    <row r="312" spans="2:2" x14ac:dyDescent="0.25">
      <c r="B312" s="12"/>
    </row>
    <row r="313" spans="2:2" x14ac:dyDescent="0.25">
      <c r="B313" s="12"/>
    </row>
    <row r="314" spans="2:2" x14ac:dyDescent="0.25">
      <c r="B314" s="12"/>
    </row>
    <row r="315" spans="2:2" x14ac:dyDescent="0.25">
      <c r="B315" s="12"/>
    </row>
    <row r="316" spans="2:2" x14ac:dyDescent="0.25">
      <c r="B316" s="12"/>
    </row>
    <row r="317" spans="2:2" x14ac:dyDescent="0.25">
      <c r="B317" s="12"/>
    </row>
    <row r="318" spans="2:2" x14ac:dyDescent="0.25">
      <c r="B318" s="12"/>
    </row>
    <row r="319" spans="2:2" x14ac:dyDescent="0.25">
      <c r="B319" s="12"/>
    </row>
    <row r="320" spans="2:2" x14ac:dyDescent="0.25">
      <c r="B320" s="12"/>
    </row>
    <row r="321" spans="2:2" x14ac:dyDescent="0.25">
      <c r="B321" s="12"/>
    </row>
    <row r="322" spans="2:2" x14ac:dyDescent="0.25">
      <c r="B322" s="12"/>
    </row>
    <row r="323" spans="2:2" x14ac:dyDescent="0.25">
      <c r="B323" s="12"/>
    </row>
    <row r="324" spans="2:2" x14ac:dyDescent="0.25">
      <c r="B324" s="12"/>
    </row>
    <row r="325" spans="2:2" x14ac:dyDescent="0.25">
      <c r="B325" s="12"/>
    </row>
    <row r="326" spans="2:2" x14ac:dyDescent="0.25">
      <c r="B326" s="12"/>
    </row>
    <row r="327" spans="2:2" x14ac:dyDescent="0.25">
      <c r="B327" s="12"/>
    </row>
    <row r="328" spans="2:2" x14ac:dyDescent="0.25">
      <c r="B328" s="12"/>
    </row>
    <row r="329" spans="2:2" x14ac:dyDescent="0.25">
      <c r="B329" s="12"/>
    </row>
    <row r="330" spans="2:2" x14ac:dyDescent="0.25">
      <c r="B330" s="12"/>
    </row>
    <row r="331" spans="2:2" x14ac:dyDescent="0.25">
      <c r="B331" s="12"/>
    </row>
    <row r="332" spans="2:2" x14ac:dyDescent="0.25">
      <c r="B332" s="12"/>
    </row>
    <row r="333" spans="2:2" x14ac:dyDescent="0.25">
      <c r="B333" s="12"/>
    </row>
    <row r="334" spans="2:2" x14ac:dyDescent="0.25">
      <c r="B334" s="12"/>
    </row>
    <row r="335" spans="2:2" x14ac:dyDescent="0.25">
      <c r="B335" s="12"/>
    </row>
    <row r="336" spans="2:2" x14ac:dyDescent="0.25">
      <c r="B336" s="12"/>
    </row>
    <row r="337" spans="2:2" x14ac:dyDescent="0.25">
      <c r="B337" s="12"/>
    </row>
    <row r="338" spans="2:2" x14ac:dyDescent="0.25">
      <c r="B338" s="12"/>
    </row>
    <row r="339" spans="2:2" x14ac:dyDescent="0.25">
      <c r="B339" s="12"/>
    </row>
    <row r="340" spans="2:2" x14ac:dyDescent="0.25">
      <c r="B340" s="12"/>
    </row>
    <row r="341" spans="2:2" x14ac:dyDescent="0.25">
      <c r="B341" s="12"/>
    </row>
    <row r="342" spans="2:2" x14ac:dyDescent="0.25">
      <c r="B342" s="12"/>
    </row>
    <row r="343" spans="2:2" x14ac:dyDescent="0.25">
      <c r="B343" s="12"/>
    </row>
    <row r="344" spans="2:2" x14ac:dyDescent="0.25">
      <c r="B344" s="12"/>
    </row>
    <row r="345" spans="2:2" x14ac:dyDescent="0.25">
      <c r="B345" s="12"/>
    </row>
    <row r="346" spans="2:2" x14ac:dyDescent="0.25">
      <c r="B346" s="12"/>
    </row>
    <row r="347" spans="2:2" x14ac:dyDescent="0.25">
      <c r="B347" s="12"/>
    </row>
    <row r="348" spans="2:2" x14ac:dyDescent="0.25">
      <c r="B348" s="12"/>
    </row>
    <row r="349" spans="2:2" x14ac:dyDescent="0.25">
      <c r="B349" s="12"/>
    </row>
    <row r="350" spans="2:2" x14ac:dyDescent="0.25">
      <c r="B350" s="12"/>
    </row>
    <row r="351" spans="2:2" x14ac:dyDescent="0.25">
      <c r="B351" s="12"/>
    </row>
    <row r="352" spans="2:2" x14ac:dyDescent="0.25">
      <c r="B352" s="12"/>
    </row>
    <row r="353" spans="2:2" x14ac:dyDescent="0.25">
      <c r="B353" s="12"/>
    </row>
    <row r="354" spans="2:2" x14ac:dyDescent="0.25">
      <c r="B354" s="12"/>
    </row>
    <row r="355" spans="2:2" x14ac:dyDescent="0.25">
      <c r="B355" s="12"/>
    </row>
    <row r="356" spans="2:2" x14ac:dyDescent="0.25">
      <c r="B356" s="12"/>
    </row>
    <row r="357" spans="2:2" x14ac:dyDescent="0.25">
      <c r="B357" s="12"/>
    </row>
    <row r="358" spans="2:2" x14ac:dyDescent="0.25">
      <c r="B358" s="12"/>
    </row>
    <row r="359" spans="2:2" x14ac:dyDescent="0.25">
      <c r="B359" s="12"/>
    </row>
    <row r="360" spans="2:2" x14ac:dyDescent="0.25">
      <c r="B360" s="12"/>
    </row>
    <row r="361" spans="2:2" x14ac:dyDescent="0.25">
      <c r="B361" s="12"/>
    </row>
    <row r="362" spans="2:2" x14ac:dyDescent="0.25">
      <c r="B362" s="12"/>
    </row>
    <row r="363" spans="2:2" x14ac:dyDescent="0.25">
      <c r="B363" s="12"/>
    </row>
    <row r="364" spans="2:2" x14ac:dyDescent="0.25">
      <c r="B364" s="12"/>
    </row>
    <row r="365" spans="2:2" x14ac:dyDescent="0.25">
      <c r="B365" s="12"/>
    </row>
    <row r="366" spans="2:2" x14ac:dyDescent="0.25">
      <c r="B366" s="12"/>
    </row>
    <row r="367" spans="2:2" x14ac:dyDescent="0.25">
      <c r="B367" s="12"/>
    </row>
    <row r="368" spans="2:2" x14ac:dyDescent="0.25">
      <c r="B368" s="12"/>
    </row>
    <row r="369" spans="2:2" x14ac:dyDescent="0.25">
      <c r="B369" s="12"/>
    </row>
    <row r="370" spans="2:2" x14ac:dyDescent="0.25">
      <c r="B370" s="12"/>
    </row>
    <row r="371" spans="2:2" x14ac:dyDescent="0.25">
      <c r="B371" s="12"/>
    </row>
    <row r="372" spans="2:2" x14ac:dyDescent="0.25">
      <c r="B372" s="12"/>
    </row>
    <row r="373" spans="2:2" x14ac:dyDescent="0.25">
      <c r="B373" s="12"/>
    </row>
    <row r="374" spans="2:2" x14ac:dyDescent="0.25">
      <c r="B374" s="12"/>
    </row>
    <row r="375" spans="2:2" x14ac:dyDescent="0.25">
      <c r="B375" s="12"/>
    </row>
    <row r="376" spans="2:2" x14ac:dyDescent="0.25">
      <c r="B376" s="12"/>
    </row>
    <row r="377" spans="2:2" x14ac:dyDescent="0.25">
      <c r="B377" s="12"/>
    </row>
    <row r="378" spans="2:2" x14ac:dyDescent="0.25">
      <c r="B378" s="12"/>
    </row>
    <row r="379" spans="2:2" x14ac:dyDescent="0.25">
      <c r="B379" s="12"/>
    </row>
    <row r="380" spans="2:2" x14ac:dyDescent="0.25">
      <c r="B380" s="12"/>
    </row>
    <row r="381" spans="2:2" x14ac:dyDescent="0.25">
      <c r="B381" s="12"/>
    </row>
    <row r="382" spans="2:2" x14ac:dyDescent="0.25">
      <c r="B382" s="12"/>
    </row>
    <row r="383" spans="2:2" x14ac:dyDescent="0.25">
      <c r="B383" s="12"/>
    </row>
    <row r="384" spans="2:2" x14ac:dyDescent="0.25">
      <c r="B384" s="12"/>
    </row>
    <row r="385" spans="2:2" x14ac:dyDescent="0.25">
      <c r="B385" s="12"/>
    </row>
    <row r="386" spans="2:2" x14ac:dyDescent="0.25">
      <c r="B386" s="12"/>
    </row>
    <row r="387" spans="2:2" x14ac:dyDescent="0.25">
      <c r="B387" s="12"/>
    </row>
    <row r="388" spans="2:2" x14ac:dyDescent="0.25">
      <c r="B388" s="12"/>
    </row>
    <row r="389" spans="2:2" x14ac:dyDescent="0.25">
      <c r="B389" s="12"/>
    </row>
    <row r="390" spans="2:2" x14ac:dyDescent="0.25">
      <c r="B390" s="12"/>
    </row>
    <row r="391" spans="2:2" x14ac:dyDescent="0.25">
      <c r="B391" s="12"/>
    </row>
    <row r="392" spans="2:2" x14ac:dyDescent="0.25">
      <c r="B392" s="12"/>
    </row>
    <row r="393" spans="2:2" x14ac:dyDescent="0.25">
      <c r="B393" s="12"/>
    </row>
    <row r="394" spans="2:2" x14ac:dyDescent="0.25">
      <c r="B394" s="12"/>
    </row>
    <row r="395" spans="2:2" x14ac:dyDescent="0.25">
      <c r="B395" s="12"/>
    </row>
    <row r="396" spans="2:2" x14ac:dyDescent="0.25">
      <c r="B396" s="12"/>
    </row>
    <row r="397" spans="2:2" x14ac:dyDescent="0.25">
      <c r="B397" s="12"/>
    </row>
    <row r="398" spans="2:2" x14ac:dyDescent="0.25">
      <c r="B398" s="12"/>
    </row>
    <row r="399" spans="2:2" x14ac:dyDescent="0.25">
      <c r="B399" s="12"/>
    </row>
    <row r="400" spans="2:2" x14ac:dyDescent="0.25">
      <c r="B400" s="12"/>
    </row>
    <row r="401" spans="2:2" x14ac:dyDescent="0.25">
      <c r="B401" s="12"/>
    </row>
    <row r="402" spans="2:2" x14ac:dyDescent="0.25">
      <c r="B402" s="12"/>
    </row>
    <row r="403" spans="2:2" x14ac:dyDescent="0.25">
      <c r="B403" s="12"/>
    </row>
  </sheetData>
  <mergeCells count="13">
    <mergeCell ref="B3:O3"/>
    <mergeCell ref="B4:O4"/>
    <mergeCell ref="A1:N1"/>
    <mergeCell ref="A2:N2"/>
    <mergeCell ref="A78:A79"/>
    <mergeCell ref="I7:I8"/>
    <mergeCell ref="N7:N8"/>
    <mergeCell ref="J7:M7"/>
    <mergeCell ref="B7:B8"/>
    <mergeCell ref="C7:H7"/>
    <mergeCell ref="A7:A9"/>
    <mergeCell ref="C8:C9"/>
    <mergeCell ref="D8:D9"/>
  </mergeCells>
  <pageMargins left="0.19685039370078741" right="0" top="1.1417322834645669" bottom="0.74803149606299213" header="0.31496062992125984" footer="0.31496062992125984"/>
  <pageSetup scale="8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funcionamiento</vt:lpstr>
      <vt:lpstr>Inversiones</vt:lpstr>
      <vt:lpstr>Inversiones!Área_de_impresión</vt:lpstr>
      <vt:lpstr>funcionamiento!Títulos_a_imprimir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2021-11-12T14:09:18Z</cp:lastPrinted>
  <dcterms:created xsi:type="dcterms:W3CDTF">2010-01-07T20:52:23Z</dcterms:created>
  <dcterms:modified xsi:type="dcterms:W3CDTF">2021-11-12T18:02:07Z</dcterms:modified>
</cp:coreProperties>
</file>