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\Estadísticas para publicar hasta 2021\10. RECURSO HUMANO\"/>
    </mc:Choice>
  </mc:AlternateContent>
  <xr:revisionPtr revIDLastSave="0" documentId="13_ncr:1_{80005BB7-3049-48F9-A5A3-D52FDDF6D8C2}" xr6:coauthVersionLast="47" xr6:coauthVersionMax="47" xr10:uidLastSave="{00000000-0000-0000-0000-000000000000}"/>
  <bookViews>
    <workbookView xWindow="-120" yWindow="-120" windowWidth="29040" windowHeight="15840" tabRatio="469" xr2:uid="{00000000-000D-0000-FFFF-FFFF00000000}"/>
  </bookViews>
  <sheets>
    <sheet name="81_21" sheetId="1" r:id="rId1"/>
  </sheets>
  <definedNames>
    <definedName name="A_impresión_IM_1">"$#REF!.$B$2:$AE$27"</definedName>
    <definedName name="A_impresión_IM_2">'81_21'!$A$1:$Z$44</definedName>
    <definedName name="_xlnm.Print_Area" localSheetId="0">'81_21'!$A$1:$AP$45</definedName>
    <definedName name="Excel_BuiltIn_Print_Area_1">"$#REF!.$B$1:$AF$26"</definedName>
    <definedName name="Excel_BuiltIn_Print_Area_2">'81_21'!$A$1:$Z$44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E8" i="1" s="1"/>
  <c r="E6" i="1" s="1"/>
  <c r="F10" i="1"/>
  <c r="F8" i="1" s="1"/>
  <c r="F6" i="1" s="1"/>
  <c r="G10" i="1"/>
  <c r="H10" i="1"/>
  <c r="I10" i="1"/>
  <c r="I8" i="1" s="1"/>
  <c r="I6" i="1" s="1"/>
  <c r="J10" i="1"/>
  <c r="K10" i="1"/>
  <c r="L10" i="1"/>
  <c r="M10" i="1"/>
  <c r="M8" i="1" s="1"/>
  <c r="M6" i="1" s="1"/>
  <c r="N10" i="1"/>
  <c r="N8" i="1" s="1"/>
  <c r="N6" i="1" s="1"/>
  <c r="O10" i="1"/>
  <c r="P10" i="1"/>
  <c r="Q10" i="1"/>
  <c r="Q8" i="1" s="1"/>
  <c r="Q6" i="1" s="1"/>
  <c r="R10" i="1"/>
  <c r="S10" i="1"/>
  <c r="T10" i="1"/>
  <c r="U10" i="1"/>
  <c r="U8" i="1" s="1"/>
  <c r="U6" i="1" s="1"/>
  <c r="V10" i="1"/>
  <c r="V8" i="1" s="1"/>
  <c r="V6" i="1" s="1"/>
  <c r="W10" i="1"/>
  <c r="X10" i="1"/>
  <c r="Y10" i="1"/>
  <c r="Y8" i="1" s="1"/>
  <c r="Y6" i="1" s="1"/>
  <c r="Z10" i="1"/>
  <c r="AA10" i="1"/>
  <c r="AF10" i="1"/>
  <c r="AI10" i="1"/>
  <c r="AL10" i="1"/>
  <c r="AM10" i="1"/>
  <c r="AN10" i="1"/>
  <c r="AO10" i="1"/>
  <c r="AO8" i="1" s="1"/>
  <c r="AO6" i="1" s="1"/>
  <c r="AA12" i="1"/>
  <c r="AB12" i="1"/>
  <c r="AB10" i="1" s="1"/>
  <c r="AC12" i="1"/>
  <c r="AC10" i="1" s="1"/>
  <c r="AD12" i="1"/>
  <c r="AD10" i="1" s="1"/>
  <c r="AE12" i="1"/>
  <c r="AE10" i="1" s="1"/>
  <c r="AE8" i="1" s="1"/>
  <c r="AE6" i="1" s="1"/>
  <c r="AG12" i="1"/>
  <c r="AG10" i="1" s="1"/>
  <c r="AH12" i="1"/>
  <c r="AH10" i="1" s="1"/>
  <c r="AI12" i="1"/>
  <c r="AJ12" i="1"/>
  <c r="AJ10" i="1" s="1"/>
  <c r="AK12" i="1"/>
  <c r="AK10" i="1" s="1"/>
  <c r="AL12" i="1"/>
  <c r="AM12" i="1"/>
  <c r="AP12" i="1"/>
  <c r="AP10" i="1" s="1"/>
  <c r="AB13" i="1"/>
  <c r="AG13" i="1"/>
  <c r="AP13" i="1"/>
  <c r="AB14" i="1"/>
  <c r="E16" i="1"/>
  <c r="I16" i="1"/>
  <c r="M16" i="1"/>
  <c r="Q16" i="1"/>
  <c r="U16" i="1"/>
  <c r="Y16" i="1"/>
  <c r="AO16" i="1"/>
  <c r="B18" i="1"/>
  <c r="B16" i="1" s="1"/>
  <c r="B8" i="1" s="1"/>
  <c r="B6" i="1" s="1"/>
  <c r="AA18" i="1"/>
  <c r="AB18" i="1"/>
  <c r="AC18" i="1"/>
  <c r="AD18" i="1"/>
  <c r="AE18" i="1"/>
  <c r="AG18" i="1"/>
  <c r="AH18" i="1"/>
  <c r="AH16" i="1" s="1"/>
  <c r="AI18" i="1"/>
  <c r="AI16" i="1" s="1"/>
  <c r="AJ18" i="1"/>
  <c r="AK18" i="1"/>
  <c r="AL18" i="1"/>
  <c r="AM18" i="1"/>
  <c r="AM16" i="1" s="1"/>
  <c r="AA24" i="1"/>
  <c r="AB24" i="1"/>
  <c r="AD24" i="1"/>
  <c r="AE24" i="1"/>
  <c r="AG24" i="1"/>
  <c r="AH24" i="1"/>
  <c r="AI24" i="1"/>
  <c r="AJ24" i="1"/>
  <c r="AK24" i="1"/>
  <c r="AL24" i="1"/>
  <c r="AM24" i="1"/>
  <c r="AP24" i="1"/>
  <c r="AP16" i="1" s="1"/>
  <c r="B26" i="1"/>
  <c r="C26" i="1"/>
  <c r="C16" i="1" s="1"/>
  <c r="D26" i="1"/>
  <c r="E26" i="1"/>
  <c r="F26" i="1"/>
  <c r="G26" i="1"/>
  <c r="G16" i="1" s="1"/>
  <c r="H26" i="1"/>
  <c r="H16" i="1" s="1"/>
  <c r="H8" i="1" s="1"/>
  <c r="H6" i="1" s="1"/>
  <c r="I26" i="1"/>
  <c r="J26" i="1"/>
  <c r="J16" i="1" s="1"/>
  <c r="J8" i="1" s="1"/>
  <c r="J6" i="1" s="1"/>
  <c r="K26" i="1"/>
  <c r="K16" i="1" s="1"/>
  <c r="L26" i="1"/>
  <c r="L16" i="1" s="1"/>
  <c r="L8" i="1" s="1"/>
  <c r="L6" i="1" s="1"/>
  <c r="M26" i="1"/>
  <c r="N26" i="1"/>
  <c r="O26" i="1"/>
  <c r="O16" i="1" s="1"/>
  <c r="P26" i="1"/>
  <c r="P16" i="1" s="1"/>
  <c r="P8" i="1" s="1"/>
  <c r="P6" i="1" s="1"/>
  <c r="Q26" i="1"/>
  <c r="R26" i="1"/>
  <c r="R16" i="1" s="1"/>
  <c r="R8" i="1" s="1"/>
  <c r="R6" i="1" s="1"/>
  <c r="S26" i="1"/>
  <c r="S16" i="1" s="1"/>
  <c r="T26" i="1"/>
  <c r="T16" i="1" s="1"/>
  <c r="T8" i="1" s="1"/>
  <c r="T6" i="1" s="1"/>
  <c r="U26" i="1"/>
  <c r="V26" i="1"/>
  <c r="W26" i="1"/>
  <c r="W16" i="1" s="1"/>
  <c r="X26" i="1"/>
  <c r="X16" i="1" s="1"/>
  <c r="X8" i="1" s="1"/>
  <c r="X6" i="1" s="1"/>
  <c r="Y26" i="1"/>
  <c r="Z26" i="1"/>
  <c r="Z16" i="1" s="1"/>
  <c r="Z8" i="1" s="1"/>
  <c r="Z6" i="1" s="1"/>
  <c r="AF26" i="1"/>
  <c r="AF16" i="1" s="1"/>
  <c r="AF8" i="1" s="1"/>
  <c r="AF6" i="1" s="1"/>
  <c r="AM26" i="1"/>
  <c r="AN26" i="1"/>
  <c r="AN16" i="1" s="1"/>
  <c r="AN8" i="1" s="1"/>
  <c r="AN6" i="1" s="1"/>
  <c r="AO26" i="1"/>
  <c r="AA27" i="1"/>
  <c r="AA26" i="1" s="1"/>
  <c r="AB27" i="1"/>
  <c r="AB26" i="1" s="1"/>
  <c r="AC27" i="1"/>
  <c r="AC26" i="1" s="1"/>
  <c r="AC16" i="1" s="1"/>
  <c r="AD27" i="1"/>
  <c r="AD26" i="1" s="1"/>
  <c r="AE27" i="1"/>
  <c r="AE26" i="1" s="1"/>
  <c r="AE16" i="1" s="1"/>
  <c r="AG27" i="1"/>
  <c r="AG26" i="1" s="1"/>
  <c r="AH27" i="1"/>
  <c r="AI27" i="1"/>
  <c r="AJ27" i="1"/>
  <c r="AJ26" i="1" s="1"/>
  <c r="AK27" i="1"/>
  <c r="AK26" i="1" s="1"/>
  <c r="AL27" i="1"/>
  <c r="AL26" i="1" s="1"/>
  <c r="AM27" i="1"/>
  <c r="AP27" i="1"/>
  <c r="AP26" i="1" s="1"/>
  <c r="AA28" i="1"/>
  <c r="AB28" i="1"/>
  <c r="AC28" i="1"/>
  <c r="AD28" i="1"/>
  <c r="AE28" i="1"/>
  <c r="AG28" i="1"/>
  <c r="AH28" i="1"/>
  <c r="AI28" i="1"/>
  <c r="AI26" i="1" s="1"/>
  <c r="AJ28" i="1"/>
  <c r="AK28" i="1"/>
  <c r="AL28" i="1"/>
  <c r="AM28" i="1"/>
  <c r="AP28" i="1"/>
  <c r="AA29" i="1"/>
  <c r="AB29" i="1"/>
  <c r="AC29" i="1"/>
  <c r="AD29" i="1"/>
  <c r="AE29" i="1"/>
  <c r="AG29" i="1"/>
  <c r="AH29" i="1"/>
  <c r="AH26" i="1" s="1"/>
  <c r="AI29" i="1"/>
  <c r="AJ29" i="1"/>
  <c r="AK29" i="1"/>
  <c r="AL29" i="1"/>
  <c r="AM29" i="1"/>
  <c r="AP29" i="1"/>
  <c r="B31" i="1"/>
  <c r="C31" i="1"/>
  <c r="D31" i="1"/>
  <c r="D16" i="1" s="1"/>
  <c r="D8" i="1" s="1"/>
  <c r="D6" i="1" s="1"/>
  <c r="E31" i="1"/>
  <c r="F31" i="1"/>
  <c r="F16" i="1" s="1"/>
  <c r="G31" i="1"/>
  <c r="H31" i="1"/>
  <c r="I31" i="1"/>
  <c r="J31" i="1"/>
  <c r="K31" i="1"/>
  <c r="L31" i="1"/>
  <c r="M31" i="1"/>
  <c r="N31" i="1"/>
  <c r="N16" i="1" s="1"/>
  <c r="O31" i="1"/>
  <c r="P31" i="1"/>
  <c r="Q31" i="1"/>
  <c r="R31" i="1"/>
  <c r="S31" i="1"/>
  <c r="T31" i="1"/>
  <c r="U31" i="1"/>
  <c r="V31" i="1"/>
  <c r="V16" i="1" s="1"/>
  <c r="W31" i="1"/>
  <c r="X31" i="1"/>
  <c r="Y31" i="1"/>
  <c r="Z31" i="1"/>
  <c r="AF31" i="1"/>
  <c r="AI31" i="1"/>
  <c r="AL31" i="1"/>
  <c r="AM31" i="1"/>
  <c r="AN31" i="1"/>
  <c r="AO31" i="1"/>
  <c r="AP31" i="1"/>
  <c r="AA32" i="1"/>
  <c r="AA31" i="1" s="1"/>
  <c r="AB32" i="1"/>
  <c r="AB31" i="1" s="1"/>
  <c r="AC32" i="1"/>
  <c r="AC31" i="1" s="1"/>
  <c r="AD32" i="1"/>
  <c r="AD31" i="1" s="1"/>
  <c r="AE32" i="1"/>
  <c r="AE31" i="1" s="1"/>
  <c r="AG32" i="1"/>
  <c r="AG31" i="1" s="1"/>
  <c r="AH32" i="1"/>
  <c r="AI32" i="1"/>
  <c r="AJ32" i="1"/>
  <c r="AJ31" i="1" s="1"/>
  <c r="AK32" i="1"/>
  <c r="AK31" i="1" s="1"/>
  <c r="AE34" i="1"/>
  <c r="AG34" i="1"/>
  <c r="AH34" i="1"/>
  <c r="AH31" i="1" s="1"/>
  <c r="AI34" i="1"/>
  <c r="AK34" i="1"/>
  <c r="AM34" i="1"/>
  <c r="AJ8" i="1" l="1"/>
  <c r="AJ6" i="1" s="1"/>
  <c r="AG16" i="1"/>
  <c r="AH8" i="1"/>
  <c r="AH6" i="1" s="1"/>
  <c r="AG8" i="1"/>
  <c r="AG6" i="1" s="1"/>
  <c r="AM8" i="1"/>
  <c r="AM6" i="1" s="1"/>
  <c r="W8" i="1"/>
  <c r="W6" i="1" s="1"/>
  <c r="O8" i="1"/>
  <c r="O6" i="1" s="1"/>
  <c r="G8" i="1"/>
  <c r="G6" i="1" s="1"/>
  <c r="AP8" i="1"/>
  <c r="AP6" i="1" s="1"/>
  <c r="AL16" i="1"/>
  <c r="AI8" i="1"/>
  <c r="AI6" i="1" s="1"/>
  <c r="AK16" i="1"/>
  <c r="AK8" i="1" s="1"/>
  <c r="AK6" i="1" s="1"/>
  <c r="AB16" i="1"/>
  <c r="AB8" i="1" s="1"/>
  <c r="AB6" i="1" s="1"/>
  <c r="AC8" i="1"/>
  <c r="AC6" i="1" s="1"/>
  <c r="AD16" i="1"/>
  <c r="AD8" i="1" s="1"/>
  <c r="AD6" i="1" s="1"/>
  <c r="AL8" i="1"/>
  <c r="AL6" i="1" s="1"/>
  <c r="AJ16" i="1"/>
  <c r="AA16" i="1"/>
  <c r="AA8" i="1"/>
  <c r="AA6" i="1" s="1"/>
  <c r="S8" i="1"/>
  <c r="S6" i="1" s="1"/>
  <c r="K8" i="1"/>
  <c r="K6" i="1" s="1"/>
  <c r="C8" i="1"/>
  <c r="C6" i="1" s="1"/>
</calcChain>
</file>

<file path=xl/sharedStrings.xml><?xml version="1.0" encoding="utf-8"?>
<sst xmlns="http://schemas.openxmlformats.org/spreadsheetml/2006/main" count="29" uniqueCount="28">
  <si>
    <t>Sub-Total Regulares</t>
  </si>
  <si>
    <t xml:space="preserve">        Titulares</t>
  </si>
  <si>
    <t xml:space="preserve">        Agregados</t>
  </si>
  <si>
    <t xml:space="preserve">        Auxiliares</t>
  </si>
  <si>
    <t>Sub-Total No Regulares</t>
  </si>
  <si>
    <t xml:space="preserve">        Adjuntos</t>
  </si>
  <si>
    <t xml:space="preserve">        Adjuntos IV</t>
  </si>
  <si>
    <t xml:space="preserve">        Adjuntos III</t>
  </si>
  <si>
    <t xml:space="preserve">        Adjuntos II</t>
  </si>
  <si>
    <t xml:space="preserve">        Adjuntos I</t>
  </si>
  <si>
    <t xml:space="preserve">        Especiales</t>
  </si>
  <si>
    <t xml:space="preserve">        Instructores</t>
  </si>
  <si>
    <t xml:space="preserve">                A1</t>
  </si>
  <si>
    <t xml:space="preserve">                A2</t>
  </si>
  <si>
    <t xml:space="preserve">                A3</t>
  </si>
  <si>
    <t xml:space="preserve">                B1</t>
  </si>
  <si>
    <t xml:space="preserve">                B2</t>
  </si>
  <si>
    <t xml:space="preserve">                B3</t>
  </si>
  <si>
    <t>No especificados</t>
  </si>
  <si>
    <t>Ayudantes</t>
  </si>
  <si>
    <t>Fuente:  Dirección General de Recursos Humanos.</t>
  </si>
  <si>
    <t>Detalle</t>
  </si>
  <si>
    <t>Total</t>
  </si>
  <si>
    <t>Personal Administrativo</t>
  </si>
  <si>
    <t>Personal de Investigación</t>
  </si>
  <si>
    <t>UNIVERSIDAD TECNOLÓGICA DE PANAMÁ: RECURSO HUMANO</t>
  </si>
  <si>
    <t>Personal Docente</t>
  </si>
  <si>
    <r>
      <t xml:space="preserve"> </t>
    </r>
    <r>
      <rPr>
        <b/>
        <sz val="9.5"/>
        <color indexed="8"/>
        <rFont val="Arial"/>
        <family val="2"/>
      </rPr>
      <t>AÑOS 1981-2021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</si>
</sst>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#,###"/>
  </numFmts>
  <fonts count="10" x14ac:knownFonts="1">
    <font>
      <sz val="12"/>
      <name val="Courier New"/>
      <family val="3"/>
    </font>
    <font>
      <sz val="8"/>
      <name val="Courier New"/>
      <family val="3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9.5"/>
      <name val="Courier New"/>
      <family val="3"/>
    </font>
    <font>
      <b/>
      <sz val="9.5"/>
      <color indexed="9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9.5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9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164" fontId="0" fillId="0" borderId="0"/>
  </cellStyleXfs>
  <cellXfs count="86">
    <xf numFmtId="164" fontId="0" fillId="0" borderId="0" xfId="0"/>
    <xf numFmtId="164" fontId="3" fillId="0" borderId="0" xfId="0" applyFont="1" applyFill="1" applyAlignment="1">
      <alignment wrapText="1"/>
    </xf>
    <xf numFmtId="164" fontId="3" fillId="0" borderId="0" xfId="0" applyFont="1" applyFill="1"/>
    <xf numFmtId="164" fontId="4" fillId="0" borderId="0" xfId="0" applyFont="1"/>
    <xf numFmtId="164" fontId="2" fillId="0" borderId="0" xfId="0" applyFont="1" applyFill="1"/>
    <xf numFmtId="164" fontId="2" fillId="0" borderId="0" xfId="0" applyFont="1" applyFill="1" applyAlignment="1">
      <alignment wrapText="1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 applyProtection="1">
      <alignment horizontal="center" vertical="center" wrapText="1"/>
    </xf>
    <xf numFmtId="164" fontId="5" fillId="2" borderId="5" xfId="0" applyFont="1" applyFill="1" applyBorder="1" applyAlignment="1" applyProtection="1">
      <alignment horizontal="center" vertical="center" wrapText="1"/>
    </xf>
    <xf numFmtId="164" fontId="5" fillId="2" borderId="9" xfId="0" applyFont="1" applyFill="1" applyBorder="1" applyAlignment="1" applyProtection="1">
      <alignment horizontal="center" vertical="center" wrapText="1"/>
    </xf>
    <xf numFmtId="164" fontId="5" fillId="2" borderId="0" xfId="0" applyFont="1" applyFill="1" applyBorder="1" applyAlignment="1" applyProtection="1">
      <alignment horizontal="center" vertical="center" wrapText="1"/>
    </xf>
    <xf numFmtId="164" fontId="5" fillId="2" borderId="10" xfId="0" applyFont="1" applyFill="1" applyBorder="1" applyAlignment="1" applyProtection="1">
      <alignment horizontal="center" vertical="center" wrapText="1"/>
    </xf>
    <xf numFmtId="164" fontId="3" fillId="0" borderId="0" xfId="0" applyFont="1" applyFill="1" applyBorder="1" applyAlignment="1">
      <alignment horizontal="center" vertical="center"/>
    </xf>
    <xf numFmtId="164" fontId="3" fillId="0" borderId="0" xfId="0" applyFont="1" applyFill="1" applyAlignment="1">
      <alignment horizontal="center" vertical="center"/>
    </xf>
    <xf numFmtId="164" fontId="4" fillId="0" borderId="0" xfId="0" applyFont="1" applyAlignment="1">
      <alignment horizontal="center"/>
    </xf>
    <xf numFmtId="164" fontId="5" fillId="0" borderId="1" xfId="0" applyFont="1" applyFill="1" applyBorder="1" applyAlignment="1">
      <alignment horizontal="center" vertical="center"/>
    </xf>
    <xf numFmtId="164" fontId="5" fillId="0" borderId="2" xfId="0" applyFont="1" applyFill="1" applyBorder="1" applyAlignment="1" applyProtection="1">
      <alignment horizontal="center" vertical="center" wrapText="1"/>
    </xf>
    <xf numFmtId="164" fontId="3" fillId="0" borderId="2" xfId="0" applyFont="1" applyFill="1" applyBorder="1" applyAlignment="1">
      <alignment horizontal="center" vertical="center" wrapText="1"/>
    </xf>
    <xf numFmtId="164" fontId="3" fillId="0" borderId="0" xfId="0" applyFont="1" applyFill="1" applyAlignment="1">
      <alignment horizontal="center" vertical="center" wrapText="1"/>
    </xf>
    <xf numFmtId="164" fontId="3" fillId="0" borderId="12" xfId="0" applyFont="1" applyFill="1" applyBorder="1" applyAlignment="1">
      <alignment horizontal="center" vertical="center" wrapText="1"/>
    </xf>
    <xf numFmtId="164" fontId="6" fillId="0" borderId="1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 applyProtection="1">
      <alignment horizontal="right" vertical="center" wrapText="1"/>
    </xf>
    <xf numFmtId="165" fontId="7" fillId="0" borderId="0" xfId="0" applyNumberFormat="1" applyFont="1" applyFill="1" applyBorder="1" applyAlignment="1" applyProtection="1">
      <alignment horizontal="right" vertical="center" wrapText="1"/>
    </xf>
    <xf numFmtId="165" fontId="7" fillId="0" borderId="12" xfId="0" applyNumberFormat="1" applyFont="1" applyFill="1" applyBorder="1" applyAlignment="1" applyProtection="1">
      <alignment horizontal="right" vertical="center" wrapText="1"/>
    </xf>
    <xf numFmtId="164" fontId="8" fillId="0" borderId="0" xfId="0" applyFont="1" applyFill="1" applyBorder="1" applyAlignment="1">
      <alignment horizontal="center" vertical="center"/>
    </xf>
    <xf numFmtId="164" fontId="8" fillId="0" borderId="0" xfId="0" applyFont="1" applyFill="1" applyAlignment="1">
      <alignment horizontal="center" vertical="center"/>
    </xf>
    <xf numFmtId="164" fontId="2" fillId="0" borderId="1" xfId="0" applyFont="1" applyFill="1" applyBorder="1"/>
    <xf numFmtId="164" fontId="2" fillId="0" borderId="2" xfId="0" applyFont="1" applyFill="1" applyBorder="1" applyAlignment="1">
      <alignment wrapText="1"/>
    </xf>
    <xf numFmtId="164" fontId="3" fillId="0" borderId="2" xfId="0" applyFont="1" applyFill="1" applyBorder="1" applyAlignment="1">
      <alignment wrapText="1"/>
    </xf>
    <xf numFmtId="164" fontId="3" fillId="0" borderId="12" xfId="0" applyFont="1" applyFill="1" applyBorder="1" applyAlignment="1">
      <alignment wrapText="1"/>
    </xf>
    <xf numFmtId="164" fontId="2" fillId="3" borderId="1" xfId="0" applyFont="1" applyFill="1" applyBorder="1" applyAlignment="1" applyProtection="1">
      <alignment horizontal="left" vertical="center"/>
    </xf>
    <xf numFmtId="165" fontId="2" fillId="3" borderId="2" xfId="0" applyNumberFormat="1" applyFont="1" applyFill="1" applyBorder="1" applyAlignment="1" applyProtection="1">
      <alignment horizontal="right" vertical="center" wrapText="1"/>
    </xf>
    <xf numFmtId="165" fontId="2" fillId="3" borderId="0" xfId="0" applyNumberFormat="1" applyFont="1" applyFill="1" applyBorder="1" applyAlignment="1" applyProtection="1">
      <alignment horizontal="right" vertical="center" wrapText="1"/>
    </xf>
    <xf numFmtId="165" fontId="2" fillId="3" borderId="1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wrapText="1"/>
    </xf>
    <xf numFmtId="164" fontId="2" fillId="0" borderId="1" xfId="0" applyFont="1" applyFill="1" applyBorder="1" applyAlignment="1" applyProtection="1">
      <alignment horizontal="left" vertical="center"/>
    </xf>
    <xf numFmtId="165" fontId="2" fillId="0" borderId="2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1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 applyProtection="1">
      <alignment vertical="center" wrapText="1"/>
    </xf>
    <xf numFmtId="164" fontId="3" fillId="0" borderId="1" xfId="0" applyFont="1" applyFill="1" applyBorder="1"/>
    <xf numFmtId="165" fontId="3" fillId="0" borderId="2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right" wrapText="1"/>
    </xf>
    <xf numFmtId="164" fontId="2" fillId="0" borderId="1" xfId="0" applyFont="1" applyFill="1" applyBorder="1" applyAlignment="1" applyProtection="1"/>
    <xf numFmtId="165" fontId="2" fillId="0" borderId="2" xfId="0" applyNumberFormat="1" applyFont="1" applyFill="1" applyBorder="1" applyAlignment="1" applyProtection="1">
      <alignment wrapText="1"/>
    </xf>
    <xf numFmtId="165" fontId="2" fillId="0" borderId="2" xfId="0" applyNumberFormat="1" applyFont="1" applyFill="1" applyBorder="1" applyAlignment="1" applyProtection="1">
      <alignment horizontal="right" wrapText="1"/>
    </xf>
    <xf numFmtId="164" fontId="2" fillId="0" borderId="12" xfId="0" applyFont="1" applyFill="1" applyBorder="1" applyAlignment="1">
      <alignment wrapText="1"/>
    </xf>
    <xf numFmtId="164" fontId="9" fillId="0" borderId="0" xfId="0" applyFont="1"/>
    <xf numFmtId="165" fontId="2" fillId="0" borderId="0" xfId="0" applyNumberFormat="1" applyFont="1" applyFill="1" applyBorder="1" applyAlignment="1" applyProtection="1">
      <alignment wrapText="1"/>
    </xf>
    <xf numFmtId="165" fontId="2" fillId="0" borderId="12" xfId="0" applyNumberFormat="1" applyFont="1" applyFill="1" applyBorder="1" applyAlignment="1" applyProtection="1">
      <alignment wrapText="1"/>
    </xf>
    <xf numFmtId="164" fontId="3" fillId="0" borderId="1" xfId="0" applyFont="1" applyFill="1" applyBorder="1" applyAlignment="1" applyProtection="1"/>
    <xf numFmtId="165" fontId="3" fillId="0" borderId="2" xfId="0" applyNumberFormat="1" applyFont="1" applyFill="1" applyBorder="1" applyAlignment="1" applyProtection="1">
      <alignment wrapText="1"/>
    </xf>
    <xf numFmtId="165" fontId="3" fillId="0" borderId="2" xfId="0" applyNumberFormat="1" applyFont="1" applyFill="1" applyBorder="1" applyAlignment="1" applyProtection="1">
      <alignment horizontal="right" wrapText="1"/>
    </xf>
    <xf numFmtId="164" fontId="2" fillId="0" borderId="1" xfId="0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>
      <alignment vertical="center" wrapText="1"/>
    </xf>
    <xf numFmtId="164" fontId="3" fillId="0" borderId="2" xfId="0" applyFont="1" applyFill="1" applyBorder="1" applyAlignment="1">
      <alignment vertical="center" wrapText="1"/>
    </xf>
    <xf numFmtId="164" fontId="3" fillId="0" borderId="0" xfId="0" applyFont="1" applyFill="1" applyAlignment="1">
      <alignment vertical="center" wrapText="1"/>
    </xf>
    <xf numFmtId="164" fontId="3" fillId="0" borderId="12" xfId="0" applyFont="1" applyFill="1" applyBorder="1" applyAlignment="1">
      <alignment vertical="center" wrapText="1"/>
    </xf>
    <xf numFmtId="164" fontId="3" fillId="0" borderId="0" xfId="0" applyFont="1" applyFill="1" applyAlignment="1">
      <alignment vertical="center"/>
    </xf>
    <xf numFmtId="165" fontId="2" fillId="3" borderId="2" xfId="0" applyNumberFormat="1" applyFont="1" applyFill="1" applyBorder="1" applyAlignment="1" applyProtection="1">
      <alignment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0" xfId="0" applyNumberFormat="1" applyFont="1" applyFill="1" applyBorder="1" applyAlignment="1">
      <alignment horizontal="right" vertical="center" wrapText="1"/>
    </xf>
    <xf numFmtId="165" fontId="2" fillId="3" borderId="12" xfId="0" applyNumberFormat="1" applyFont="1" applyFill="1" applyBorder="1" applyAlignment="1">
      <alignment horizontal="right" vertical="center" wrapText="1"/>
    </xf>
    <xf numFmtId="164" fontId="2" fillId="0" borderId="0" xfId="0" applyFont="1" applyFill="1" applyAlignment="1">
      <alignment vertical="center"/>
    </xf>
    <xf numFmtId="164" fontId="9" fillId="0" borderId="0" xfId="0" applyFont="1" applyAlignment="1">
      <alignment vertical="center"/>
    </xf>
    <xf numFmtId="164" fontId="3" fillId="0" borderId="2" xfId="0" applyFont="1" applyFill="1" applyBorder="1" applyAlignment="1">
      <alignment horizontal="right" wrapText="1"/>
    </xf>
    <xf numFmtId="164" fontId="3" fillId="0" borderId="0" xfId="0" applyFont="1" applyFill="1" applyAlignment="1">
      <alignment horizontal="right" wrapText="1"/>
    </xf>
    <xf numFmtId="164" fontId="3" fillId="0" borderId="12" xfId="0" applyFont="1" applyFill="1" applyBorder="1" applyAlignment="1">
      <alignment horizontal="right" wrapText="1"/>
    </xf>
    <xf numFmtId="164" fontId="3" fillId="0" borderId="6" xfId="0" applyFont="1" applyFill="1" applyBorder="1" applyAlignment="1" applyProtection="1"/>
    <xf numFmtId="165" fontId="3" fillId="0" borderId="7" xfId="0" applyNumberFormat="1" applyFont="1" applyFill="1" applyBorder="1" applyAlignment="1" applyProtection="1">
      <alignment wrapText="1"/>
    </xf>
    <xf numFmtId="165" fontId="3" fillId="0" borderId="7" xfId="0" applyNumberFormat="1" applyFont="1" applyFill="1" applyBorder="1" applyAlignment="1" applyProtection="1">
      <alignment horizontal="right" wrapText="1"/>
    </xf>
    <xf numFmtId="165" fontId="3" fillId="0" borderId="7" xfId="0" applyNumberFormat="1" applyFont="1" applyFill="1" applyBorder="1" applyAlignment="1">
      <alignment wrapText="1"/>
    </xf>
    <xf numFmtId="164" fontId="3" fillId="0" borderId="7" xfId="0" applyFont="1" applyFill="1" applyBorder="1" applyAlignment="1">
      <alignment wrapText="1"/>
    </xf>
    <xf numFmtId="164" fontId="3" fillId="0" borderId="8" xfId="0" applyFont="1" applyFill="1" applyBorder="1" applyAlignment="1">
      <alignment wrapText="1"/>
    </xf>
    <xf numFmtId="164" fontId="3" fillId="0" borderId="11" xfId="0" applyFont="1" applyFill="1" applyBorder="1" applyAlignment="1">
      <alignment wrapText="1"/>
    </xf>
    <xf numFmtId="164" fontId="3" fillId="0" borderId="0" xfId="0" applyFont="1" applyFill="1" applyBorder="1"/>
    <xf numFmtId="164" fontId="4" fillId="0" borderId="0" xfId="0" applyFont="1" applyBorder="1"/>
    <xf numFmtId="164" fontId="3" fillId="0" borderId="0" xfId="0" applyFont="1" applyFill="1" applyBorder="1" applyAlignment="1" applyProtection="1"/>
    <xf numFmtId="164" fontId="3" fillId="0" borderId="0" xfId="0" applyFont="1" applyFill="1" applyBorder="1" applyAlignment="1" applyProtection="1">
      <alignment wrapText="1"/>
    </xf>
    <xf numFmtId="164" fontId="2" fillId="0" borderId="0" xfId="0" applyFont="1" applyFill="1" applyAlignment="1">
      <alignment horizontal="center"/>
    </xf>
    <xf numFmtId="164" fontId="3" fillId="0" borderId="0" xfId="0" applyFont="1" applyFill="1" applyAlignment="1">
      <alignment horizontal="center"/>
    </xf>
    <xf numFmtId="164" fontId="2" fillId="0" borderId="0" xfId="0" applyFont="1" applyFill="1" applyBorder="1"/>
    <xf numFmtId="164" fontId="3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8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5"/>
  <sheetViews>
    <sheetView showGridLines="0" showZeros="0" tabSelected="1" view="pageBreakPreview" zoomScale="95" zoomScaleNormal="100" zoomScaleSheetLayoutView="9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Q9" sqref="AQ9"/>
    </sheetView>
  </sheetViews>
  <sheetFormatPr baseColWidth="10" defaultColWidth="7.796875" defaultRowHeight="13.5" x14ac:dyDescent="0.25"/>
  <cols>
    <col min="1" max="1" width="21.296875" style="2" customWidth="1"/>
    <col min="2" max="2" width="4.5" style="1" customWidth="1"/>
    <col min="3" max="19" width="3.8984375" style="1" bestFit="1" customWidth="1"/>
    <col min="20" max="35" width="3.8984375" style="1" customWidth="1"/>
    <col min="36" max="42" width="3.8984375" style="1" bestFit="1" customWidth="1"/>
    <col min="43" max="43" width="7.796875" style="77" customWidth="1"/>
    <col min="44" max="256" width="7.796875" style="2" customWidth="1"/>
    <col min="257" max="16384" width="7.796875" style="3"/>
  </cols>
  <sheetData>
    <row r="1" spans="1:257" x14ac:dyDescent="0.25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257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25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257" s="13" customFormat="1" ht="30.75" customHeight="1" x14ac:dyDescent="0.25">
      <c r="A4" s="6" t="s">
        <v>21</v>
      </c>
      <c r="B4" s="7">
        <v>1981</v>
      </c>
      <c r="C4" s="7">
        <v>1982</v>
      </c>
      <c r="D4" s="7">
        <v>1983</v>
      </c>
      <c r="E4" s="7">
        <v>1984</v>
      </c>
      <c r="F4" s="7">
        <v>1985</v>
      </c>
      <c r="G4" s="7">
        <v>1986</v>
      </c>
      <c r="H4" s="7">
        <v>1987</v>
      </c>
      <c r="I4" s="7">
        <v>1988</v>
      </c>
      <c r="J4" s="7">
        <v>1989</v>
      </c>
      <c r="K4" s="7">
        <v>1990</v>
      </c>
      <c r="L4" s="7">
        <v>1991</v>
      </c>
      <c r="M4" s="7">
        <v>1992</v>
      </c>
      <c r="N4" s="7">
        <v>1993</v>
      </c>
      <c r="O4" s="7">
        <v>1994</v>
      </c>
      <c r="P4" s="7">
        <v>1995</v>
      </c>
      <c r="Q4" s="7">
        <v>1996</v>
      </c>
      <c r="R4" s="7">
        <v>1997</v>
      </c>
      <c r="S4" s="7">
        <v>1998</v>
      </c>
      <c r="T4" s="7">
        <v>1999</v>
      </c>
      <c r="U4" s="7">
        <v>2000</v>
      </c>
      <c r="V4" s="7">
        <v>2001</v>
      </c>
      <c r="W4" s="7">
        <v>2002</v>
      </c>
      <c r="X4" s="7">
        <v>2003</v>
      </c>
      <c r="Y4" s="7">
        <v>2004</v>
      </c>
      <c r="Z4" s="8">
        <v>2005</v>
      </c>
      <c r="AA4" s="8">
        <v>2006</v>
      </c>
      <c r="AB4" s="8">
        <v>2007</v>
      </c>
      <c r="AC4" s="8">
        <v>2008</v>
      </c>
      <c r="AD4" s="8">
        <v>2009</v>
      </c>
      <c r="AE4" s="8">
        <v>2010</v>
      </c>
      <c r="AF4" s="8">
        <v>2011</v>
      </c>
      <c r="AG4" s="8">
        <v>2012</v>
      </c>
      <c r="AH4" s="8">
        <v>2013</v>
      </c>
      <c r="AI4" s="8">
        <v>2014</v>
      </c>
      <c r="AJ4" s="8">
        <v>2015</v>
      </c>
      <c r="AK4" s="9">
        <v>2016</v>
      </c>
      <c r="AL4" s="10">
        <v>2017</v>
      </c>
      <c r="AM4" s="11">
        <v>2018</v>
      </c>
      <c r="AN4" s="11">
        <v>2019</v>
      </c>
      <c r="AO4" s="11">
        <v>2020</v>
      </c>
      <c r="AP4" s="11">
        <v>2021</v>
      </c>
      <c r="AQ4" s="12"/>
      <c r="AR4" s="12"/>
      <c r="IW4" s="14"/>
    </row>
    <row r="5" spans="1:257" s="13" customFormat="1" ht="12.9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8"/>
      <c r="AO5" s="19"/>
      <c r="AP5" s="19"/>
      <c r="AQ5" s="12"/>
      <c r="AR5" s="12"/>
      <c r="IW5" s="3"/>
    </row>
    <row r="6" spans="1:257" s="25" customFormat="1" ht="25.15" customHeight="1" x14ac:dyDescent="0.25">
      <c r="A6" s="20" t="s">
        <v>22</v>
      </c>
      <c r="B6" s="21">
        <f t="shared" ref="B6:AC6" si="0">B8+B40+B42</f>
        <v>698</v>
      </c>
      <c r="C6" s="21">
        <f t="shared" si="0"/>
        <v>710</v>
      </c>
      <c r="D6" s="21">
        <f t="shared" si="0"/>
        <v>1085</v>
      </c>
      <c r="E6" s="21">
        <f t="shared" si="0"/>
        <v>1367</v>
      </c>
      <c r="F6" s="21">
        <f t="shared" si="0"/>
        <v>1436</v>
      </c>
      <c r="G6" s="21">
        <f t="shared" si="0"/>
        <v>1515</v>
      </c>
      <c r="H6" s="21">
        <f t="shared" si="0"/>
        <v>1558</v>
      </c>
      <c r="I6" s="21">
        <f t="shared" si="0"/>
        <v>1628</v>
      </c>
      <c r="J6" s="21">
        <f t="shared" si="0"/>
        <v>1656</v>
      </c>
      <c r="K6" s="21">
        <f t="shared" si="0"/>
        <v>1563</v>
      </c>
      <c r="L6" s="21">
        <f t="shared" si="0"/>
        <v>1596</v>
      </c>
      <c r="M6" s="21">
        <f t="shared" si="0"/>
        <v>1711</v>
      </c>
      <c r="N6" s="21">
        <f t="shared" si="0"/>
        <v>1947</v>
      </c>
      <c r="O6" s="21">
        <f t="shared" si="0"/>
        <v>1945</v>
      </c>
      <c r="P6" s="21">
        <f t="shared" si="0"/>
        <v>2109</v>
      </c>
      <c r="Q6" s="21">
        <f t="shared" si="0"/>
        <v>2198</v>
      </c>
      <c r="R6" s="21">
        <f t="shared" si="0"/>
        <v>2377</v>
      </c>
      <c r="S6" s="21">
        <f t="shared" si="0"/>
        <v>2410</v>
      </c>
      <c r="T6" s="21">
        <f t="shared" si="0"/>
        <v>2471</v>
      </c>
      <c r="U6" s="21">
        <f t="shared" si="0"/>
        <v>2492</v>
      </c>
      <c r="V6" s="21">
        <f t="shared" si="0"/>
        <v>2439</v>
      </c>
      <c r="W6" s="21">
        <f t="shared" si="0"/>
        <v>2480</v>
      </c>
      <c r="X6" s="21">
        <f t="shared" si="0"/>
        <v>2530</v>
      </c>
      <c r="Y6" s="21">
        <f t="shared" si="0"/>
        <v>2477</v>
      </c>
      <c r="Z6" s="21">
        <f t="shared" si="0"/>
        <v>2441</v>
      </c>
      <c r="AA6" s="21">
        <f t="shared" si="0"/>
        <v>2547</v>
      </c>
      <c r="AB6" s="21">
        <f t="shared" si="0"/>
        <v>2549</v>
      </c>
      <c r="AC6" s="21">
        <f t="shared" si="0"/>
        <v>2793</v>
      </c>
      <c r="AD6" s="21">
        <f t="shared" ref="AD6:AJ6" si="1">AD8+AD40+AD42</f>
        <v>2992</v>
      </c>
      <c r="AE6" s="21">
        <f t="shared" si="1"/>
        <v>3118</v>
      </c>
      <c r="AF6" s="21">
        <f t="shared" si="1"/>
        <v>3352</v>
      </c>
      <c r="AG6" s="21">
        <f t="shared" si="1"/>
        <v>3630</v>
      </c>
      <c r="AH6" s="21">
        <f t="shared" si="1"/>
        <v>3510</v>
      </c>
      <c r="AI6" s="21">
        <f t="shared" si="1"/>
        <v>3505</v>
      </c>
      <c r="AJ6" s="21">
        <f t="shared" si="1"/>
        <v>3549</v>
      </c>
      <c r="AK6" s="21">
        <f>AK8+AK40+AK42</f>
        <v>3703</v>
      </c>
      <c r="AL6" s="21">
        <f t="shared" ref="AL6:AM6" si="2">AL8+AL40+AL42</f>
        <v>3769</v>
      </c>
      <c r="AM6" s="21">
        <f t="shared" si="2"/>
        <v>3837</v>
      </c>
      <c r="AN6" s="22">
        <f t="shared" ref="AN6:AO6" si="3">AN8+AN40+AN42</f>
        <v>3845</v>
      </c>
      <c r="AO6" s="23">
        <f t="shared" si="3"/>
        <v>3903</v>
      </c>
      <c r="AP6" s="23">
        <f>AP8+AP40+AP42</f>
        <v>3761</v>
      </c>
      <c r="AQ6" s="24"/>
      <c r="AR6" s="24"/>
      <c r="IW6" s="3"/>
    </row>
    <row r="7" spans="1:257" ht="12" customHeight="1" x14ac:dyDescent="0.2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8"/>
      <c r="AH7" s="28"/>
      <c r="AI7" s="28"/>
      <c r="AJ7" s="28"/>
      <c r="AK7" s="28"/>
      <c r="AL7" s="28"/>
      <c r="AM7" s="28"/>
      <c r="AO7" s="29"/>
      <c r="AP7" s="29"/>
    </row>
    <row r="8" spans="1:257" ht="27.75" customHeight="1" x14ac:dyDescent="0.25">
      <c r="A8" s="30" t="s">
        <v>26</v>
      </c>
      <c r="B8" s="31">
        <f t="shared" ref="B8:AC8" si="4">B10+B16</f>
        <v>312</v>
      </c>
      <c r="C8" s="31">
        <f t="shared" si="4"/>
        <v>288</v>
      </c>
      <c r="D8" s="31">
        <f t="shared" si="4"/>
        <v>636</v>
      </c>
      <c r="E8" s="31">
        <f t="shared" si="4"/>
        <v>730</v>
      </c>
      <c r="F8" s="31">
        <f t="shared" si="4"/>
        <v>773</v>
      </c>
      <c r="G8" s="31">
        <f t="shared" si="4"/>
        <v>819</v>
      </c>
      <c r="H8" s="31">
        <f t="shared" si="4"/>
        <v>870</v>
      </c>
      <c r="I8" s="31">
        <f t="shared" si="4"/>
        <v>955</v>
      </c>
      <c r="J8" s="31">
        <f t="shared" si="4"/>
        <v>996</v>
      </c>
      <c r="K8" s="31">
        <f t="shared" si="4"/>
        <v>908</v>
      </c>
      <c r="L8" s="31">
        <f t="shared" si="4"/>
        <v>941</v>
      </c>
      <c r="M8" s="31">
        <f t="shared" si="4"/>
        <v>946</v>
      </c>
      <c r="N8" s="31">
        <f t="shared" si="4"/>
        <v>1086</v>
      </c>
      <c r="O8" s="31">
        <f t="shared" si="4"/>
        <v>1140</v>
      </c>
      <c r="P8" s="31">
        <f t="shared" si="4"/>
        <v>1162</v>
      </c>
      <c r="Q8" s="31">
        <f t="shared" si="4"/>
        <v>1095</v>
      </c>
      <c r="R8" s="31">
        <f t="shared" si="4"/>
        <v>1242</v>
      </c>
      <c r="S8" s="31">
        <f t="shared" si="4"/>
        <v>1159</v>
      </c>
      <c r="T8" s="31">
        <f t="shared" si="4"/>
        <v>1121</v>
      </c>
      <c r="U8" s="31">
        <f t="shared" si="4"/>
        <v>1173</v>
      </c>
      <c r="V8" s="31">
        <f t="shared" si="4"/>
        <v>1170</v>
      </c>
      <c r="W8" s="31">
        <f t="shared" si="4"/>
        <v>1234</v>
      </c>
      <c r="X8" s="31">
        <f t="shared" si="4"/>
        <v>1269</v>
      </c>
      <c r="Y8" s="31">
        <f t="shared" si="4"/>
        <v>1199</v>
      </c>
      <c r="Z8" s="31">
        <f t="shared" si="4"/>
        <v>1148</v>
      </c>
      <c r="AA8" s="31">
        <f t="shared" si="4"/>
        <v>1217</v>
      </c>
      <c r="AB8" s="31">
        <f t="shared" si="4"/>
        <v>1225</v>
      </c>
      <c r="AC8" s="31">
        <f t="shared" si="4"/>
        <v>1324</v>
      </c>
      <c r="AD8" s="31">
        <f t="shared" ref="AD8:AK8" si="5">AD10+AD16</f>
        <v>1401</v>
      </c>
      <c r="AE8" s="31">
        <f t="shared" si="5"/>
        <v>1428</v>
      </c>
      <c r="AF8" s="31">
        <f t="shared" si="5"/>
        <v>1529</v>
      </c>
      <c r="AG8" s="31">
        <f t="shared" si="5"/>
        <v>1575</v>
      </c>
      <c r="AH8" s="31">
        <f t="shared" si="5"/>
        <v>1547</v>
      </c>
      <c r="AI8" s="31">
        <f t="shared" si="5"/>
        <v>1549</v>
      </c>
      <c r="AJ8" s="31">
        <f t="shared" si="5"/>
        <v>1552</v>
      </c>
      <c r="AK8" s="31">
        <f t="shared" si="5"/>
        <v>1623</v>
      </c>
      <c r="AL8" s="31">
        <f>AL10+AL16</f>
        <v>1632</v>
      </c>
      <c r="AM8" s="31">
        <f t="shared" ref="AM8" si="6">AM10+AM16</f>
        <v>1685</v>
      </c>
      <c r="AN8" s="32">
        <f t="shared" ref="AN8" si="7">AN10+AN16</f>
        <v>1676</v>
      </c>
      <c r="AO8" s="33">
        <f>AO10+AO16</f>
        <v>1773</v>
      </c>
      <c r="AP8" s="33">
        <f>AP10+AP16</f>
        <v>1750</v>
      </c>
    </row>
    <row r="9" spans="1:257" ht="12.95" customHeight="1" x14ac:dyDescent="0.25">
      <c r="A9" s="26"/>
      <c r="B9" s="34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/>
      <c r="AG9" s="28"/>
      <c r="AH9" s="28"/>
      <c r="AI9" s="28"/>
      <c r="AJ9" s="28"/>
      <c r="AK9" s="28"/>
      <c r="AL9" s="28"/>
      <c r="AM9" s="28"/>
      <c r="AO9" s="29"/>
      <c r="AP9" s="29"/>
    </row>
    <row r="10" spans="1:257" ht="15.95" customHeight="1" x14ac:dyDescent="0.25">
      <c r="A10" s="36" t="s">
        <v>0</v>
      </c>
      <c r="B10" s="37">
        <f t="shared" ref="B10:AC10" si="8">SUM(B12:B14)</f>
        <v>13</v>
      </c>
      <c r="C10" s="37">
        <f t="shared" si="8"/>
        <v>28</v>
      </c>
      <c r="D10" s="37">
        <f t="shared" si="8"/>
        <v>41</v>
      </c>
      <c r="E10" s="37">
        <f t="shared" si="8"/>
        <v>67</v>
      </c>
      <c r="F10" s="37">
        <f t="shared" si="8"/>
        <v>52</v>
      </c>
      <c r="G10" s="37">
        <f t="shared" si="8"/>
        <v>62</v>
      </c>
      <c r="H10" s="37">
        <f t="shared" si="8"/>
        <v>69</v>
      </c>
      <c r="I10" s="37">
        <f t="shared" si="8"/>
        <v>85</v>
      </c>
      <c r="J10" s="37">
        <f t="shared" si="8"/>
        <v>78</v>
      </c>
      <c r="K10" s="37">
        <f t="shared" si="8"/>
        <v>83</v>
      </c>
      <c r="L10" s="37">
        <f t="shared" si="8"/>
        <v>75</v>
      </c>
      <c r="M10" s="37">
        <f t="shared" si="8"/>
        <v>90</v>
      </c>
      <c r="N10" s="37">
        <f t="shared" si="8"/>
        <v>107</v>
      </c>
      <c r="O10" s="37">
        <f t="shared" si="8"/>
        <v>127</v>
      </c>
      <c r="P10" s="37">
        <f t="shared" si="8"/>
        <v>145</v>
      </c>
      <c r="Q10" s="37">
        <f t="shared" si="8"/>
        <v>156</v>
      </c>
      <c r="R10" s="37">
        <f t="shared" si="8"/>
        <v>198</v>
      </c>
      <c r="S10" s="37">
        <f t="shared" si="8"/>
        <v>180</v>
      </c>
      <c r="T10" s="37">
        <f t="shared" si="8"/>
        <v>170</v>
      </c>
      <c r="U10" s="37">
        <f t="shared" si="8"/>
        <v>166</v>
      </c>
      <c r="V10" s="37">
        <f t="shared" si="8"/>
        <v>170</v>
      </c>
      <c r="W10" s="37">
        <f t="shared" si="8"/>
        <v>167</v>
      </c>
      <c r="X10" s="37">
        <f t="shared" si="8"/>
        <v>165</v>
      </c>
      <c r="Y10" s="37">
        <f t="shared" si="8"/>
        <v>172</v>
      </c>
      <c r="Z10" s="37">
        <f t="shared" si="8"/>
        <v>173</v>
      </c>
      <c r="AA10" s="37">
        <f t="shared" si="8"/>
        <v>174</v>
      </c>
      <c r="AB10" s="37">
        <f t="shared" si="8"/>
        <v>175</v>
      </c>
      <c r="AC10" s="37">
        <f t="shared" si="8"/>
        <v>178</v>
      </c>
      <c r="AD10" s="37">
        <f t="shared" ref="AD10:AK10" si="9">SUM(AD12:AD14)</f>
        <v>183</v>
      </c>
      <c r="AE10" s="37">
        <f t="shared" si="9"/>
        <v>178</v>
      </c>
      <c r="AF10" s="37">
        <f t="shared" si="9"/>
        <v>191</v>
      </c>
      <c r="AG10" s="37">
        <f t="shared" si="9"/>
        <v>190</v>
      </c>
      <c r="AH10" s="37">
        <f t="shared" si="9"/>
        <v>197</v>
      </c>
      <c r="AI10" s="37">
        <f t="shared" si="9"/>
        <v>201</v>
      </c>
      <c r="AJ10" s="37">
        <f t="shared" si="9"/>
        <v>199</v>
      </c>
      <c r="AK10" s="37">
        <f t="shared" si="9"/>
        <v>207</v>
      </c>
      <c r="AL10" s="37">
        <f>SUM(AL12:AL14)</f>
        <v>206</v>
      </c>
      <c r="AM10" s="37">
        <f>SUM(AM12:AM14)</f>
        <v>219</v>
      </c>
      <c r="AN10" s="38">
        <f>SUM(AN12:AN14)</f>
        <v>221</v>
      </c>
      <c r="AO10" s="39">
        <f>SUM(AO12:AO14)</f>
        <v>220</v>
      </c>
      <c r="AP10" s="39">
        <f>SUM(AP12:AP14)</f>
        <v>219</v>
      </c>
    </row>
    <row r="11" spans="1:257" ht="15.95" customHeight="1" x14ac:dyDescent="0.25">
      <c r="A11" s="36"/>
      <c r="B11" s="37"/>
      <c r="C11" s="3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37"/>
      <c r="R11" s="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28"/>
      <c r="AG11" s="28"/>
      <c r="AH11" s="28"/>
      <c r="AI11" s="28"/>
      <c r="AJ11" s="28"/>
      <c r="AK11" s="28"/>
      <c r="AL11" s="28"/>
      <c r="AM11" s="28"/>
      <c r="AO11" s="29"/>
      <c r="AP11" s="29"/>
    </row>
    <row r="12" spans="1:257" ht="15.95" customHeight="1" x14ac:dyDescent="0.25">
      <c r="A12" s="42" t="s">
        <v>1</v>
      </c>
      <c r="B12" s="43">
        <v>11</v>
      </c>
      <c r="C12" s="43">
        <v>15</v>
      </c>
      <c r="D12" s="43">
        <v>20</v>
      </c>
      <c r="E12" s="43">
        <v>26</v>
      </c>
      <c r="F12" s="43">
        <v>30</v>
      </c>
      <c r="G12" s="43">
        <v>31</v>
      </c>
      <c r="H12" s="43">
        <v>34</v>
      </c>
      <c r="I12" s="43">
        <v>41</v>
      </c>
      <c r="J12" s="43">
        <v>37</v>
      </c>
      <c r="K12" s="43">
        <v>39</v>
      </c>
      <c r="L12" s="43">
        <v>32</v>
      </c>
      <c r="M12" s="43">
        <v>48</v>
      </c>
      <c r="N12" s="43">
        <v>59</v>
      </c>
      <c r="O12" s="43">
        <v>74</v>
      </c>
      <c r="P12" s="43">
        <v>81</v>
      </c>
      <c r="Q12" s="44">
        <v>103</v>
      </c>
      <c r="R12" s="44">
        <v>160</v>
      </c>
      <c r="S12" s="43">
        <v>147</v>
      </c>
      <c r="T12" s="43">
        <v>144</v>
      </c>
      <c r="U12" s="43">
        <v>148</v>
      </c>
      <c r="V12" s="43">
        <v>151</v>
      </c>
      <c r="W12" s="43">
        <v>153</v>
      </c>
      <c r="X12" s="43">
        <v>153</v>
      </c>
      <c r="Y12" s="43">
        <v>158</v>
      </c>
      <c r="Z12" s="43">
        <v>163</v>
      </c>
      <c r="AA12" s="43">
        <f>44+121</f>
        <v>165</v>
      </c>
      <c r="AB12" s="43">
        <f>122+43</f>
        <v>165</v>
      </c>
      <c r="AC12" s="43">
        <f>46+124</f>
        <v>170</v>
      </c>
      <c r="AD12" s="43">
        <f>49+128</f>
        <v>177</v>
      </c>
      <c r="AE12" s="43">
        <f>128+46</f>
        <v>174</v>
      </c>
      <c r="AF12" s="28">
        <v>186</v>
      </c>
      <c r="AG12" s="28">
        <f>136+50</f>
        <v>186</v>
      </c>
      <c r="AH12" s="28">
        <f>139+55</f>
        <v>194</v>
      </c>
      <c r="AI12" s="28">
        <f>145+54</f>
        <v>199</v>
      </c>
      <c r="AJ12" s="28">
        <f>141+55</f>
        <v>196</v>
      </c>
      <c r="AK12" s="28">
        <f>149+55</f>
        <v>204</v>
      </c>
      <c r="AL12" s="28">
        <f>148+57</f>
        <v>205</v>
      </c>
      <c r="AM12" s="28">
        <f>150+66</f>
        <v>216</v>
      </c>
      <c r="AN12" s="1">
        <v>217</v>
      </c>
      <c r="AO12" s="29">
        <v>217</v>
      </c>
      <c r="AP12" s="29">
        <f>148+68</f>
        <v>216</v>
      </c>
    </row>
    <row r="13" spans="1:257" ht="15.95" customHeight="1" x14ac:dyDescent="0.25">
      <c r="A13" s="42" t="s">
        <v>2</v>
      </c>
      <c r="B13" s="43">
        <v>2</v>
      </c>
      <c r="C13" s="43">
        <v>12</v>
      </c>
      <c r="D13" s="43">
        <v>16</v>
      </c>
      <c r="E13" s="43">
        <v>32</v>
      </c>
      <c r="F13" s="43">
        <v>13</v>
      </c>
      <c r="G13" s="43">
        <v>21</v>
      </c>
      <c r="H13" s="43">
        <v>25</v>
      </c>
      <c r="I13" s="43">
        <v>28</v>
      </c>
      <c r="J13" s="43">
        <v>26</v>
      </c>
      <c r="K13" s="43">
        <v>28</v>
      </c>
      <c r="L13" s="43">
        <v>27</v>
      </c>
      <c r="M13" s="43">
        <v>26</v>
      </c>
      <c r="N13" s="43">
        <v>33</v>
      </c>
      <c r="O13" s="43">
        <v>42</v>
      </c>
      <c r="P13" s="43">
        <v>54</v>
      </c>
      <c r="Q13" s="44">
        <v>43</v>
      </c>
      <c r="R13" s="44">
        <v>34</v>
      </c>
      <c r="S13" s="43">
        <v>27</v>
      </c>
      <c r="T13" s="43">
        <v>23</v>
      </c>
      <c r="U13" s="43">
        <v>15</v>
      </c>
      <c r="V13" s="43">
        <v>16</v>
      </c>
      <c r="W13" s="43">
        <v>13</v>
      </c>
      <c r="X13" s="43">
        <v>11</v>
      </c>
      <c r="Y13" s="43">
        <v>12</v>
      </c>
      <c r="Z13" s="43">
        <v>8</v>
      </c>
      <c r="AA13" s="43">
        <v>7</v>
      </c>
      <c r="AB13" s="43">
        <f>7+1</f>
        <v>8</v>
      </c>
      <c r="AC13" s="43">
        <v>8</v>
      </c>
      <c r="AD13" s="43">
        <v>6</v>
      </c>
      <c r="AE13" s="43">
        <v>4</v>
      </c>
      <c r="AF13" s="28">
        <v>5</v>
      </c>
      <c r="AG13" s="28">
        <f>3+1</f>
        <v>4</v>
      </c>
      <c r="AH13" s="28">
        <v>3</v>
      </c>
      <c r="AI13" s="28">
        <v>2</v>
      </c>
      <c r="AJ13" s="28">
        <v>3</v>
      </c>
      <c r="AK13" s="28">
        <v>3</v>
      </c>
      <c r="AL13" s="28">
        <v>1</v>
      </c>
      <c r="AM13" s="28">
        <v>2</v>
      </c>
      <c r="AN13" s="1">
        <v>3</v>
      </c>
      <c r="AO13" s="29">
        <v>3</v>
      </c>
      <c r="AP13" s="29">
        <f>3</f>
        <v>3</v>
      </c>
    </row>
    <row r="14" spans="1:257" ht="15.95" customHeight="1" x14ac:dyDescent="0.25">
      <c r="A14" s="42" t="s">
        <v>3</v>
      </c>
      <c r="B14" s="43"/>
      <c r="C14" s="43">
        <v>1</v>
      </c>
      <c r="D14" s="43">
        <v>5</v>
      </c>
      <c r="E14" s="43">
        <v>9</v>
      </c>
      <c r="F14" s="43">
        <v>9</v>
      </c>
      <c r="G14" s="43">
        <v>10</v>
      </c>
      <c r="H14" s="43">
        <v>10</v>
      </c>
      <c r="I14" s="43">
        <v>16</v>
      </c>
      <c r="J14" s="43">
        <v>15</v>
      </c>
      <c r="K14" s="43">
        <v>16</v>
      </c>
      <c r="L14" s="43">
        <v>16</v>
      </c>
      <c r="M14" s="43">
        <v>16</v>
      </c>
      <c r="N14" s="43">
        <v>15</v>
      </c>
      <c r="O14" s="43">
        <v>11</v>
      </c>
      <c r="P14" s="43">
        <v>10</v>
      </c>
      <c r="Q14" s="44">
        <v>10</v>
      </c>
      <c r="R14" s="44">
        <v>4</v>
      </c>
      <c r="S14" s="43">
        <v>6</v>
      </c>
      <c r="T14" s="43">
        <v>3</v>
      </c>
      <c r="U14" s="43">
        <v>3</v>
      </c>
      <c r="V14" s="43">
        <v>3</v>
      </c>
      <c r="W14" s="43">
        <v>1</v>
      </c>
      <c r="X14" s="43">
        <v>1</v>
      </c>
      <c r="Y14" s="43">
        <v>2</v>
      </c>
      <c r="Z14" s="43">
        <v>2</v>
      </c>
      <c r="AA14" s="43">
        <v>2</v>
      </c>
      <c r="AB14" s="43">
        <f>1+1</f>
        <v>2</v>
      </c>
      <c r="AC14" s="43"/>
      <c r="AD14" s="43"/>
      <c r="AE14" s="43"/>
      <c r="AF14" s="28"/>
      <c r="AG14" s="28"/>
      <c r="AH14" s="28"/>
      <c r="AI14" s="28"/>
      <c r="AJ14" s="28"/>
      <c r="AK14" s="28"/>
      <c r="AL14" s="28"/>
      <c r="AM14" s="28">
        <v>1</v>
      </c>
      <c r="AN14" s="1">
        <v>1</v>
      </c>
      <c r="AO14" s="29"/>
      <c r="AP14" s="29"/>
    </row>
    <row r="15" spans="1:257" ht="15.95" customHeight="1" x14ac:dyDescent="0.25">
      <c r="A15" s="2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O15" s="29"/>
      <c r="AP15" s="29"/>
    </row>
    <row r="16" spans="1:257" ht="15.95" customHeight="1" x14ac:dyDescent="0.25">
      <c r="A16" s="36" t="s">
        <v>4</v>
      </c>
      <c r="B16" s="37">
        <f t="shared" ref="B16:AB16" si="10">SUM(B18:B22)+B24+B26+B31+B36</f>
        <v>299</v>
      </c>
      <c r="C16" s="37">
        <f t="shared" si="10"/>
        <v>260</v>
      </c>
      <c r="D16" s="37">
        <f t="shared" si="10"/>
        <v>595</v>
      </c>
      <c r="E16" s="37">
        <f t="shared" si="10"/>
        <v>663</v>
      </c>
      <c r="F16" s="37">
        <f t="shared" si="10"/>
        <v>721</v>
      </c>
      <c r="G16" s="37">
        <f t="shared" si="10"/>
        <v>757</v>
      </c>
      <c r="H16" s="37">
        <f t="shared" si="10"/>
        <v>801</v>
      </c>
      <c r="I16" s="37">
        <f t="shared" si="10"/>
        <v>870</v>
      </c>
      <c r="J16" s="37">
        <f t="shared" si="10"/>
        <v>918</v>
      </c>
      <c r="K16" s="37">
        <f t="shared" si="10"/>
        <v>825</v>
      </c>
      <c r="L16" s="37">
        <f t="shared" si="10"/>
        <v>866</v>
      </c>
      <c r="M16" s="37">
        <f t="shared" si="10"/>
        <v>856</v>
      </c>
      <c r="N16" s="37">
        <f t="shared" si="10"/>
        <v>979</v>
      </c>
      <c r="O16" s="37">
        <f t="shared" si="10"/>
        <v>1013</v>
      </c>
      <c r="P16" s="37">
        <f t="shared" si="10"/>
        <v>1017</v>
      </c>
      <c r="Q16" s="37">
        <f t="shared" si="10"/>
        <v>939</v>
      </c>
      <c r="R16" s="37">
        <f t="shared" si="10"/>
        <v>1044</v>
      </c>
      <c r="S16" s="37">
        <f t="shared" si="10"/>
        <v>979</v>
      </c>
      <c r="T16" s="37">
        <f t="shared" si="10"/>
        <v>951</v>
      </c>
      <c r="U16" s="37">
        <f t="shared" si="10"/>
        <v>1007</v>
      </c>
      <c r="V16" s="37">
        <f t="shared" si="10"/>
        <v>1000</v>
      </c>
      <c r="W16" s="37">
        <f t="shared" si="10"/>
        <v>1067</v>
      </c>
      <c r="X16" s="37">
        <f t="shared" si="10"/>
        <v>1104</v>
      </c>
      <c r="Y16" s="37">
        <f t="shared" si="10"/>
        <v>1027</v>
      </c>
      <c r="Z16" s="37">
        <f t="shared" si="10"/>
        <v>975</v>
      </c>
      <c r="AA16" s="37">
        <f t="shared" si="10"/>
        <v>1043</v>
      </c>
      <c r="AB16" s="37">
        <f t="shared" si="10"/>
        <v>1050</v>
      </c>
      <c r="AC16" s="37">
        <f>SUM(AC18:AC22)+AC24+AC26+AC31+AC36</f>
        <v>1146</v>
      </c>
      <c r="AD16" s="37">
        <f t="shared" ref="AD16:AK16" si="11">SUM(AD18:AD22)+AD24+AD26+AD31+AD36</f>
        <v>1218</v>
      </c>
      <c r="AE16" s="37">
        <f t="shared" si="11"/>
        <v>1250</v>
      </c>
      <c r="AF16" s="37">
        <f t="shared" si="11"/>
        <v>1338</v>
      </c>
      <c r="AG16" s="37">
        <f t="shared" si="11"/>
        <v>1385</v>
      </c>
      <c r="AH16" s="37">
        <f t="shared" si="11"/>
        <v>1350</v>
      </c>
      <c r="AI16" s="37">
        <f t="shared" si="11"/>
        <v>1348</v>
      </c>
      <c r="AJ16" s="37">
        <f t="shared" si="11"/>
        <v>1353</v>
      </c>
      <c r="AK16" s="37">
        <f t="shared" si="11"/>
        <v>1416</v>
      </c>
      <c r="AL16" s="37">
        <f t="shared" ref="AL16:AM16" si="12">SUM(AL18:AL22)+AL24+AL26+AL31+AL36</f>
        <v>1426</v>
      </c>
      <c r="AM16" s="37">
        <f t="shared" si="12"/>
        <v>1466</v>
      </c>
      <c r="AN16" s="38">
        <f t="shared" ref="AN16" si="13">SUM(AN18:AN22)+AN24+AN26+AN31+AN36</f>
        <v>1455</v>
      </c>
      <c r="AO16" s="39">
        <f>SUM(AO18:AO22)+AO24+AO26+AO31+AO36</f>
        <v>1553</v>
      </c>
      <c r="AP16" s="39">
        <f>SUM(AP18:AP22)+AP24+AP26+AP31+AP36</f>
        <v>1531</v>
      </c>
    </row>
    <row r="17" spans="1:257" ht="15.95" customHeight="1" x14ac:dyDescent="0.25">
      <c r="A17" s="2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8"/>
      <c r="AG17" s="28"/>
      <c r="AH17" s="28"/>
      <c r="AI17" s="28"/>
      <c r="AJ17" s="28"/>
      <c r="AK17" s="28"/>
      <c r="AL17" s="28"/>
      <c r="AM17" s="28"/>
      <c r="AO17" s="29"/>
      <c r="AP17" s="29"/>
    </row>
    <row r="18" spans="1:257" s="4" customFormat="1" ht="15.95" customHeight="1" x14ac:dyDescent="0.25">
      <c r="A18" s="45" t="s">
        <v>5</v>
      </c>
      <c r="B18" s="46">
        <f>SUM(B19:B22)</f>
        <v>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>
        <v>27</v>
      </c>
      <c r="R18" s="47">
        <v>39</v>
      </c>
      <c r="S18" s="46">
        <v>24</v>
      </c>
      <c r="T18" s="46">
        <v>6</v>
      </c>
      <c r="U18" s="46">
        <v>6</v>
      </c>
      <c r="V18" s="46">
        <v>20</v>
      </c>
      <c r="W18" s="46">
        <v>6</v>
      </c>
      <c r="X18" s="46">
        <v>15</v>
      </c>
      <c r="Y18" s="46">
        <v>20</v>
      </c>
      <c r="Z18" s="46">
        <v>13</v>
      </c>
      <c r="AA18" s="46">
        <f>4+9</f>
        <v>13</v>
      </c>
      <c r="AB18" s="46">
        <f>6+12</f>
        <v>18</v>
      </c>
      <c r="AC18" s="46">
        <f>7+6</f>
        <v>13</v>
      </c>
      <c r="AD18" s="46">
        <f>5+7</f>
        <v>12</v>
      </c>
      <c r="AE18" s="46">
        <f>3+5</f>
        <v>8</v>
      </c>
      <c r="AF18" s="27">
        <v>6</v>
      </c>
      <c r="AG18" s="27">
        <f>2+4</f>
        <v>6</v>
      </c>
      <c r="AH18" s="27">
        <f>1+4</f>
        <v>5</v>
      </c>
      <c r="AI18" s="27">
        <f>1+6</f>
        <v>7</v>
      </c>
      <c r="AJ18" s="27">
        <f>1+4</f>
        <v>5</v>
      </c>
      <c r="AK18" s="27">
        <f>1+3</f>
        <v>4</v>
      </c>
      <c r="AL18" s="27">
        <f>1+3</f>
        <v>4</v>
      </c>
      <c r="AM18" s="27">
        <f>1+3</f>
        <v>4</v>
      </c>
      <c r="AN18" s="5">
        <v>2</v>
      </c>
      <c r="AO18" s="48">
        <v>2</v>
      </c>
      <c r="AP18" s="48">
        <v>2</v>
      </c>
      <c r="AQ18" s="83"/>
      <c r="IW18" s="49"/>
    </row>
    <row r="19" spans="1:257" s="4" customFormat="1" ht="15.95" customHeight="1" x14ac:dyDescent="0.25">
      <c r="A19" s="45" t="s">
        <v>6</v>
      </c>
      <c r="B19" s="46"/>
      <c r="C19" s="46">
        <v>6</v>
      </c>
      <c r="D19" s="46">
        <v>12</v>
      </c>
      <c r="E19" s="46">
        <v>17</v>
      </c>
      <c r="F19" s="46">
        <v>19</v>
      </c>
      <c r="G19" s="46">
        <v>20</v>
      </c>
      <c r="H19" s="46">
        <v>26</v>
      </c>
      <c r="I19" s="46">
        <v>29</v>
      </c>
      <c r="J19" s="46">
        <v>26</v>
      </c>
      <c r="K19" s="46">
        <v>32</v>
      </c>
      <c r="L19" s="46">
        <v>16</v>
      </c>
      <c r="M19" s="46">
        <v>18</v>
      </c>
      <c r="N19" s="46">
        <v>25</v>
      </c>
      <c r="O19" s="46">
        <v>29</v>
      </c>
      <c r="P19" s="46">
        <v>32</v>
      </c>
      <c r="Q19" s="47"/>
      <c r="R19" s="47"/>
      <c r="S19" s="46"/>
      <c r="T19" s="46"/>
      <c r="U19" s="46"/>
      <c r="V19" s="46"/>
      <c r="W19" s="34">
        <v>15</v>
      </c>
      <c r="X19" s="34"/>
      <c r="Y19" s="46"/>
      <c r="Z19" s="46"/>
      <c r="AA19" s="46"/>
      <c r="AB19" s="46"/>
      <c r="AC19" s="46"/>
      <c r="AD19" s="46"/>
      <c r="AE19" s="46"/>
      <c r="AF19" s="27"/>
      <c r="AG19" s="27"/>
      <c r="AH19" s="27"/>
      <c r="AI19" s="27"/>
      <c r="AJ19" s="27"/>
      <c r="AK19" s="27"/>
      <c r="AL19" s="27"/>
      <c r="AM19" s="27"/>
      <c r="AN19" s="5"/>
      <c r="AO19" s="48"/>
      <c r="AP19" s="48"/>
      <c r="AQ19" s="83"/>
      <c r="IW19" s="49"/>
    </row>
    <row r="20" spans="1:257" s="4" customFormat="1" ht="15.95" customHeight="1" x14ac:dyDescent="0.25">
      <c r="A20" s="45" t="s">
        <v>7</v>
      </c>
      <c r="B20" s="46"/>
      <c r="C20" s="46">
        <v>4</v>
      </c>
      <c r="D20" s="46">
        <v>6</v>
      </c>
      <c r="E20" s="46">
        <v>7</v>
      </c>
      <c r="F20" s="46">
        <v>7</v>
      </c>
      <c r="G20" s="46">
        <v>6</v>
      </c>
      <c r="H20" s="46"/>
      <c r="I20" s="46"/>
      <c r="J20" s="46"/>
      <c r="K20" s="46">
        <v>6</v>
      </c>
      <c r="L20" s="46">
        <v>4</v>
      </c>
      <c r="M20" s="46">
        <v>3</v>
      </c>
      <c r="N20" s="46">
        <v>2</v>
      </c>
      <c r="O20" s="46"/>
      <c r="P20" s="46"/>
      <c r="Q20" s="47"/>
      <c r="R20" s="47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27"/>
      <c r="AG20" s="27"/>
      <c r="AH20" s="27"/>
      <c r="AI20" s="27"/>
      <c r="AJ20" s="27"/>
      <c r="AK20" s="27"/>
      <c r="AL20" s="27"/>
      <c r="AM20" s="27"/>
      <c r="AN20" s="5"/>
      <c r="AO20" s="48"/>
      <c r="AP20" s="48"/>
      <c r="AQ20" s="83"/>
      <c r="IW20" s="49"/>
    </row>
    <row r="21" spans="1:257" s="4" customFormat="1" ht="15.95" customHeight="1" x14ac:dyDescent="0.25">
      <c r="A21" s="45" t="s">
        <v>8</v>
      </c>
      <c r="B21" s="46"/>
      <c r="C21" s="46">
        <v>3</v>
      </c>
      <c r="D21" s="46">
        <v>4</v>
      </c>
      <c r="E21" s="46">
        <v>5</v>
      </c>
      <c r="F21" s="46">
        <v>3</v>
      </c>
      <c r="G21" s="46"/>
      <c r="H21" s="46"/>
      <c r="I21" s="46"/>
      <c r="J21" s="46"/>
      <c r="K21" s="46">
        <v>4</v>
      </c>
      <c r="L21" s="46">
        <v>4</v>
      </c>
      <c r="M21" s="46">
        <v>2</v>
      </c>
      <c r="N21" s="46"/>
      <c r="O21" s="46"/>
      <c r="P21" s="46"/>
      <c r="Q21" s="47"/>
      <c r="R21" s="47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27"/>
      <c r="AG21" s="27"/>
      <c r="AH21" s="27"/>
      <c r="AI21" s="27"/>
      <c r="AJ21" s="27"/>
      <c r="AK21" s="27"/>
      <c r="AL21" s="27"/>
      <c r="AM21" s="27"/>
      <c r="AN21" s="5"/>
      <c r="AO21" s="48"/>
      <c r="AP21" s="48"/>
      <c r="AQ21" s="83"/>
      <c r="IW21" s="49"/>
    </row>
    <row r="22" spans="1:257" s="4" customFormat="1" ht="15.95" customHeight="1" x14ac:dyDescent="0.25">
      <c r="A22" s="45" t="s">
        <v>9</v>
      </c>
      <c r="B22" s="46"/>
      <c r="C22" s="46">
        <v>2</v>
      </c>
      <c r="D22" s="46">
        <v>2</v>
      </c>
      <c r="E22" s="46">
        <v>1</v>
      </c>
      <c r="F22" s="46"/>
      <c r="G22" s="46">
        <v>6</v>
      </c>
      <c r="H22" s="46"/>
      <c r="I22" s="46"/>
      <c r="J22" s="46"/>
      <c r="K22" s="46">
        <v>6</v>
      </c>
      <c r="L22" s="46"/>
      <c r="M22" s="46"/>
      <c r="N22" s="46"/>
      <c r="O22" s="46"/>
      <c r="P22" s="46"/>
      <c r="Q22" s="47"/>
      <c r="R22" s="47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27"/>
      <c r="AG22" s="27"/>
      <c r="AH22" s="27"/>
      <c r="AI22" s="27"/>
      <c r="AJ22" s="27"/>
      <c r="AK22" s="27"/>
      <c r="AL22" s="27"/>
      <c r="AM22" s="27"/>
      <c r="AN22" s="5"/>
      <c r="AO22" s="48"/>
      <c r="AP22" s="48"/>
      <c r="AQ22" s="83"/>
      <c r="IW22" s="49"/>
    </row>
    <row r="23" spans="1:257" ht="15.95" customHeight="1" x14ac:dyDescent="0.25">
      <c r="A23" s="2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47"/>
      <c r="R23" s="4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O23" s="29"/>
      <c r="AP23" s="29"/>
    </row>
    <row r="24" spans="1:257" ht="15.95" customHeight="1" x14ac:dyDescent="0.25">
      <c r="A24" s="45" t="s">
        <v>10</v>
      </c>
      <c r="B24" s="46">
        <v>144</v>
      </c>
      <c r="C24" s="46">
        <v>116</v>
      </c>
      <c r="D24" s="46">
        <v>150</v>
      </c>
      <c r="E24" s="46">
        <v>141</v>
      </c>
      <c r="F24" s="46">
        <v>164</v>
      </c>
      <c r="G24" s="46">
        <v>175</v>
      </c>
      <c r="H24" s="46">
        <v>230</v>
      </c>
      <c r="I24" s="46">
        <v>259</v>
      </c>
      <c r="J24" s="46">
        <v>253</v>
      </c>
      <c r="K24" s="46">
        <v>203</v>
      </c>
      <c r="L24" s="46">
        <v>204</v>
      </c>
      <c r="M24" s="46">
        <v>277</v>
      </c>
      <c r="N24" s="46">
        <v>277</v>
      </c>
      <c r="O24" s="46">
        <v>285</v>
      </c>
      <c r="P24" s="46">
        <v>310</v>
      </c>
      <c r="Q24" s="47">
        <v>249</v>
      </c>
      <c r="R24" s="47">
        <v>280</v>
      </c>
      <c r="S24" s="46">
        <v>249</v>
      </c>
      <c r="T24" s="46">
        <v>275</v>
      </c>
      <c r="U24" s="46">
        <v>283</v>
      </c>
      <c r="V24" s="46">
        <v>236</v>
      </c>
      <c r="W24" s="46">
        <v>259</v>
      </c>
      <c r="X24" s="46">
        <v>260</v>
      </c>
      <c r="Y24" s="46">
        <v>229</v>
      </c>
      <c r="Z24" s="46">
        <v>235</v>
      </c>
      <c r="AA24" s="46">
        <f>59+186</f>
        <v>245</v>
      </c>
      <c r="AB24" s="46">
        <f>62+191</f>
        <v>253</v>
      </c>
      <c r="AC24" s="46">
        <v>270</v>
      </c>
      <c r="AD24" s="46">
        <f>220+88</f>
        <v>308</v>
      </c>
      <c r="AE24" s="46">
        <f>243+118</f>
        <v>361</v>
      </c>
      <c r="AF24" s="46">
        <v>383</v>
      </c>
      <c r="AG24" s="46">
        <f>290+140</f>
        <v>430</v>
      </c>
      <c r="AH24" s="46">
        <f>288+144</f>
        <v>432</v>
      </c>
      <c r="AI24" s="46">
        <f>270+152</f>
        <v>422</v>
      </c>
      <c r="AJ24" s="46">
        <f>274+158</f>
        <v>432</v>
      </c>
      <c r="AK24" s="46">
        <f>284+201</f>
        <v>485</v>
      </c>
      <c r="AL24" s="46">
        <f>297+220</f>
        <v>517</v>
      </c>
      <c r="AM24" s="46">
        <f>321+227</f>
        <v>548</v>
      </c>
      <c r="AN24" s="50">
        <v>572</v>
      </c>
      <c r="AO24" s="51">
        <v>669</v>
      </c>
      <c r="AP24" s="51">
        <f>380+276</f>
        <v>656</v>
      </c>
    </row>
    <row r="25" spans="1:257" ht="15.95" customHeight="1" x14ac:dyDescent="0.25">
      <c r="A25" s="2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47"/>
      <c r="R25" s="47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28"/>
      <c r="AG25" s="28"/>
      <c r="AH25" s="28"/>
      <c r="AI25" s="28"/>
      <c r="AJ25" s="28"/>
      <c r="AK25" s="28"/>
      <c r="AL25" s="28"/>
      <c r="AM25" s="28"/>
      <c r="AO25" s="29"/>
      <c r="AP25" s="29"/>
    </row>
    <row r="26" spans="1:257" ht="15.95" customHeight="1" x14ac:dyDescent="0.25">
      <c r="A26" s="45" t="s">
        <v>11</v>
      </c>
      <c r="B26" s="46">
        <f t="shared" ref="B26:AC26" si="14">SUM(B27:B29)</f>
        <v>38</v>
      </c>
      <c r="C26" s="46">
        <f t="shared" si="14"/>
        <v>25</v>
      </c>
      <c r="D26" s="46">
        <f t="shared" si="14"/>
        <v>240</v>
      </c>
      <c r="E26" s="46">
        <f t="shared" si="14"/>
        <v>283</v>
      </c>
      <c r="F26" s="46">
        <f t="shared" si="14"/>
        <v>305</v>
      </c>
      <c r="G26" s="46">
        <f t="shared" si="14"/>
        <v>353</v>
      </c>
      <c r="H26" s="46">
        <f t="shared" si="14"/>
        <v>364</v>
      </c>
      <c r="I26" s="46">
        <f t="shared" si="14"/>
        <v>395</v>
      </c>
      <c r="J26" s="46">
        <f t="shared" si="14"/>
        <v>398</v>
      </c>
      <c r="K26" s="46">
        <f t="shared" si="14"/>
        <v>374</v>
      </c>
      <c r="L26" s="46">
        <f t="shared" si="14"/>
        <v>406</v>
      </c>
      <c r="M26" s="46">
        <f t="shared" si="14"/>
        <v>394</v>
      </c>
      <c r="N26" s="46">
        <f t="shared" si="14"/>
        <v>469</v>
      </c>
      <c r="O26" s="46">
        <f t="shared" si="14"/>
        <v>502</v>
      </c>
      <c r="P26" s="46">
        <f t="shared" si="14"/>
        <v>487</v>
      </c>
      <c r="Q26" s="47">
        <f t="shared" si="14"/>
        <v>525</v>
      </c>
      <c r="R26" s="47">
        <f t="shared" si="14"/>
        <v>591</v>
      </c>
      <c r="S26" s="46">
        <f t="shared" si="14"/>
        <v>591</v>
      </c>
      <c r="T26" s="46">
        <f t="shared" si="14"/>
        <v>577</v>
      </c>
      <c r="U26" s="46">
        <f t="shared" si="14"/>
        <v>626</v>
      </c>
      <c r="V26" s="46">
        <f t="shared" si="14"/>
        <v>667</v>
      </c>
      <c r="W26" s="46">
        <f t="shared" si="14"/>
        <v>719</v>
      </c>
      <c r="X26" s="46">
        <f t="shared" si="14"/>
        <v>766</v>
      </c>
      <c r="Y26" s="46">
        <f t="shared" si="14"/>
        <v>738</v>
      </c>
      <c r="Z26" s="46">
        <f t="shared" si="14"/>
        <v>691</v>
      </c>
      <c r="AA26" s="46">
        <f t="shared" si="14"/>
        <v>738</v>
      </c>
      <c r="AB26" s="46">
        <f t="shared" si="14"/>
        <v>742</v>
      </c>
      <c r="AC26" s="46">
        <f t="shared" si="14"/>
        <v>820</v>
      </c>
      <c r="AD26" s="46">
        <f t="shared" ref="AD26:AK26" si="15">SUM(AD27:AD29)</f>
        <v>862</v>
      </c>
      <c r="AE26" s="46">
        <f t="shared" si="15"/>
        <v>847</v>
      </c>
      <c r="AF26" s="46">
        <f t="shared" si="15"/>
        <v>908</v>
      </c>
      <c r="AG26" s="46">
        <f t="shared" si="15"/>
        <v>917</v>
      </c>
      <c r="AH26" s="46">
        <f t="shared" si="15"/>
        <v>888</v>
      </c>
      <c r="AI26" s="46">
        <f t="shared" si="15"/>
        <v>881</v>
      </c>
      <c r="AJ26" s="46">
        <f t="shared" si="15"/>
        <v>881</v>
      </c>
      <c r="AK26" s="46">
        <f t="shared" si="15"/>
        <v>893</v>
      </c>
      <c r="AL26" s="46">
        <f t="shared" ref="AL26:AM26" si="16">SUM(AL27:AL29)</f>
        <v>876</v>
      </c>
      <c r="AM26" s="46">
        <f t="shared" si="16"/>
        <v>871</v>
      </c>
      <c r="AN26" s="50">
        <f t="shared" ref="AN26:AO26" si="17">SUM(AN27:AN29)</f>
        <v>847</v>
      </c>
      <c r="AO26" s="51">
        <f t="shared" si="17"/>
        <v>833</v>
      </c>
      <c r="AP26" s="51">
        <f>SUM(AP27:AP29)</f>
        <v>834</v>
      </c>
    </row>
    <row r="27" spans="1:257" ht="15.95" customHeight="1" x14ac:dyDescent="0.25">
      <c r="A27" s="52" t="s">
        <v>12</v>
      </c>
      <c r="B27" s="53">
        <v>6</v>
      </c>
      <c r="C27" s="53">
        <v>8</v>
      </c>
      <c r="D27" s="53">
        <v>35</v>
      </c>
      <c r="E27" s="53">
        <v>66</v>
      </c>
      <c r="F27" s="53">
        <v>74</v>
      </c>
      <c r="G27" s="53">
        <v>72</v>
      </c>
      <c r="H27" s="53">
        <v>98</v>
      </c>
      <c r="I27" s="53">
        <v>96</v>
      </c>
      <c r="J27" s="53">
        <v>89</v>
      </c>
      <c r="K27" s="53">
        <v>78</v>
      </c>
      <c r="L27" s="53">
        <v>72</v>
      </c>
      <c r="M27" s="53">
        <v>72</v>
      </c>
      <c r="N27" s="53">
        <v>78</v>
      </c>
      <c r="O27" s="53">
        <v>79</v>
      </c>
      <c r="P27" s="53">
        <v>74</v>
      </c>
      <c r="Q27" s="54">
        <v>49</v>
      </c>
      <c r="R27" s="54">
        <v>54</v>
      </c>
      <c r="S27" s="53">
        <v>54</v>
      </c>
      <c r="T27" s="53">
        <v>59</v>
      </c>
      <c r="U27" s="53">
        <v>65</v>
      </c>
      <c r="V27" s="53">
        <v>72</v>
      </c>
      <c r="W27" s="43">
        <v>64</v>
      </c>
      <c r="X27" s="43">
        <v>68</v>
      </c>
      <c r="Y27" s="53">
        <v>65</v>
      </c>
      <c r="Z27" s="53">
        <v>63</v>
      </c>
      <c r="AA27" s="53">
        <f>37+30</f>
        <v>67</v>
      </c>
      <c r="AB27" s="53">
        <f>40+29</f>
        <v>69</v>
      </c>
      <c r="AC27" s="53">
        <f>44+32</f>
        <v>76</v>
      </c>
      <c r="AD27" s="53">
        <f>38+38</f>
        <v>76</v>
      </c>
      <c r="AE27" s="53">
        <f>38+43</f>
        <v>81</v>
      </c>
      <c r="AF27" s="28">
        <v>91</v>
      </c>
      <c r="AG27" s="28">
        <f>45+42</f>
        <v>87</v>
      </c>
      <c r="AH27" s="28">
        <f>43+46</f>
        <v>89</v>
      </c>
      <c r="AI27" s="28">
        <f>37+42</f>
        <v>79</v>
      </c>
      <c r="AJ27" s="28">
        <f>38+41</f>
        <v>79</v>
      </c>
      <c r="AK27" s="28">
        <f>38+45</f>
        <v>83</v>
      </c>
      <c r="AL27" s="28">
        <f>44+47</f>
        <v>91</v>
      </c>
      <c r="AM27" s="28">
        <f>43+49</f>
        <v>92</v>
      </c>
      <c r="AN27" s="1">
        <v>88</v>
      </c>
      <c r="AO27" s="29">
        <v>96</v>
      </c>
      <c r="AP27" s="29">
        <f>44+51</f>
        <v>95</v>
      </c>
    </row>
    <row r="28" spans="1:257" ht="15.95" customHeight="1" x14ac:dyDescent="0.25">
      <c r="A28" s="52" t="s">
        <v>13</v>
      </c>
      <c r="B28" s="53">
        <v>12</v>
      </c>
      <c r="C28" s="53">
        <v>7</v>
      </c>
      <c r="D28" s="53">
        <v>35</v>
      </c>
      <c r="E28" s="53">
        <v>45</v>
      </c>
      <c r="F28" s="53">
        <v>60</v>
      </c>
      <c r="G28" s="53">
        <v>81</v>
      </c>
      <c r="H28" s="53">
        <v>74</v>
      </c>
      <c r="I28" s="53">
        <v>71</v>
      </c>
      <c r="J28" s="53">
        <v>56</v>
      </c>
      <c r="K28" s="53">
        <v>49</v>
      </c>
      <c r="L28" s="53">
        <v>45</v>
      </c>
      <c r="M28" s="53">
        <v>23</v>
      </c>
      <c r="N28" s="53">
        <v>21</v>
      </c>
      <c r="O28" s="53">
        <v>22</v>
      </c>
      <c r="P28" s="53">
        <v>20</v>
      </c>
      <c r="Q28" s="54">
        <v>30</v>
      </c>
      <c r="R28" s="54">
        <v>22</v>
      </c>
      <c r="S28" s="53">
        <v>32</v>
      </c>
      <c r="T28" s="53">
        <v>33</v>
      </c>
      <c r="U28" s="53">
        <v>26</v>
      </c>
      <c r="V28" s="53">
        <v>25</v>
      </c>
      <c r="W28" s="53">
        <v>31</v>
      </c>
      <c r="X28" s="53">
        <v>35</v>
      </c>
      <c r="Y28" s="53">
        <v>27</v>
      </c>
      <c r="Z28" s="53">
        <v>25</v>
      </c>
      <c r="AA28" s="53">
        <f>14+8</f>
        <v>22</v>
      </c>
      <c r="AB28" s="53">
        <f>10+16</f>
        <v>26</v>
      </c>
      <c r="AC28" s="53">
        <f>16+7</f>
        <v>23</v>
      </c>
      <c r="AD28" s="53">
        <f>15+8</f>
        <v>23</v>
      </c>
      <c r="AE28" s="53">
        <f>3+9</f>
        <v>12</v>
      </c>
      <c r="AF28" s="28">
        <v>13</v>
      </c>
      <c r="AG28" s="28">
        <f>4+8</f>
        <v>12</v>
      </c>
      <c r="AH28" s="28">
        <f>6+9</f>
        <v>15</v>
      </c>
      <c r="AI28" s="28">
        <f>6+8</f>
        <v>14</v>
      </c>
      <c r="AJ28" s="28">
        <f>3+8</f>
        <v>11</v>
      </c>
      <c r="AK28" s="28">
        <f>6+9</f>
        <v>15</v>
      </c>
      <c r="AL28" s="28">
        <f>7+9</f>
        <v>16</v>
      </c>
      <c r="AM28" s="28">
        <f>7+10</f>
        <v>17</v>
      </c>
      <c r="AN28" s="1">
        <v>16</v>
      </c>
      <c r="AO28" s="29">
        <v>15</v>
      </c>
      <c r="AP28" s="29">
        <f>7+8</f>
        <v>15</v>
      </c>
    </row>
    <row r="29" spans="1:257" ht="15.95" customHeight="1" x14ac:dyDescent="0.25">
      <c r="A29" s="52" t="s">
        <v>14</v>
      </c>
      <c r="B29" s="53">
        <v>20</v>
      </c>
      <c r="C29" s="53">
        <v>10</v>
      </c>
      <c r="D29" s="53">
        <v>170</v>
      </c>
      <c r="E29" s="53">
        <v>172</v>
      </c>
      <c r="F29" s="53">
        <v>171</v>
      </c>
      <c r="G29" s="53">
        <v>200</v>
      </c>
      <c r="H29" s="53">
        <v>192</v>
      </c>
      <c r="I29" s="53">
        <v>228</v>
      </c>
      <c r="J29" s="53">
        <v>253</v>
      </c>
      <c r="K29" s="53">
        <v>247</v>
      </c>
      <c r="L29" s="53">
        <v>289</v>
      </c>
      <c r="M29" s="53">
        <v>299</v>
      </c>
      <c r="N29" s="53">
        <v>370</v>
      </c>
      <c r="O29" s="53">
        <v>401</v>
      </c>
      <c r="P29" s="53">
        <v>393</v>
      </c>
      <c r="Q29" s="54">
        <v>446</v>
      </c>
      <c r="R29" s="54">
        <v>515</v>
      </c>
      <c r="S29" s="53">
        <v>505</v>
      </c>
      <c r="T29" s="53">
        <v>485</v>
      </c>
      <c r="U29" s="53">
        <v>535</v>
      </c>
      <c r="V29" s="53">
        <v>570</v>
      </c>
      <c r="W29" s="53">
        <v>624</v>
      </c>
      <c r="X29" s="53">
        <v>663</v>
      </c>
      <c r="Y29" s="53">
        <v>646</v>
      </c>
      <c r="Z29" s="53">
        <v>603</v>
      </c>
      <c r="AA29" s="53">
        <f>413+236</f>
        <v>649</v>
      </c>
      <c r="AB29" s="53">
        <f>408+239</f>
        <v>647</v>
      </c>
      <c r="AC29" s="53">
        <f>266+455</f>
        <v>721</v>
      </c>
      <c r="AD29" s="53">
        <f>494+269</f>
        <v>763</v>
      </c>
      <c r="AE29" s="53">
        <f>274+480</f>
        <v>754</v>
      </c>
      <c r="AF29" s="28">
        <v>804</v>
      </c>
      <c r="AG29" s="28">
        <f>278+540</f>
        <v>818</v>
      </c>
      <c r="AH29" s="28">
        <f>272+512</f>
        <v>784</v>
      </c>
      <c r="AI29" s="28">
        <f>277+511</f>
        <v>788</v>
      </c>
      <c r="AJ29" s="28">
        <f>284+507</f>
        <v>791</v>
      </c>
      <c r="AK29" s="28">
        <f>307+488</f>
        <v>795</v>
      </c>
      <c r="AL29" s="28">
        <f>299+470</f>
        <v>769</v>
      </c>
      <c r="AM29" s="28">
        <f>297+465</f>
        <v>762</v>
      </c>
      <c r="AN29" s="1">
        <v>743</v>
      </c>
      <c r="AO29" s="29">
        <v>722</v>
      </c>
      <c r="AP29" s="29">
        <f>311+413</f>
        <v>724</v>
      </c>
    </row>
    <row r="30" spans="1:257" ht="15.95" customHeight="1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7"/>
      <c r="R30" s="47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28"/>
      <c r="AG30" s="28"/>
      <c r="AH30" s="28"/>
      <c r="AI30" s="28"/>
      <c r="AJ30" s="28"/>
      <c r="AK30" s="28"/>
      <c r="AL30" s="28"/>
      <c r="AM30" s="28"/>
      <c r="AO30" s="29"/>
      <c r="AP30" s="29"/>
    </row>
    <row r="31" spans="1:257" ht="15.95" customHeight="1" x14ac:dyDescent="0.25">
      <c r="A31" s="45" t="s">
        <v>11</v>
      </c>
      <c r="B31" s="46">
        <f t="shared" ref="B31:AC31" si="18">SUM(B32:B34)</f>
        <v>98</v>
      </c>
      <c r="C31" s="46">
        <f t="shared" si="18"/>
        <v>94</v>
      </c>
      <c r="D31" s="46">
        <f t="shared" si="18"/>
        <v>153</v>
      </c>
      <c r="E31" s="46">
        <f t="shared" si="18"/>
        <v>190</v>
      </c>
      <c r="F31" s="46">
        <f t="shared" si="18"/>
        <v>201</v>
      </c>
      <c r="G31" s="46">
        <f t="shared" si="18"/>
        <v>172</v>
      </c>
      <c r="H31" s="46">
        <f t="shared" si="18"/>
        <v>181</v>
      </c>
      <c r="I31" s="46">
        <f t="shared" si="18"/>
        <v>187</v>
      </c>
      <c r="J31" s="46">
        <f t="shared" si="18"/>
        <v>241</v>
      </c>
      <c r="K31" s="46">
        <f t="shared" si="18"/>
        <v>182</v>
      </c>
      <c r="L31" s="46">
        <f t="shared" si="18"/>
        <v>213</v>
      </c>
      <c r="M31" s="46">
        <f t="shared" si="18"/>
        <v>162</v>
      </c>
      <c r="N31" s="46">
        <f t="shared" si="18"/>
        <v>206</v>
      </c>
      <c r="O31" s="46">
        <f t="shared" si="18"/>
        <v>197</v>
      </c>
      <c r="P31" s="46">
        <f t="shared" si="18"/>
        <v>188</v>
      </c>
      <c r="Q31" s="47">
        <f t="shared" si="18"/>
        <v>138</v>
      </c>
      <c r="R31" s="47">
        <f t="shared" si="18"/>
        <v>134</v>
      </c>
      <c r="S31" s="46">
        <f t="shared" si="18"/>
        <v>115</v>
      </c>
      <c r="T31" s="46">
        <f t="shared" si="18"/>
        <v>93</v>
      </c>
      <c r="U31" s="46">
        <f t="shared" si="18"/>
        <v>92</v>
      </c>
      <c r="V31" s="46">
        <f t="shared" si="18"/>
        <v>77</v>
      </c>
      <c r="W31" s="46">
        <f t="shared" si="18"/>
        <v>68</v>
      </c>
      <c r="X31" s="46">
        <f t="shared" si="18"/>
        <v>63</v>
      </c>
      <c r="Y31" s="46">
        <f t="shared" si="18"/>
        <v>40</v>
      </c>
      <c r="Z31" s="46">
        <f t="shared" si="18"/>
        <v>36</v>
      </c>
      <c r="AA31" s="46">
        <f t="shared" si="18"/>
        <v>47</v>
      </c>
      <c r="AB31" s="46">
        <f t="shared" si="18"/>
        <v>37</v>
      </c>
      <c r="AC31" s="46">
        <f t="shared" si="18"/>
        <v>43</v>
      </c>
      <c r="AD31" s="46">
        <f t="shared" ref="AD31:AK31" si="19">SUM(AD32:AD34)</f>
        <v>36</v>
      </c>
      <c r="AE31" s="46">
        <f t="shared" si="19"/>
        <v>34</v>
      </c>
      <c r="AF31" s="46">
        <f t="shared" si="19"/>
        <v>41</v>
      </c>
      <c r="AG31" s="46">
        <f t="shared" si="19"/>
        <v>32</v>
      </c>
      <c r="AH31" s="46">
        <f t="shared" si="19"/>
        <v>25</v>
      </c>
      <c r="AI31" s="46">
        <f t="shared" si="19"/>
        <v>38</v>
      </c>
      <c r="AJ31" s="46">
        <f t="shared" si="19"/>
        <v>35</v>
      </c>
      <c r="AK31" s="46">
        <f t="shared" si="19"/>
        <v>34</v>
      </c>
      <c r="AL31" s="46">
        <f t="shared" ref="AL31:AM31" si="20">SUM(AL32:AL34)</f>
        <v>29</v>
      </c>
      <c r="AM31" s="46">
        <f t="shared" si="20"/>
        <v>43</v>
      </c>
      <c r="AN31" s="50">
        <f t="shared" ref="AN31:AO31" si="21">SUM(AN32:AN34)</f>
        <v>34</v>
      </c>
      <c r="AO31" s="51">
        <f t="shared" si="21"/>
        <v>49</v>
      </c>
      <c r="AP31" s="51">
        <f>SUM(AP32:AP34)</f>
        <v>39</v>
      </c>
    </row>
    <row r="32" spans="1:257" ht="15.95" customHeight="1" x14ac:dyDescent="0.25">
      <c r="A32" s="52" t="s">
        <v>15</v>
      </c>
      <c r="B32" s="53">
        <v>30</v>
      </c>
      <c r="C32" s="53">
        <v>35</v>
      </c>
      <c r="D32" s="53">
        <v>60</v>
      </c>
      <c r="E32" s="53">
        <v>72</v>
      </c>
      <c r="F32" s="53">
        <v>76</v>
      </c>
      <c r="G32" s="53">
        <v>68</v>
      </c>
      <c r="H32" s="53">
        <v>81</v>
      </c>
      <c r="I32" s="53">
        <v>84</v>
      </c>
      <c r="J32" s="53">
        <v>93</v>
      </c>
      <c r="K32" s="53">
        <v>68</v>
      </c>
      <c r="L32" s="53">
        <v>70</v>
      </c>
      <c r="M32" s="53">
        <v>78</v>
      </c>
      <c r="N32" s="53">
        <v>92</v>
      </c>
      <c r="O32" s="53">
        <v>75</v>
      </c>
      <c r="P32" s="53">
        <v>83</v>
      </c>
      <c r="Q32" s="54">
        <v>73</v>
      </c>
      <c r="R32" s="54">
        <v>78</v>
      </c>
      <c r="S32" s="53">
        <v>68</v>
      </c>
      <c r="T32" s="53">
        <v>61</v>
      </c>
      <c r="U32" s="53">
        <v>45</v>
      </c>
      <c r="V32" s="43">
        <v>35</v>
      </c>
      <c r="W32" s="53">
        <v>33</v>
      </c>
      <c r="X32" s="53">
        <v>30</v>
      </c>
      <c r="Y32" s="53">
        <v>25</v>
      </c>
      <c r="Z32" s="43">
        <v>22</v>
      </c>
      <c r="AA32" s="43">
        <f>14+2</f>
        <v>16</v>
      </c>
      <c r="AB32" s="43">
        <f>2+12</f>
        <v>14</v>
      </c>
      <c r="AC32" s="43">
        <f>13+3</f>
        <v>16</v>
      </c>
      <c r="AD32" s="43">
        <f>14+4</f>
        <v>18</v>
      </c>
      <c r="AE32" s="43">
        <f>4+12</f>
        <v>16</v>
      </c>
      <c r="AF32" s="28">
        <v>17</v>
      </c>
      <c r="AG32" s="28">
        <f>6+6</f>
        <v>12</v>
      </c>
      <c r="AH32" s="28">
        <f>5+8</f>
        <v>13</v>
      </c>
      <c r="AI32" s="28">
        <f>3+9</f>
        <v>12</v>
      </c>
      <c r="AJ32" s="28">
        <f>2+7</f>
        <v>9</v>
      </c>
      <c r="AK32" s="28">
        <f>1+4</f>
        <v>5</v>
      </c>
      <c r="AL32" s="28">
        <v>5</v>
      </c>
      <c r="AM32" s="28">
        <v>4</v>
      </c>
      <c r="AN32" s="1">
        <v>4</v>
      </c>
      <c r="AO32" s="29">
        <v>4</v>
      </c>
      <c r="AP32" s="29">
        <v>2</v>
      </c>
    </row>
    <row r="33" spans="1:257" ht="15.95" customHeight="1" x14ac:dyDescent="0.25">
      <c r="A33" s="52" t="s">
        <v>16</v>
      </c>
      <c r="B33" s="53">
        <v>22</v>
      </c>
      <c r="C33" s="53">
        <v>18</v>
      </c>
      <c r="D33" s="53">
        <v>30</v>
      </c>
      <c r="E33" s="53">
        <v>44</v>
      </c>
      <c r="F33" s="53">
        <v>54</v>
      </c>
      <c r="G33" s="53">
        <v>46</v>
      </c>
      <c r="H33" s="53">
        <v>57</v>
      </c>
      <c r="I33" s="53">
        <v>47</v>
      </c>
      <c r="J33" s="53">
        <v>44</v>
      </c>
      <c r="K33" s="53">
        <v>33</v>
      </c>
      <c r="L33" s="53">
        <v>37</v>
      </c>
      <c r="M33" s="53">
        <v>24</v>
      </c>
      <c r="N33" s="53">
        <v>21</v>
      </c>
      <c r="O33" s="53">
        <v>20</v>
      </c>
      <c r="P33" s="53">
        <v>14</v>
      </c>
      <c r="Q33" s="54">
        <v>22</v>
      </c>
      <c r="R33" s="54">
        <v>14</v>
      </c>
      <c r="S33" s="53">
        <v>11</v>
      </c>
      <c r="T33" s="53">
        <v>3</v>
      </c>
      <c r="U33" s="53">
        <v>6</v>
      </c>
      <c r="V33" s="53">
        <v>5</v>
      </c>
      <c r="W33" s="53">
        <v>6</v>
      </c>
      <c r="X33" s="43">
        <v>3</v>
      </c>
      <c r="Y33" s="43">
        <v>1</v>
      </c>
      <c r="Z33" s="43"/>
      <c r="AA33" s="43">
        <v>1</v>
      </c>
      <c r="AB33" s="43">
        <v>1</v>
      </c>
      <c r="AC33" s="43"/>
      <c r="AD33" s="43"/>
      <c r="AE33" s="43"/>
      <c r="AF33" s="28"/>
      <c r="AG33" s="28"/>
      <c r="AH33" s="28"/>
      <c r="AI33" s="28"/>
      <c r="AJ33" s="28"/>
      <c r="AK33" s="28"/>
      <c r="AL33" s="28"/>
      <c r="AM33" s="28"/>
      <c r="AO33" s="29"/>
      <c r="AP33" s="29"/>
    </row>
    <row r="34" spans="1:257" ht="15.95" customHeight="1" x14ac:dyDescent="0.25">
      <c r="A34" s="52" t="s">
        <v>17</v>
      </c>
      <c r="B34" s="53">
        <v>46</v>
      </c>
      <c r="C34" s="53">
        <v>41</v>
      </c>
      <c r="D34" s="53">
        <v>63</v>
      </c>
      <c r="E34" s="53">
        <v>74</v>
      </c>
      <c r="F34" s="53">
        <v>71</v>
      </c>
      <c r="G34" s="53">
        <v>58</v>
      </c>
      <c r="H34" s="53">
        <v>43</v>
      </c>
      <c r="I34" s="53">
        <v>56</v>
      </c>
      <c r="J34" s="53">
        <v>104</v>
      </c>
      <c r="K34" s="53">
        <v>81</v>
      </c>
      <c r="L34" s="53">
        <v>106</v>
      </c>
      <c r="M34" s="53">
        <v>60</v>
      </c>
      <c r="N34" s="53">
        <v>93</v>
      </c>
      <c r="O34" s="53">
        <v>102</v>
      </c>
      <c r="P34" s="53">
        <v>91</v>
      </c>
      <c r="Q34" s="54">
        <v>43</v>
      </c>
      <c r="R34" s="54">
        <v>42</v>
      </c>
      <c r="S34" s="53">
        <v>36</v>
      </c>
      <c r="T34" s="53">
        <v>29</v>
      </c>
      <c r="U34" s="53">
        <v>41</v>
      </c>
      <c r="V34" s="53">
        <v>37</v>
      </c>
      <c r="W34" s="43">
        <v>29</v>
      </c>
      <c r="X34" s="53">
        <v>30</v>
      </c>
      <c r="Y34" s="53">
        <v>14</v>
      </c>
      <c r="Z34" s="53">
        <v>14</v>
      </c>
      <c r="AA34" s="53">
        <v>30</v>
      </c>
      <c r="AB34" s="53">
        <v>22</v>
      </c>
      <c r="AC34" s="53">
        <v>27</v>
      </c>
      <c r="AD34" s="53">
        <v>18</v>
      </c>
      <c r="AE34" s="53">
        <f>15+3</f>
        <v>18</v>
      </c>
      <c r="AF34" s="28">
        <v>24</v>
      </c>
      <c r="AG34" s="28">
        <f>20</f>
        <v>20</v>
      </c>
      <c r="AH34" s="28">
        <f>11+1</f>
        <v>12</v>
      </c>
      <c r="AI34" s="28">
        <f>25+1</f>
        <v>26</v>
      </c>
      <c r="AJ34" s="28">
        <v>26</v>
      </c>
      <c r="AK34" s="28">
        <f>29</f>
        <v>29</v>
      </c>
      <c r="AL34" s="28">
        <v>24</v>
      </c>
      <c r="AM34" s="28">
        <f>38+1</f>
        <v>39</v>
      </c>
      <c r="AN34" s="1">
        <v>30</v>
      </c>
      <c r="AO34" s="29">
        <v>45</v>
      </c>
      <c r="AP34" s="29">
        <v>37</v>
      </c>
    </row>
    <row r="35" spans="1:257" ht="15.95" customHeight="1" x14ac:dyDescent="0.25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7"/>
      <c r="R35" s="47"/>
      <c r="S35" s="53"/>
      <c r="T35" s="53"/>
      <c r="U35" s="53"/>
      <c r="V35" s="53"/>
      <c r="W35" s="43"/>
      <c r="X35" s="53"/>
      <c r="Y35" s="53"/>
      <c r="Z35" s="53"/>
      <c r="AA35" s="53"/>
      <c r="AB35" s="53"/>
      <c r="AC35" s="53"/>
      <c r="AD35" s="53"/>
      <c r="AE35" s="53"/>
      <c r="AF35" s="28"/>
      <c r="AG35" s="28"/>
      <c r="AH35" s="28"/>
      <c r="AI35" s="28"/>
      <c r="AJ35" s="28"/>
      <c r="AK35" s="28"/>
      <c r="AL35" s="28"/>
      <c r="AM35" s="28"/>
      <c r="AO35" s="29"/>
      <c r="AP35" s="29"/>
    </row>
    <row r="36" spans="1:257" s="60" customFormat="1" ht="15.95" customHeight="1" x14ac:dyDescent="0.25">
      <c r="A36" s="55" t="s">
        <v>18</v>
      </c>
      <c r="B36" s="37">
        <v>19</v>
      </c>
      <c r="C36" s="37">
        <v>10</v>
      </c>
      <c r="D36" s="41">
        <v>28</v>
      </c>
      <c r="E36" s="41">
        <v>19</v>
      </c>
      <c r="F36" s="41">
        <v>22</v>
      </c>
      <c r="G36" s="41">
        <v>25</v>
      </c>
      <c r="H36" s="41"/>
      <c r="I36" s="41"/>
      <c r="J36" s="41"/>
      <c r="K36" s="41">
        <v>18</v>
      </c>
      <c r="L36" s="41">
        <v>19</v>
      </c>
      <c r="M36" s="41"/>
      <c r="N36" s="41"/>
      <c r="O36" s="41"/>
      <c r="P36" s="41"/>
      <c r="Q36" s="37"/>
      <c r="R36" s="37"/>
      <c r="S36" s="41"/>
      <c r="T36" s="41"/>
      <c r="U36" s="41"/>
      <c r="V36" s="41"/>
      <c r="W36" s="56"/>
      <c r="X36" s="41"/>
      <c r="Y36" s="41"/>
      <c r="Z36" s="41"/>
      <c r="AA36" s="41"/>
      <c r="AB36" s="41"/>
      <c r="AC36" s="41"/>
      <c r="AD36" s="41"/>
      <c r="AE36" s="41"/>
      <c r="AF36" s="57"/>
      <c r="AG36" s="57"/>
      <c r="AH36" s="57"/>
      <c r="AI36" s="57"/>
      <c r="AJ36" s="57"/>
      <c r="AK36" s="57"/>
      <c r="AL36" s="57"/>
      <c r="AM36" s="57"/>
      <c r="AN36" s="58"/>
      <c r="AO36" s="59"/>
      <c r="AP36" s="59"/>
      <c r="AQ36" s="84"/>
      <c r="IW36" s="3"/>
    </row>
    <row r="37" spans="1:257" ht="15.95" customHeight="1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7"/>
      <c r="R37" s="47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28"/>
      <c r="AG37" s="28"/>
      <c r="AH37" s="28"/>
      <c r="AI37" s="28"/>
      <c r="AJ37" s="28"/>
      <c r="AK37" s="28"/>
      <c r="AL37" s="28"/>
      <c r="AM37" s="28"/>
      <c r="AO37" s="29"/>
      <c r="AP37" s="29"/>
    </row>
    <row r="38" spans="1:257" ht="15.95" customHeight="1" x14ac:dyDescent="0.25">
      <c r="A38" s="52" t="s">
        <v>19</v>
      </c>
      <c r="B38" s="53">
        <v>40</v>
      </c>
      <c r="C38" s="53">
        <v>16</v>
      </c>
      <c r="D38" s="53">
        <v>37</v>
      </c>
      <c r="E38" s="53">
        <v>38</v>
      </c>
      <c r="F38" s="53">
        <v>37</v>
      </c>
      <c r="G38" s="53">
        <v>64</v>
      </c>
      <c r="H38" s="53">
        <v>98</v>
      </c>
      <c r="I38" s="53">
        <v>65</v>
      </c>
      <c r="J38" s="53">
        <v>74</v>
      </c>
      <c r="K38" s="53"/>
      <c r="L38" s="53">
        <v>58</v>
      </c>
      <c r="M38" s="53">
        <v>24</v>
      </c>
      <c r="N38" s="53">
        <v>35</v>
      </c>
      <c r="O38" s="53">
        <v>40</v>
      </c>
      <c r="P38" s="53">
        <v>14</v>
      </c>
      <c r="Q38" s="54">
        <v>12</v>
      </c>
      <c r="R38" s="54"/>
      <c r="S38" s="53"/>
      <c r="T38" s="53">
        <v>14</v>
      </c>
      <c r="U38" s="53">
        <v>15</v>
      </c>
      <c r="V38" s="53">
        <v>18</v>
      </c>
      <c r="W38" s="53"/>
      <c r="X38" s="53"/>
      <c r="Y38" s="53"/>
      <c r="Z38" s="43"/>
      <c r="AA38" s="43"/>
      <c r="AB38" s="43"/>
      <c r="AC38" s="43"/>
      <c r="AD38" s="43"/>
      <c r="AE38" s="43"/>
      <c r="AF38" s="28"/>
      <c r="AG38" s="28"/>
      <c r="AH38" s="28"/>
      <c r="AI38" s="28"/>
      <c r="AJ38" s="28"/>
      <c r="AK38" s="28"/>
      <c r="AL38" s="28"/>
      <c r="AM38" s="28"/>
      <c r="AO38" s="29"/>
      <c r="AP38" s="29"/>
    </row>
    <row r="39" spans="1:257" ht="12.95" customHeight="1" x14ac:dyDescent="0.2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54"/>
      <c r="S39" s="53"/>
      <c r="T39" s="53"/>
      <c r="U39" s="53"/>
      <c r="V39" s="53"/>
      <c r="W39" s="53"/>
      <c r="X39" s="53"/>
      <c r="Y39" s="53"/>
      <c r="Z39" s="43"/>
      <c r="AA39" s="43"/>
      <c r="AB39" s="43"/>
      <c r="AC39" s="43"/>
      <c r="AD39" s="43"/>
      <c r="AE39" s="43"/>
      <c r="AF39" s="28"/>
      <c r="AG39" s="28"/>
      <c r="AH39" s="28"/>
      <c r="AI39" s="28"/>
      <c r="AJ39" s="28"/>
      <c r="AK39" s="28"/>
      <c r="AL39" s="28"/>
      <c r="AM39" s="28"/>
      <c r="AO39" s="29"/>
      <c r="AP39" s="29"/>
    </row>
    <row r="40" spans="1:257" s="65" customFormat="1" ht="28.5" customHeight="1" x14ac:dyDescent="0.25">
      <c r="A40" s="30" t="s">
        <v>23</v>
      </c>
      <c r="B40" s="61">
        <v>386</v>
      </c>
      <c r="C40" s="61">
        <v>422</v>
      </c>
      <c r="D40" s="61">
        <v>449</v>
      </c>
      <c r="E40" s="61">
        <v>637</v>
      </c>
      <c r="F40" s="61">
        <v>663</v>
      </c>
      <c r="G40" s="61">
        <v>696</v>
      </c>
      <c r="H40" s="61">
        <v>688</v>
      </c>
      <c r="I40" s="61">
        <v>673</v>
      </c>
      <c r="J40" s="61">
        <v>660</v>
      </c>
      <c r="K40" s="61">
        <v>655</v>
      </c>
      <c r="L40" s="61">
        <v>655</v>
      </c>
      <c r="M40" s="61">
        <v>736</v>
      </c>
      <c r="N40" s="61">
        <v>832</v>
      </c>
      <c r="O40" s="61">
        <v>775</v>
      </c>
      <c r="P40" s="31">
        <v>910</v>
      </c>
      <c r="Q40" s="31">
        <v>1058</v>
      </c>
      <c r="R40" s="31">
        <v>1086</v>
      </c>
      <c r="S40" s="31">
        <v>1211</v>
      </c>
      <c r="T40" s="31">
        <v>1306</v>
      </c>
      <c r="U40" s="31">
        <v>1275</v>
      </c>
      <c r="V40" s="31">
        <v>1223</v>
      </c>
      <c r="W40" s="31">
        <v>1200</v>
      </c>
      <c r="X40" s="31">
        <v>1213</v>
      </c>
      <c r="Y40" s="31">
        <v>1229</v>
      </c>
      <c r="Z40" s="62">
        <v>1239</v>
      </c>
      <c r="AA40" s="62">
        <v>1283</v>
      </c>
      <c r="AB40" s="62">
        <v>1272</v>
      </c>
      <c r="AC40" s="62">
        <v>1413</v>
      </c>
      <c r="AD40" s="62">
        <v>1525</v>
      </c>
      <c r="AE40" s="62">
        <v>1620</v>
      </c>
      <c r="AF40" s="62">
        <v>1742</v>
      </c>
      <c r="AG40" s="62">
        <v>1975</v>
      </c>
      <c r="AH40" s="62">
        <v>1878</v>
      </c>
      <c r="AI40" s="62">
        <v>1852</v>
      </c>
      <c r="AJ40" s="62">
        <v>1912</v>
      </c>
      <c r="AK40" s="62">
        <v>1987</v>
      </c>
      <c r="AL40" s="62">
        <v>2026</v>
      </c>
      <c r="AM40" s="62">
        <v>2041</v>
      </c>
      <c r="AN40" s="63">
        <v>2057</v>
      </c>
      <c r="AO40" s="64">
        <v>2012</v>
      </c>
      <c r="AP40" s="64">
        <v>1886</v>
      </c>
      <c r="AQ40" s="85"/>
      <c r="IW40" s="66"/>
    </row>
    <row r="41" spans="1:257" ht="12.9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44"/>
      <c r="AA41" s="44"/>
      <c r="AB41" s="44"/>
      <c r="AC41" s="44"/>
      <c r="AD41" s="44"/>
      <c r="AE41" s="44"/>
      <c r="AF41" s="67"/>
      <c r="AG41" s="67"/>
      <c r="AH41" s="67"/>
      <c r="AI41" s="67"/>
      <c r="AJ41" s="67"/>
      <c r="AK41" s="67"/>
      <c r="AL41" s="67"/>
      <c r="AM41" s="67"/>
      <c r="AN41" s="68"/>
      <c r="AO41" s="69"/>
      <c r="AP41" s="69"/>
    </row>
    <row r="42" spans="1:257" s="65" customFormat="1" ht="30" customHeight="1" x14ac:dyDescent="0.25">
      <c r="A42" s="30" t="s">
        <v>24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>
        <v>29</v>
      </c>
      <c r="N42" s="61">
        <v>29</v>
      </c>
      <c r="O42" s="61">
        <v>30</v>
      </c>
      <c r="P42" s="31">
        <v>37</v>
      </c>
      <c r="Q42" s="31">
        <v>45</v>
      </c>
      <c r="R42" s="31">
        <v>49</v>
      </c>
      <c r="S42" s="31">
        <v>40</v>
      </c>
      <c r="T42" s="31">
        <v>44</v>
      </c>
      <c r="U42" s="31">
        <v>44</v>
      </c>
      <c r="V42" s="31">
        <v>46</v>
      </c>
      <c r="W42" s="31">
        <v>46</v>
      </c>
      <c r="X42" s="31">
        <v>48</v>
      </c>
      <c r="Y42" s="31">
        <v>49</v>
      </c>
      <c r="Z42" s="62">
        <v>54</v>
      </c>
      <c r="AA42" s="62">
        <v>47</v>
      </c>
      <c r="AB42" s="62">
        <v>52</v>
      </c>
      <c r="AC42" s="62">
        <v>56</v>
      </c>
      <c r="AD42" s="62">
        <v>66</v>
      </c>
      <c r="AE42" s="62">
        <v>70</v>
      </c>
      <c r="AF42" s="62">
        <v>81</v>
      </c>
      <c r="AG42" s="62">
        <v>80</v>
      </c>
      <c r="AH42" s="62">
        <v>85</v>
      </c>
      <c r="AI42" s="62">
        <v>104</v>
      </c>
      <c r="AJ42" s="62">
        <v>85</v>
      </c>
      <c r="AK42" s="62">
        <v>93</v>
      </c>
      <c r="AL42" s="62">
        <v>111</v>
      </c>
      <c r="AM42" s="62">
        <v>111</v>
      </c>
      <c r="AN42" s="63">
        <v>112</v>
      </c>
      <c r="AO42" s="64">
        <v>118</v>
      </c>
      <c r="AP42" s="64">
        <v>125</v>
      </c>
      <c r="AQ42" s="85"/>
      <c r="IW42" s="66"/>
    </row>
    <row r="43" spans="1:257" s="77" customFormat="1" ht="12.95" customHeight="1" x14ac:dyDescent="0.2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  <c r="R43" s="72"/>
      <c r="S43" s="71"/>
      <c r="T43" s="71"/>
      <c r="U43" s="71"/>
      <c r="V43" s="71"/>
      <c r="W43" s="71"/>
      <c r="X43" s="71"/>
      <c r="Y43" s="71"/>
      <c r="Z43" s="73"/>
      <c r="AA43" s="73"/>
      <c r="AB43" s="73"/>
      <c r="AC43" s="73"/>
      <c r="AD43" s="73"/>
      <c r="AE43" s="73"/>
      <c r="AF43" s="74"/>
      <c r="AG43" s="74"/>
      <c r="AH43" s="74"/>
      <c r="AI43" s="74"/>
      <c r="AJ43" s="74"/>
      <c r="AK43" s="74"/>
      <c r="AL43" s="74"/>
      <c r="AM43" s="74"/>
      <c r="AN43" s="75"/>
      <c r="AO43" s="76"/>
      <c r="AP43" s="76"/>
      <c r="IW43" s="78"/>
    </row>
    <row r="44" spans="1:257" ht="12" customHeight="1" x14ac:dyDescent="0.25">
      <c r="A44" s="79" t="s">
        <v>20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</row>
    <row r="45" spans="1:257" ht="12" customHeight="1" x14ac:dyDescent="0.25"/>
  </sheetData>
  <mergeCells count="2">
    <mergeCell ref="A1:AL1"/>
    <mergeCell ref="A2:AL2"/>
  </mergeCells>
  <phoneticPr fontId="1" type="noConversion"/>
  <printOptions horizontalCentered="1"/>
  <pageMargins left="0.19685039370078741" right="0.23622047244094491" top="0.74803149606299213" bottom="0.74803149606299213" header="0.31496062992125984" footer="0.31496062992125984"/>
  <pageSetup scale="57" firstPageNumber="0" fitToWidth="0" fitToHeight="0" orientation="landscape" r:id="rId1"/>
  <headerFooter>
    <oddFooter xml:space="preserve">&amp;R&amp;"Arial,Normal"&amp;10Universidad Tecnológica de Panamá/DIPLAN/DEI/Compendio Estadístico 1981-2021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81_21</vt:lpstr>
      <vt:lpstr>A_impresión_IM_2</vt:lpstr>
      <vt:lpstr>'81_21'!Área_de_impresión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ADYS ARROCHA</cp:lastModifiedBy>
  <cp:lastPrinted>2022-01-27T19:49:33Z</cp:lastPrinted>
  <dcterms:created xsi:type="dcterms:W3CDTF">2011-06-03T15:15:15Z</dcterms:created>
  <dcterms:modified xsi:type="dcterms:W3CDTF">2022-03-24T15:15:45Z</dcterms:modified>
</cp:coreProperties>
</file>