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95.22\Server\PRESUPUESTO_SERVIDOR\4. EJECUCIÓN PRESUPUESTARIA POR AÑO\INFORMES DE EJECUCION POR AÑO\2023\mayo\"/>
    </mc:Choice>
  </mc:AlternateContent>
  <bookViews>
    <workbookView xWindow="0" yWindow="64515" windowWidth="18795" windowHeight="5130" tabRatio="876"/>
  </bookViews>
  <sheets>
    <sheet name="func" sheetId="24" r:id="rId1"/>
  </sheets>
  <externalReferences>
    <externalReference r:id="rId2"/>
  </externalReferences>
  <definedNames>
    <definedName name="a">"$#REF!.$CP$1"</definedName>
    <definedName name="Excel_BuiltIn_Print_Area_12_1">"$#REF!.$A$1:$L$197"</definedName>
    <definedName name="Excel_BuiltIn_Print_Area_12_1_1">"$#REF!.$B$10:$L$205"</definedName>
    <definedName name="Excel_BuiltIn_Print_Area_12_1_1_1">"$#REF!.$B$10:$L$206"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_1">[1]INGRESOS!$A$6:$I$39</definedName>
    <definedName name="Excel_BuiltIn_Print_Area_8_1_1">[1]INGRESOS!$A$6:$I$40</definedName>
    <definedName name="Excel_BuiltIn_Print_Area_9_1">#REF!</definedName>
    <definedName name="Excel_BuiltIn_Print_Titles_11">#REF!</definedName>
    <definedName name="Excel_BuiltIn_Print_Titles_12_1">"$#REF!.$A$1:$B$65535;$#REF!.$A$1:$IV$7"</definedName>
    <definedName name="Excel_BuiltIn_Print_Titles_7">#REF!</definedName>
    <definedName name="Excel_BuiltIn_Print_Titles_7_1">"$cuadro_A_1.$#REF!$#REF!:$#REF!$#REF!"</definedName>
    <definedName name="Excel_BuiltIn_Print_Titles_8_1">[1]INGRESOS!$A$1:$IV$5</definedName>
    <definedName name="_xlnm.Print_Titles" localSheetId="0">func!$2:$11</definedName>
  </definedNames>
  <calcPr calcId="162913"/>
</workbook>
</file>

<file path=xl/calcChain.xml><?xml version="1.0" encoding="utf-8"?>
<calcChain xmlns="http://schemas.openxmlformats.org/spreadsheetml/2006/main">
  <c r="H29" i="24" l="1"/>
  <c r="F29" i="24"/>
  <c r="E29" i="24"/>
  <c r="M29" i="24" s="1"/>
  <c r="H28" i="24"/>
  <c r="F28" i="24"/>
  <c r="E28" i="24"/>
  <c r="H27" i="24"/>
  <c r="M27" i="24" s="1"/>
  <c r="F27" i="24"/>
  <c r="H26" i="24"/>
  <c r="F26" i="24"/>
  <c r="E26" i="24"/>
  <c r="M26" i="24" s="1"/>
  <c r="J25" i="24"/>
  <c r="I25" i="24"/>
  <c r="G25" i="24"/>
  <c r="D25" i="24"/>
  <c r="C25" i="24"/>
  <c r="H24" i="24"/>
  <c r="N24" i="24" s="1"/>
  <c r="E24" i="24"/>
  <c r="M24" i="24" s="1"/>
  <c r="H23" i="24"/>
  <c r="N23" i="24" s="1"/>
  <c r="E23" i="24"/>
  <c r="M23" i="24" s="1"/>
  <c r="H22" i="24"/>
  <c r="F22" i="24"/>
  <c r="L22" i="24" s="1"/>
  <c r="D22" i="24"/>
  <c r="E22" i="24" s="1"/>
  <c r="M22" i="24" s="1"/>
  <c r="H21" i="24"/>
  <c r="L21" i="24" s="1"/>
  <c r="E21" i="24"/>
  <c r="M21" i="24" s="1"/>
  <c r="H18" i="24"/>
  <c r="L18" i="24" s="1"/>
  <c r="E18" i="24"/>
  <c r="M18" i="24" s="1"/>
  <c r="J17" i="24"/>
  <c r="I17" i="24"/>
  <c r="G17" i="24"/>
  <c r="C17" i="24"/>
  <c r="H16" i="24"/>
  <c r="F16" i="24"/>
  <c r="E16" i="24"/>
  <c r="H15" i="24"/>
  <c r="F15" i="24"/>
  <c r="L15" i="24" s="1"/>
  <c r="D15" i="24"/>
  <c r="E15" i="24" s="1"/>
  <c r="H14" i="24"/>
  <c r="F14" i="24"/>
  <c r="D14" i="24"/>
  <c r="E14" i="24" s="1"/>
  <c r="J13" i="24"/>
  <c r="I13" i="24"/>
  <c r="G13" i="24"/>
  <c r="C13" i="24"/>
  <c r="L16" i="24" l="1"/>
  <c r="D13" i="24"/>
  <c r="F25" i="24"/>
  <c r="H25" i="24"/>
  <c r="N25" i="24" s="1"/>
  <c r="M28" i="24"/>
  <c r="L27" i="24"/>
  <c r="M16" i="24"/>
  <c r="N29" i="24"/>
  <c r="N18" i="24"/>
  <c r="N14" i="24"/>
  <c r="H13" i="24"/>
  <c r="L28" i="24"/>
  <c r="N22" i="24"/>
  <c r="N27" i="24"/>
  <c r="N16" i="24"/>
  <c r="K27" i="24"/>
  <c r="F13" i="24"/>
  <c r="L13" i="24" s="1"/>
  <c r="K22" i="24"/>
  <c r="F17" i="24"/>
  <c r="L14" i="24"/>
  <c r="E25" i="24"/>
  <c r="M25" i="24" s="1"/>
  <c r="N28" i="24"/>
  <c r="D17" i="24"/>
  <c r="E17" i="24" s="1"/>
  <c r="K14" i="24"/>
  <c r="L29" i="24"/>
  <c r="K26" i="24"/>
  <c r="K18" i="24"/>
  <c r="N15" i="24"/>
  <c r="M15" i="24"/>
  <c r="K29" i="24"/>
  <c r="E13" i="24"/>
  <c r="M13" i="24" s="1"/>
  <c r="M14" i="24"/>
  <c r="K28" i="24"/>
  <c r="H17" i="24"/>
  <c r="N17" i="24" s="1"/>
  <c r="L23" i="24"/>
  <c r="N21" i="24"/>
  <c r="L24" i="24"/>
  <c r="L26" i="24"/>
  <c r="N26" i="24"/>
  <c r="K21" i="24"/>
  <c r="K15" i="24"/>
  <c r="K16" i="24"/>
  <c r="L25" i="24" l="1"/>
  <c r="N13" i="24"/>
  <c r="L17" i="24"/>
  <c r="M17" i="24"/>
  <c r="O60" i="24" l="1"/>
  <c r="H61" i="24"/>
  <c r="O40" i="24"/>
  <c r="O207" i="24"/>
  <c r="I104" i="24" l="1"/>
  <c r="J48" i="24"/>
  <c r="F48" i="24"/>
  <c r="O143" i="24"/>
  <c r="O134" i="24"/>
  <c r="O142" i="24"/>
  <c r="O128" i="24"/>
  <c r="O124" i="24"/>
  <c r="F114" i="24"/>
  <c r="H99" i="24" l="1"/>
  <c r="H55" i="24"/>
  <c r="I203" i="24"/>
  <c r="I199" i="24"/>
  <c r="I196" i="24"/>
  <c r="I190" i="24"/>
  <c r="I188" i="24"/>
  <c r="I185" i="24"/>
  <c r="I183" i="24"/>
  <c r="I154" i="24"/>
  <c r="I144" i="24"/>
  <c r="I134" i="24"/>
  <c r="I128" i="24"/>
  <c r="I120" i="24"/>
  <c r="I114" i="24"/>
  <c r="I110" i="24"/>
  <c r="I98" i="24"/>
  <c r="I95" i="24"/>
  <c r="I84" i="24"/>
  <c r="I77" i="24"/>
  <c r="I75" i="24"/>
  <c r="I69" i="24"/>
  <c r="I64" i="24"/>
  <c r="I60" i="24"/>
  <c r="I57" i="24"/>
  <c r="I48" i="24"/>
  <c r="I41" i="24"/>
  <c r="I32" i="24"/>
  <c r="I12" i="24" s="1"/>
  <c r="I182" i="24" l="1"/>
  <c r="I187" i="24"/>
  <c r="I94" i="24"/>
  <c r="I40" i="24"/>
  <c r="I207" i="24" l="1"/>
  <c r="H206" i="24" l="1"/>
  <c r="H202" i="24"/>
  <c r="H201" i="24"/>
  <c r="H200" i="24"/>
  <c r="G203" i="24" l="1"/>
  <c r="F199" i="24"/>
  <c r="D199" i="24"/>
  <c r="H205" i="24"/>
  <c r="H186" i="24"/>
  <c r="H102" i="24"/>
  <c r="H68" i="24"/>
  <c r="H203" i="24" l="1"/>
  <c r="N66" i="24" l="1"/>
  <c r="F203" i="24" l="1"/>
  <c r="D203" i="24"/>
  <c r="E194" i="24"/>
  <c r="L205" i="24"/>
  <c r="D185" i="24"/>
  <c r="F185" i="24"/>
  <c r="G185" i="24"/>
  <c r="H92" i="24"/>
  <c r="N92" i="24" s="1"/>
  <c r="H91" i="24"/>
  <c r="N91" i="24" s="1"/>
  <c r="H90" i="24"/>
  <c r="N90" i="24" s="1"/>
  <c r="H88" i="24"/>
  <c r="H83" i="24"/>
  <c r="N83" i="24" s="1"/>
  <c r="H82" i="24"/>
  <c r="N82" i="24" s="1"/>
  <c r="H79" i="24"/>
  <c r="H76" i="24"/>
  <c r="H198" i="24" l="1"/>
  <c r="H194" i="24"/>
  <c r="H192" i="24"/>
  <c r="F190" i="24"/>
  <c r="H189" i="24"/>
  <c r="H184" i="24"/>
  <c r="H147" i="24"/>
  <c r="H141" i="24"/>
  <c r="H140" i="24"/>
  <c r="H138" i="24"/>
  <c r="H136" i="24"/>
  <c r="H132" i="24"/>
  <c r="H129" i="24"/>
  <c r="H126" i="24"/>
  <c r="H123" i="24"/>
  <c r="H122" i="24"/>
  <c r="H121" i="24"/>
  <c r="H119" i="24"/>
  <c r="H118" i="24"/>
  <c r="H116" i="24"/>
  <c r="N116" i="24" s="1"/>
  <c r="H115" i="24"/>
  <c r="H113" i="24"/>
  <c r="H111" i="24"/>
  <c r="H109" i="24"/>
  <c r="H107" i="24"/>
  <c r="H105" i="24"/>
  <c r="N105" i="24" s="1"/>
  <c r="H100" i="24"/>
  <c r="N100" i="24" s="1"/>
  <c r="H96" i="24"/>
  <c r="H153" i="24"/>
  <c r="H152" i="24"/>
  <c r="H151" i="24"/>
  <c r="H150" i="24"/>
  <c r="H149" i="24"/>
  <c r="H148" i="24"/>
  <c r="H146" i="24"/>
  <c r="H145" i="24"/>
  <c r="H143" i="24"/>
  <c r="H142" i="24"/>
  <c r="H139" i="24"/>
  <c r="H137" i="24"/>
  <c r="H135" i="24"/>
  <c r="H133" i="24"/>
  <c r="H131" i="24"/>
  <c r="H130" i="24"/>
  <c r="H127" i="24"/>
  <c r="H125" i="24"/>
  <c r="H124" i="24"/>
  <c r="H120" i="24" l="1"/>
  <c r="H117" i="24"/>
  <c r="H112" i="24"/>
  <c r="H108" i="24"/>
  <c r="H106" i="24"/>
  <c r="N106" i="24" s="1"/>
  <c r="N102" i="24"/>
  <c r="H97" i="24"/>
  <c r="N97" i="24" s="1"/>
  <c r="D48" i="24"/>
  <c r="H89" i="24"/>
  <c r="H86" i="24"/>
  <c r="E79" i="24"/>
  <c r="H74" i="24"/>
  <c r="H73" i="24"/>
  <c r="H72" i="24"/>
  <c r="H70" i="24"/>
  <c r="N70" i="24" s="1"/>
  <c r="H67" i="24"/>
  <c r="N67" i="24" s="1"/>
  <c r="H65" i="24"/>
  <c r="D57" i="24"/>
  <c r="H63" i="24" l="1"/>
  <c r="H62" i="24"/>
  <c r="H56" i="24"/>
  <c r="H59" i="24"/>
  <c r="H58" i="24"/>
  <c r="H54" i="24"/>
  <c r="H53" i="24"/>
  <c r="H52" i="24"/>
  <c r="H51" i="24"/>
  <c r="H50" i="24"/>
  <c r="H49" i="24"/>
  <c r="H47" i="24"/>
  <c r="H46" i="24"/>
  <c r="H45" i="24"/>
  <c r="H44" i="24"/>
  <c r="H43" i="24"/>
  <c r="H42" i="24"/>
  <c r="H38" i="24"/>
  <c r="N38" i="24" s="1"/>
  <c r="H37" i="24"/>
  <c r="H36" i="24"/>
  <c r="H35" i="24"/>
  <c r="H34" i="24"/>
  <c r="H33" i="24"/>
  <c r="N205" i="24" l="1"/>
  <c r="N192" i="24"/>
  <c r="C190" i="24"/>
  <c r="D196" i="24"/>
  <c r="E205" i="24"/>
  <c r="M205" i="24" s="1"/>
  <c r="E192" i="24"/>
  <c r="E191" i="24"/>
  <c r="G120" i="24"/>
  <c r="F98" i="24"/>
  <c r="D144" i="24"/>
  <c r="E132" i="24"/>
  <c r="N117" i="24"/>
  <c r="E117" i="24"/>
  <c r="J84" i="24"/>
  <c r="E56" i="24"/>
  <c r="D32" i="24"/>
  <c r="E37" i="24"/>
  <c r="M117" i="24" l="1"/>
  <c r="L117" i="24"/>
  <c r="K117" i="24"/>
  <c r="E108" i="24" l="1"/>
  <c r="C48" i="24"/>
  <c r="G69" i="24"/>
  <c r="H69" i="24" s="1"/>
  <c r="J69" i="24"/>
  <c r="F69" i="24"/>
  <c r="C69" i="24"/>
  <c r="E70" i="24"/>
  <c r="E50" i="24"/>
  <c r="H171" i="24" l="1"/>
  <c r="H157" i="24"/>
  <c r="M157" i="24" l="1"/>
  <c r="H172" i="24" l="1"/>
  <c r="G57" i="24" l="1"/>
  <c r="H57" i="24" s="1"/>
  <c r="F57" i="24" l="1"/>
  <c r="J30" i="24"/>
  <c r="F144" i="24" l="1"/>
  <c r="K192" i="24" l="1"/>
  <c r="G154" i="24"/>
  <c r="H154" i="24" s="1"/>
  <c r="K164" i="24"/>
  <c r="K157" i="24"/>
  <c r="F155" i="24" l="1"/>
  <c r="D155" i="24"/>
  <c r="E140" i="24"/>
  <c r="G95" i="24"/>
  <c r="H95" i="24" l="1"/>
  <c r="K96" i="24"/>
  <c r="F84" i="24"/>
  <c r="D84" i="24"/>
  <c r="G84" i="24"/>
  <c r="H84" i="24" s="1"/>
  <c r="K91" i="24"/>
  <c r="L91" i="24"/>
  <c r="E91" i="24"/>
  <c r="K55" i="24"/>
  <c r="L55" i="24" l="1"/>
  <c r="J154" i="24" l="1"/>
  <c r="L157" i="24"/>
  <c r="G48" i="24" l="1"/>
  <c r="H48" i="24" s="1"/>
  <c r="H158" i="24" l="1"/>
  <c r="K158" i="24" s="1"/>
  <c r="J134" i="24"/>
  <c r="K108" i="24"/>
  <c r="G104" i="24"/>
  <c r="H104" i="24" l="1"/>
  <c r="K151" i="24"/>
  <c r="N151" i="24"/>
  <c r="F60" i="24"/>
  <c r="K65" i="24"/>
  <c r="H85" i="24" l="1"/>
  <c r="K85" i="24" s="1"/>
  <c r="K88" i="24" l="1"/>
  <c r="N88" i="24"/>
  <c r="J185" i="24" l="1"/>
  <c r="H180" i="24"/>
  <c r="H179" i="24"/>
  <c r="H178" i="24"/>
  <c r="H177" i="24"/>
  <c r="K171" i="24"/>
  <c r="L158" i="24"/>
  <c r="J144" i="24"/>
  <c r="F134" i="24"/>
  <c r="J64" i="24"/>
  <c r="K92" i="24"/>
  <c r="K90" i="24"/>
  <c r="L54" i="24"/>
  <c r="J41" i="24"/>
  <c r="M158" i="24"/>
  <c r="D77" i="24"/>
  <c r="D64" i="24"/>
  <c r="E55" i="24"/>
  <c r="K89" i="24" l="1"/>
  <c r="N89" i="24"/>
  <c r="K177" i="24"/>
  <c r="K178" i="24"/>
  <c r="K179" i="24"/>
  <c r="K180" i="24"/>
  <c r="K54" i="24"/>
  <c r="N54" i="24"/>
  <c r="J128" i="24" l="1"/>
  <c r="F104" i="24"/>
  <c r="N104" i="24" s="1"/>
  <c r="D120" i="24"/>
  <c r="G98" i="24"/>
  <c r="H98" i="24" s="1"/>
  <c r="K206" i="24"/>
  <c r="J183" i="24"/>
  <c r="L180" i="24"/>
  <c r="L179" i="24"/>
  <c r="L178" i="24"/>
  <c r="L177" i="24"/>
  <c r="H181" i="24"/>
  <c r="K181" i="24" s="1"/>
  <c r="M177" i="24"/>
  <c r="M180" i="24"/>
  <c r="M179" i="24"/>
  <c r="M178" i="24"/>
  <c r="L171" i="24"/>
  <c r="F154" i="24"/>
  <c r="M171" i="24"/>
  <c r="E148" i="24"/>
  <c r="N148" i="24"/>
  <c r="E112" i="24"/>
  <c r="K111" i="24"/>
  <c r="E99" i="24"/>
  <c r="F95" i="24"/>
  <c r="H87" i="24"/>
  <c r="E54" i="24"/>
  <c r="J32" i="24"/>
  <c r="J12" i="24" s="1"/>
  <c r="N98" i="24" l="1"/>
  <c r="D154" i="24"/>
  <c r="K87" i="24"/>
  <c r="L148" i="24"/>
  <c r="K148" i="24"/>
  <c r="L181" i="24"/>
  <c r="H176" i="24"/>
  <c r="K176" i="24" s="1"/>
  <c r="D190" i="24"/>
  <c r="E190" i="24" s="1"/>
  <c r="L87" i="24"/>
  <c r="M148" i="24"/>
  <c r="M181" i="24" l="1"/>
  <c r="D75" i="24"/>
  <c r="E85" i="24"/>
  <c r="E92" i="24"/>
  <c r="E90" i="24"/>
  <c r="E88" i="24"/>
  <c r="E87" i="24"/>
  <c r="M87" i="24" s="1"/>
  <c r="K84" i="24" l="1"/>
  <c r="N84" i="24"/>
  <c r="L206" i="24" l="1"/>
  <c r="D69" i="24"/>
  <c r="E201" i="24"/>
  <c r="E89" i="24"/>
  <c r="E86" i="24"/>
  <c r="N86" i="24"/>
  <c r="C84" i="24"/>
  <c r="K201" i="24"/>
  <c r="H197" i="24"/>
  <c r="K197" i="24" s="1"/>
  <c r="H195" i="24"/>
  <c r="N194" i="24"/>
  <c r="H193" i="24"/>
  <c r="N193" i="24" s="1"/>
  <c r="H191" i="24"/>
  <c r="K189" i="24"/>
  <c r="K184" i="24"/>
  <c r="K140" i="24"/>
  <c r="K139" i="24"/>
  <c r="K138" i="24"/>
  <c r="K137" i="24"/>
  <c r="K136" i="24"/>
  <c r="K135" i="24"/>
  <c r="K133" i="24"/>
  <c r="K132" i="24"/>
  <c r="K131" i="24"/>
  <c r="K130" i="24"/>
  <c r="K129" i="24"/>
  <c r="K127" i="24"/>
  <c r="K126" i="24"/>
  <c r="K125" i="24"/>
  <c r="K124" i="24"/>
  <c r="K123" i="24"/>
  <c r="K122" i="24"/>
  <c r="K121" i="24"/>
  <c r="K119" i="24"/>
  <c r="K118" i="24"/>
  <c r="K116" i="24"/>
  <c r="K115" i="24"/>
  <c r="K113" i="24"/>
  <c r="K112" i="24"/>
  <c r="K109" i="24"/>
  <c r="K107" i="24"/>
  <c r="K106" i="24"/>
  <c r="K105" i="24"/>
  <c r="H103" i="24"/>
  <c r="K103" i="24" s="1"/>
  <c r="K102" i="24"/>
  <c r="H101" i="24"/>
  <c r="K101" i="24" s="1"/>
  <c r="K100" i="24"/>
  <c r="K97" i="24"/>
  <c r="H81" i="24"/>
  <c r="H80" i="24"/>
  <c r="H78" i="24"/>
  <c r="H71" i="24"/>
  <c r="H64" i="24"/>
  <c r="N65" i="24"/>
  <c r="K99" i="24" l="1"/>
  <c r="N99" i="24"/>
  <c r="N68" i="24"/>
  <c r="K200" i="24"/>
  <c r="N200" i="24"/>
  <c r="K202" i="24"/>
  <c r="N202" i="24"/>
  <c r="K198" i="24"/>
  <c r="N198" i="24"/>
  <c r="K194" i="24"/>
  <c r="K195" i="24"/>
  <c r="K191" i="24"/>
  <c r="K193" i="24"/>
  <c r="N72" i="24"/>
  <c r="K72" i="24"/>
  <c r="K141" i="24"/>
  <c r="N43" i="24"/>
  <c r="K43" i="24"/>
  <c r="N47" i="24"/>
  <c r="K47" i="24"/>
  <c r="N59" i="24"/>
  <c r="K59" i="24"/>
  <c r="K71" i="24"/>
  <c r="N76" i="24"/>
  <c r="K76" i="24"/>
  <c r="K81" i="24"/>
  <c r="K86" i="24"/>
  <c r="N49" i="24"/>
  <c r="K49" i="24"/>
  <c r="N44" i="24"/>
  <c r="K44" i="24"/>
  <c r="K66" i="24"/>
  <c r="K45" i="24"/>
  <c r="N56" i="24"/>
  <c r="K56" i="24"/>
  <c r="N62" i="24"/>
  <c r="K62" i="24"/>
  <c r="K67" i="24"/>
  <c r="N73" i="24"/>
  <c r="K73" i="24"/>
  <c r="N61" i="24"/>
  <c r="K61" i="24"/>
  <c r="K78" i="24"/>
  <c r="N42" i="24"/>
  <c r="K42" i="24"/>
  <c r="K46" i="24"/>
  <c r="N51" i="24"/>
  <c r="K51" i="24"/>
  <c r="N58" i="24"/>
  <c r="K58" i="24"/>
  <c r="N63" i="24"/>
  <c r="K63" i="24"/>
  <c r="K68" i="24"/>
  <c r="K80" i="24"/>
  <c r="K143" i="24"/>
  <c r="L142" i="24"/>
  <c r="K142" i="24"/>
  <c r="N74" i="24"/>
  <c r="K74" i="24"/>
  <c r="K83" i="24"/>
  <c r="K82" i="24"/>
  <c r="N79" i="24"/>
  <c r="K79" i="24"/>
  <c r="N53" i="24"/>
  <c r="K53" i="24"/>
  <c r="N52" i="24"/>
  <c r="K52" i="24"/>
  <c r="N50" i="24"/>
  <c r="K50" i="24"/>
  <c r="E84" i="24"/>
  <c r="L86" i="24"/>
  <c r="M89" i="24"/>
  <c r="M86" i="24"/>
  <c r="L89" i="24"/>
  <c r="K41" i="24" l="1"/>
  <c r="K48" i="24"/>
  <c r="L84" i="24"/>
  <c r="M84" i="24"/>
  <c r="F75" i="24" l="1"/>
  <c r="C75" i="24"/>
  <c r="C60" i="24" l="1"/>
  <c r="D30" i="24"/>
  <c r="D12" i="24" s="1"/>
  <c r="D41" i="24"/>
  <c r="D60" i="24"/>
  <c r="D95" i="24"/>
  <c r="D98" i="24"/>
  <c r="D104" i="24"/>
  <c r="D110" i="24"/>
  <c r="D114" i="24"/>
  <c r="D128" i="24"/>
  <c r="D134" i="24"/>
  <c r="D183" i="24"/>
  <c r="D188" i="24"/>
  <c r="E31" i="24"/>
  <c r="E33" i="24"/>
  <c r="E34" i="24"/>
  <c r="E35" i="24"/>
  <c r="E36" i="24"/>
  <c r="E38" i="24"/>
  <c r="E42" i="24"/>
  <c r="E43" i="24"/>
  <c r="E44" i="24"/>
  <c r="E45" i="24"/>
  <c r="E46" i="24"/>
  <c r="E47" i="24"/>
  <c r="E49" i="24"/>
  <c r="E51" i="24"/>
  <c r="E52" i="24"/>
  <c r="E53" i="24"/>
  <c r="E58" i="24"/>
  <c r="E59" i="24"/>
  <c r="E61" i="24"/>
  <c r="E62" i="24"/>
  <c r="E63" i="24"/>
  <c r="E65" i="24"/>
  <c r="E66" i="24"/>
  <c r="E67" i="24"/>
  <c r="E68" i="24"/>
  <c r="E71" i="24"/>
  <c r="E72" i="24"/>
  <c r="E73" i="24"/>
  <c r="E74" i="24"/>
  <c r="E76" i="24"/>
  <c r="E78" i="24"/>
  <c r="E80" i="24"/>
  <c r="E82" i="24"/>
  <c r="E83" i="24"/>
  <c r="E96" i="24"/>
  <c r="E97" i="24"/>
  <c r="E100" i="24"/>
  <c r="E101" i="24"/>
  <c r="E102" i="24"/>
  <c r="E103" i="24"/>
  <c r="E105" i="24"/>
  <c r="E106" i="24"/>
  <c r="E107" i="24"/>
  <c r="E109" i="24"/>
  <c r="E69" i="24" l="1"/>
  <c r="D94" i="24"/>
  <c r="D187" i="24"/>
  <c r="D40" i="24"/>
  <c r="D182" i="24"/>
  <c r="E30" i="24"/>
  <c r="H155" i="24" l="1"/>
  <c r="K155" i="24" s="1"/>
  <c r="H156" i="24"/>
  <c r="H159" i="24"/>
  <c r="H160" i="24"/>
  <c r="H161" i="24"/>
  <c r="H162" i="24"/>
  <c r="H163" i="24"/>
  <c r="H165" i="24"/>
  <c r="K165" i="24" s="1"/>
  <c r="H166" i="24"/>
  <c r="H167" i="24"/>
  <c r="H168" i="24"/>
  <c r="H169" i="24"/>
  <c r="H170" i="24"/>
  <c r="K170" i="24" s="1"/>
  <c r="K172" i="24"/>
  <c r="H173" i="24"/>
  <c r="H174" i="24"/>
  <c r="K174" i="24" s="1"/>
  <c r="H175" i="24"/>
  <c r="K175" i="24" s="1"/>
  <c r="K167" i="24" l="1"/>
  <c r="K156" i="24"/>
  <c r="K166" i="24"/>
  <c r="K161" i="24"/>
  <c r="K169" i="24"/>
  <c r="K160" i="24"/>
  <c r="K162" i="24"/>
  <c r="K173" i="24"/>
  <c r="K168" i="24"/>
  <c r="K163" i="24"/>
  <c r="K159" i="24"/>
  <c r="L165" i="24"/>
  <c r="L172" i="24"/>
  <c r="H31" i="24"/>
  <c r="K154" i="24" l="1"/>
  <c r="K33" i="24"/>
  <c r="K35" i="24"/>
  <c r="K36" i="24"/>
  <c r="K38" i="24"/>
  <c r="K34" i="24"/>
  <c r="M31" i="24"/>
  <c r="K32" i="24" l="1"/>
  <c r="E195" i="24" l="1"/>
  <c r="L184" i="24" l="1"/>
  <c r="L139" i="24"/>
  <c r="L137" i="24"/>
  <c r="L133" i="24"/>
  <c r="L132" i="24"/>
  <c r="L127" i="24"/>
  <c r="L125" i="24"/>
  <c r="L124" i="24"/>
  <c r="L123" i="24"/>
  <c r="L122" i="24"/>
  <c r="L45" i="24"/>
  <c r="L31" i="24"/>
  <c r="L175" i="24" l="1"/>
  <c r="L174" i="24"/>
  <c r="L173" i="24"/>
  <c r="L170" i="24"/>
  <c r="L169" i="24"/>
  <c r="L113" i="24"/>
  <c r="L112" i="24"/>
  <c r="L111" i="24"/>
  <c r="L109" i="24"/>
  <c r="L108" i="24"/>
  <c r="L107" i="24"/>
  <c r="L105" i="24"/>
  <c r="L102" i="24"/>
  <c r="L101" i="24"/>
  <c r="L100" i="24"/>
  <c r="L99" i="24"/>
  <c r="L97" i="24"/>
  <c r="F120" i="24"/>
  <c r="L176" i="24" l="1"/>
  <c r="L96" i="24"/>
  <c r="L135" i="24" l="1"/>
  <c r="L74" i="24"/>
  <c r="L65" i="24"/>
  <c r="L47" i="24"/>
  <c r="L46" i="24"/>
  <c r="L42" i="24"/>
  <c r="L35" i="24"/>
  <c r="H204" i="24"/>
  <c r="L202" i="24"/>
  <c r="L200" i="24"/>
  <c r="L195" i="24"/>
  <c r="L194" i="24"/>
  <c r="L193" i="24"/>
  <c r="L192" i="24"/>
  <c r="L191" i="24"/>
  <c r="N186" i="24"/>
  <c r="N185" i="24" s="1"/>
  <c r="L168" i="24"/>
  <c r="L167" i="24"/>
  <c r="L166" i="24"/>
  <c r="L163" i="24"/>
  <c r="L162" i="24"/>
  <c r="L161" i="24"/>
  <c r="L160" i="24"/>
  <c r="L159" i="24"/>
  <c r="L156" i="24"/>
  <c r="N145" i="24"/>
  <c r="L143" i="24"/>
  <c r="L141" i="24"/>
  <c r="L140" i="24"/>
  <c r="L138" i="24"/>
  <c r="L136" i="24"/>
  <c r="L131" i="24"/>
  <c r="L130" i="24"/>
  <c r="L129" i="24"/>
  <c r="L121" i="24"/>
  <c r="L119" i="24"/>
  <c r="L118" i="24"/>
  <c r="L116" i="24"/>
  <c r="L115" i="24"/>
  <c r="L83" i="24"/>
  <c r="L82" i="24"/>
  <c r="L81" i="24"/>
  <c r="L80" i="24"/>
  <c r="L79" i="24"/>
  <c r="L78" i="24"/>
  <c r="L76" i="24"/>
  <c r="L73" i="24"/>
  <c r="L72" i="24"/>
  <c r="L71" i="24"/>
  <c r="L68" i="24"/>
  <c r="L66" i="24"/>
  <c r="L63" i="24"/>
  <c r="L62" i="24"/>
  <c r="L61" i="24"/>
  <c r="L59" i="24"/>
  <c r="L58" i="24"/>
  <c r="L56" i="24"/>
  <c r="L53" i="24"/>
  <c r="L52" i="24"/>
  <c r="L51" i="24"/>
  <c r="L50" i="24"/>
  <c r="L49" i="24"/>
  <c r="L43" i="24"/>
  <c r="L38" i="24"/>
  <c r="L36" i="24"/>
  <c r="L34" i="24"/>
  <c r="L33" i="24"/>
  <c r="K153" i="24" l="1"/>
  <c r="N153" i="24"/>
  <c r="K150" i="24"/>
  <c r="N150" i="24"/>
  <c r="K146" i="24"/>
  <c r="N146" i="24"/>
  <c r="K152" i="24"/>
  <c r="N152" i="24"/>
  <c r="K147" i="24"/>
  <c r="N147" i="24"/>
  <c r="K149" i="24"/>
  <c r="N149" i="24"/>
  <c r="L204" i="24"/>
  <c r="K204" i="24"/>
  <c r="K186" i="24"/>
  <c r="L145" i="24"/>
  <c r="K145" i="24"/>
  <c r="L146" i="24"/>
  <c r="L151" i="24"/>
  <c r="L147" i="24"/>
  <c r="L152" i="24"/>
  <c r="L149" i="24"/>
  <c r="L153" i="24"/>
  <c r="L150" i="24"/>
  <c r="L155" i="24"/>
  <c r="L197" i="24"/>
  <c r="H185" i="24"/>
  <c r="K185" i="24" s="1"/>
  <c r="L186" i="24"/>
  <c r="L198" i="24"/>
  <c r="H188" i="24"/>
  <c r="L189" i="24"/>
  <c r="L44" i="24"/>
  <c r="L120" i="24" l="1"/>
  <c r="L95" i="24" l="1"/>
  <c r="M168" i="24" l="1"/>
  <c r="N69" i="24" l="1"/>
  <c r="F64" i="24"/>
  <c r="G60" i="24"/>
  <c r="H60" i="24" s="1"/>
  <c r="G64" i="24" l="1"/>
  <c r="M68" i="24" l="1"/>
  <c r="N64" i="24" l="1"/>
  <c r="K64" i="24"/>
  <c r="L64" i="24"/>
  <c r="L185" i="24" l="1"/>
  <c r="F41" i="24"/>
  <c r="M30" i="24" l="1"/>
  <c r="C30" i="24"/>
  <c r="H30" i="24" l="1"/>
  <c r="L30" i="24" l="1"/>
  <c r="F188" i="24"/>
  <c r="F196" i="24"/>
  <c r="F183" i="24"/>
  <c r="L154" i="24"/>
  <c r="F110" i="24"/>
  <c r="G134" i="24"/>
  <c r="H134" i="24" s="1"/>
  <c r="F128" i="24"/>
  <c r="G128" i="24"/>
  <c r="H128" i="24" s="1"/>
  <c r="G110" i="24"/>
  <c r="H110" i="24" s="1"/>
  <c r="F77" i="24"/>
  <c r="G77" i="24"/>
  <c r="H77" i="24" s="1"/>
  <c r="F32" i="24"/>
  <c r="F12" i="24" s="1"/>
  <c r="F94" i="24" l="1"/>
  <c r="N60" i="24"/>
  <c r="F40" i="24"/>
  <c r="L60" i="24"/>
  <c r="K134" i="24"/>
  <c r="K128" i="24"/>
  <c r="F187" i="24"/>
  <c r="L188" i="24"/>
  <c r="L69" i="24"/>
  <c r="F182" i="24"/>
  <c r="F207" i="24" l="1"/>
  <c r="N77" i="24"/>
  <c r="L110" i="24"/>
  <c r="L134" i="24"/>
  <c r="L104" i="24"/>
  <c r="L128" i="24"/>
  <c r="L77" i="24"/>
  <c r="L98" i="24"/>
  <c r="J199" i="24" l="1"/>
  <c r="J203" i="24"/>
  <c r="M192" i="24" l="1"/>
  <c r="E147" i="24"/>
  <c r="M147" i="24" l="1"/>
  <c r="E150" i="24" l="1"/>
  <c r="M150" i="24" s="1"/>
  <c r="E146" i="24" l="1"/>
  <c r="M146" i="24" s="1"/>
  <c r="C120" i="24" l="1"/>
  <c r="G199" i="24" l="1"/>
  <c r="H199" i="24" l="1"/>
  <c r="N203" i="24"/>
  <c r="L199" i="24" l="1"/>
  <c r="N199" i="24"/>
  <c r="K203" i="24"/>
  <c r="K199" i="24"/>
  <c r="L203" i="24"/>
  <c r="N107" i="24" l="1"/>
  <c r="N142" i="24"/>
  <c r="N139" i="24"/>
  <c r="N126" i="24"/>
  <c r="M44" i="24"/>
  <c r="M100" i="24"/>
  <c r="M96" i="24"/>
  <c r="N132" i="24"/>
  <c r="N122" i="24"/>
  <c r="C32" i="24"/>
  <c r="C12" i="24" s="1"/>
  <c r="E12" i="24" s="1"/>
  <c r="G32" i="24"/>
  <c r="M38" i="24"/>
  <c r="C41" i="24"/>
  <c r="G41" i="24"/>
  <c r="H41" i="24" s="1"/>
  <c r="E48" i="24"/>
  <c r="C57" i="24"/>
  <c r="J57" i="24"/>
  <c r="M58" i="24"/>
  <c r="M59" i="24"/>
  <c r="E60" i="24"/>
  <c r="J60" i="24"/>
  <c r="K60" i="24" s="1"/>
  <c r="M61" i="24"/>
  <c r="C64" i="24"/>
  <c r="M65" i="24"/>
  <c r="G75" i="24"/>
  <c r="C77" i="24"/>
  <c r="J77" i="24"/>
  <c r="C95" i="24"/>
  <c r="J95" i="24"/>
  <c r="N96" i="24"/>
  <c r="C98" i="24"/>
  <c r="J98" i="24"/>
  <c r="C104" i="24"/>
  <c r="J104" i="24"/>
  <c r="N108" i="24"/>
  <c r="C110" i="24"/>
  <c r="J110" i="24"/>
  <c r="E111" i="24"/>
  <c r="E113" i="24"/>
  <c r="C114" i="24"/>
  <c r="G114" i="24"/>
  <c r="J114" i="24"/>
  <c r="E115" i="24"/>
  <c r="E116" i="24"/>
  <c r="E118" i="24"/>
  <c r="E119" i="24"/>
  <c r="M119" i="24" s="1"/>
  <c r="J120" i="24"/>
  <c r="E122" i="24"/>
  <c r="M122" i="24" s="1"/>
  <c r="E123" i="24"/>
  <c r="E124" i="24"/>
  <c r="M124" i="24" s="1"/>
  <c r="E125" i="24"/>
  <c r="M125" i="24" s="1"/>
  <c r="E126" i="24"/>
  <c r="M126" i="24" s="1"/>
  <c r="E127" i="24"/>
  <c r="M127" i="24" s="1"/>
  <c r="N127" i="24"/>
  <c r="C128" i="24"/>
  <c r="E129" i="24"/>
  <c r="E130" i="24"/>
  <c r="N130" i="24"/>
  <c r="E131" i="24"/>
  <c r="M132" i="24"/>
  <c r="E133" i="24"/>
  <c r="C134" i="24"/>
  <c r="E135" i="24"/>
  <c r="E136" i="24"/>
  <c r="E137" i="24"/>
  <c r="E138" i="24"/>
  <c r="M138" i="24" s="1"/>
  <c r="E139" i="24"/>
  <c r="M140" i="24"/>
  <c r="E141" i="24"/>
  <c r="M141" i="24" s="1"/>
  <c r="E142" i="24"/>
  <c r="M142" i="24" s="1"/>
  <c r="E143" i="24"/>
  <c r="N143" i="24"/>
  <c r="C144" i="24"/>
  <c r="G144" i="24"/>
  <c r="H144" i="24" s="1"/>
  <c r="E145" i="24"/>
  <c r="E149" i="24"/>
  <c r="M149" i="24" s="1"/>
  <c r="E151" i="24"/>
  <c r="M151" i="24" s="1"/>
  <c r="E152" i="24"/>
  <c r="E153" i="24"/>
  <c r="C155" i="24"/>
  <c r="M156" i="24"/>
  <c r="M161" i="24"/>
  <c r="C165" i="24"/>
  <c r="C183" i="24"/>
  <c r="C182" i="24" s="1"/>
  <c r="G183" i="24"/>
  <c r="H183" i="24" s="1"/>
  <c r="E184" i="24"/>
  <c r="N184" i="24"/>
  <c r="C185" i="24"/>
  <c r="E186" i="24"/>
  <c r="C188" i="24"/>
  <c r="G188" i="24"/>
  <c r="J188" i="24"/>
  <c r="K188" i="24" s="1"/>
  <c r="E189" i="24"/>
  <c r="G190" i="24"/>
  <c r="H190" i="24" s="1"/>
  <c r="J190" i="24"/>
  <c r="E193" i="24"/>
  <c r="C196" i="24"/>
  <c r="G196" i="24"/>
  <c r="H196" i="24" s="1"/>
  <c r="J196" i="24"/>
  <c r="E197" i="24"/>
  <c r="E198" i="24"/>
  <c r="C199" i="24"/>
  <c r="E200" i="24"/>
  <c r="E202" i="24"/>
  <c r="C203" i="24"/>
  <c r="E204" i="24"/>
  <c r="E206" i="24"/>
  <c r="N124" i="24"/>
  <c r="N125" i="24"/>
  <c r="N119" i="24"/>
  <c r="H32" i="24" l="1"/>
  <c r="G12" i="24"/>
  <c r="H12" i="24" s="1"/>
  <c r="E98" i="24"/>
  <c r="E64" i="24"/>
  <c r="E77" i="24"/>
  <c r="E104" i="24"/>
  <c r="J94" i="24"/>
  <c r="G40" i="24"/>
  <c r="H40" i="24" s="1"/>
  <c r="H75" i="24"/>
  <c r="E95" i="24"/>
  <c r="E57" i="24"/>
  <c r="E32" i="24"/>
  <c r="H114" i="24"/>
  <c r="M206" i="24"/>
  <c r="J40" i="24"/>
  <c r="K120" i="24"/>
  <c r="K110" i="24"/>
  <c r="K104" i="24"/>
  <c r="K98" i="24"/>
  <c r="K95" i="24"/>
  <c r="K69" i="24"/>
  <c r="K77" i="24"/>
  <c r="N144" i="24"/>
  <c r="G94" i="24"/>
  <c r="C187" i="24"/>
  <c r="N48" i="24"/>
  <c r="N196" i="24"/>
  <c r="J187" i="24"/>
  <c r="M143" i="24"/>
  <c r="G187" i="24"/>
  <c r="C40" i="24"/>
  <c r="E41" i="24"/>
  <c r="E75" i="24"/>
  <c r="N111" i="24"/>
  <c r="N113" i="24"/>
  <c r="J182" i="24"/>
  <c r="E134" i="24"/>
  <c r="M97" i="24"/>
  <c r="M79" i="24"/>
  <c r="M109" i="24"/>
  <c r="M194" i="24"/>
  <c r="N109" i="24"/>
  <c r="M204" i="24"/>
  <c r="M67" i="24"/>
  <c r="M193" i="24"/>
  <c r="E188" i="24"/>
  <c r="M71" i="24"/>
  <c r="E199" i="24"/>
  <c r="E144" i="24"/>
  <c r="M83" i="24"/>
  <c r="E185" i="24"/>
  <c r="G182" i="24"/>
  <c r="H182" i="24" s="1"/>
  <c r="E183" i="24"/>
  <c r="E128" i="24"/>
  <c r="C94" i="24"/>
  <c r="M80" i="24"/>
  <c r="M189" i="24"/>
  <c r="N121" i="24"/>
  <c r="E196" i="24"/>
  <c r="E182" i="24"/>
  <c r="M176" i="24"/>
  <c r="M169" i="24"/>
  <c r="M167" i="24"/>
  <c r="M153" i="24"/>
  <c r="M145" i="24"/>
  <c r="E110" i="24"/>
  <c r="M112" i="24"/>
  <c r="M42" i="24"/>
  <c r="M201" i="24"/>
  <c r="M174" i="24"/>
  <c r="M184" i="24"/>
  <c r="N131" i="24"/>
  <c r="M131" i="24"/>
  <c r="M66" i="24"/>
  <c r="M173" i="24"/>
  <c r="M172" i="24"/>
  <c r="M166" i="24"/>
  <c r="M118" i="24"/>
  <c r="M63" i="24"/>
  <c r="M160" i="24"/>
  <c r="M159" i="24"/>
  <c r="M198" i="24"/>
  <c r="M170" i="24"/>
  <c r="M137" i="24"/>
  <c r="N137" i="24"/>
  <c r="M113" i="24"/>
  <c r="M105" i="24"/>
  <c r="M53" i="24"/>
  <c r="M202" i="24"/>
  <c r="N189" i="24"/>
  <c r="M162" i="24"/>
  <c r="M163" i="24"/>
  <c r="M130" i="24"/>
  <c r="N138" i="24"/>
  <c r="M152" i="24"/>
  <c r="M129" i="24"/>
  <c r="M102" i="24"/>
  <c r="M108" i="24"/>
  <c r="M101" i="24"/>
  <c r="M115" i="24"/>
  <c r="M34" i="24"/>
  <c r="M195" i="24"/>
  <c r="M82" i="24"/>
  <c r="M78" i="24"/>
  <c r="N136" i="24"/>
  <c r="M136" i="24"/>
  <c r="N128" i="24"/>
  <c r="M133" i="24"/>
  <c r="N133" i="24"/>
  <c r="M116" i="24"/>
  <c r="M111" i="24"/>
  <c r="M99" i="24"/>
  <c r="M76" i="24"/>
  <c r="M62" i="24"/>
  <c r="M52" i="24"/>
  <c r="M51" i="24"/>
  <c r="M50" i="24"/>
  <c r="M49" i="24"/>
  <c r="M46" i="24"/>
  <c r="M36" i="24"/>
  <c r="M186" i="24"/>
  <c r="M200" i="24"/>
  <c r="M197" i="24"/>
  <c r="M191" i="24"/>
  <c r="M175" i="24"/>
  <c r="M139" i="24"/>
  <c r="M121" i="24"/>
  <c r="M107" i="24"/>
  <c r="M103" i="24"/>
  <c r="M56" i="24"/>
  <c r="M74" i="24"/>
  <c r="M81" i="24"/>
  <c r="M33" i="24"/>
  <c r="M47" i="24"/>
  <c r="M35" i="24"/>
  <c r="M43" i="24"/>
  <c r="E203" i="24"/>
  <c r="E120" i="24"/>
  <c r="M73" i="24"/>
  <c r="M106" i="24"/>
  <c r="C154" i="24"/>
  <c r="N135" i="24"/>
  <c r="N123" i="24"/>
  <c r="M123" i="24"/>
  <c r="M72" i="24"/>
  <c r="M45" i="24"/>
  <c r="M135" i="24"/>
  <c r="E114" i="24"/>
  <c r="N112" i="24"/>
  <c r="K12" i="24" l="1"/>
  <c r="N12" i="24"/>
  <c r="L12" i="24"/>
  <c r="M12" i="24"/>
  <c r="H94" i="24"/>
  <c r="J207" i="24"/>
  <c r="H187" i="24"/>
  <c r="E187" i="24"/>
  <c r="K183" i="24"/>
  <c r="K182" i="24" s="1"/>
  <c r="L190" i="24"/>
  <c r="K190" i="24"/>
  <c r="L196" i="24"/>
  <c r="K196" i="24"/>
  <c r="N75" i="24"/>
  <c r="K75" i="24"/>
  <c r="N57" i="24"/>
  <c r="K57" i="24"/>
  <c r="K144" i="24"/>
  <c r="K114" i="24"/>
  <c r="G207" i="24"/>
  <c r="N41" i="24"/>
  <c r="L144" i="24"/>
  <c r="L57" i="24"/>
  <c r="C207" i="24"/>
  <c r="L114" i="24"/>
  <c r="N114" i="24"/>
  <c r="M57" i="24"/>
  <c r="L48" i="24"/>
  <c r="M183" i="24"/>
  <c r="N183" i="24"/>
  <c r="M203" i="24"/>
  <c r="L41" i="24"/>
  <c r="L183" i="24"/>
  <c r="L32" i="24"/>
  <c r="E40" i="24"/>
  <c r="E94" i="24"/>
  <c r="L75" i="24"/>
  <c r="N190" i="24"/>
  <c r="N188" i="24"/>
  <c r="M185" i="24"/>
  <c r="M144" i="24"/>
  <c r="M41" i="24"/>
  <c r="M188" i="24"/>
  <c r="M196" i="24"/>
  <c r="M104" i="24"/>
  <c r="M199" i="24"/>
  <c r="M60" i="24"/>
  <c r="M64" i="24"/>
  <c r="M69" i="24"/>
  <c r="M128" i="24"/>
  <c r="M120" i="24"/>
  <c r="N120" i="24"/>
  <c r="M77" i="24"/>
  <c r="M190" i="24"/>
  <c r="M98" i="24"/>
  <c r="M75" i="24"/>
  <c r="M48" i="24"/>
  <c r="M32" i="24"/>
  <c r="N110" i="24"/>
  <c r="M110" i="24"/>
  <c r="M114" i="24"/>
  <c r="M165" i="24"/>
  <c r="N95" i="24"/>
  <c r="M95" i="24"/>
  <c r="N134" i="24"/>
  <c r="M134" i="24"/>
  <c r="H207" i="24" l="1"/>
  <c r="K40" i="24"/>
  <c r="K187" i="24"/>
  <c r="K94" i="24"/>
  <c r="L94" i="24"/>
  <c r="N182" i="24"/>
  <c r="L182" i="24"/>
  <c r="M182" i="24"/>
  <c r="L187" i="24"/>
  <c r="L40" i="24"/>
  <c r="N40" i="24"/>
  <c r="M40" i="24"/>
  <c r="M187" i="24"/>
  <c r="N187" i="24"/>
  <c r="M94" i="24"/>
  <c r="N94" i="24"/>
  <c r="L207" i="24" l="1"/>
  <c r="K207" i="24"/>
  <c r="N207" i="24" l="1"/>
  <c r="E155" i="24" l="1"/>
  <c r="D207" i="24"/>
  <c r="E154" i="24" l="1"/>
  <c r="M154" i="24" s="1"/>
  <c r="M155" i="24"/>
  <c r="E207" i="24" l="1"/>
  <c r="M207" i="24" l="1"/>
  <c r="L90" i="24" l="1"/>
  <c r="M90" i="24"/>
  <c r="M92" i="24"/>
  <c r="L92" i="24"/>
  <c r="W56" i="24"/>
</calcChain>
</file>

<file path=xl/sharedStrings.xml><?xml version="1.0" encoding="utf-8"?>
<sst xmlns="http://schemas.openxmlformats.org/spreadsheetml/2006/main" count="352" uniqueCount="317">
  <si>
    <t>DETALLE</t>
  </si>
  <si>
    <t>ASIGNADO</t>
  </si>
  <si>
    <t xml:space="preserve"> </t>
  </si>
  <si>
    <t>MODIFICADO</t>
  </si>
  <si>
    <t>SALDO</t>
  </si>
  <si>
    <t>ANUAL</t>
  </si>
  <si>
    <t>PRESUPUESTO</t>
  </si>
  <si>
    <t>MENSUAL</t>
  </si>
  <si>
    <t xml:space="preserve">  </t>
  </si>
  <si>
    <t>EJECUCIÓN</t>
  </si>
  <si>
    <t>PAGADO ACUMUL.</t>
  </si>
  <si>
    <t>LEY</t>
  </si>
  <si>
    <t>AJUSTE</t>
  </si>
  <si>
    <t>ACUMUL.</t>
  </si>
  <si>
    <t xml:space="preserve"> FECHA</t>
  </si>
  <si>
    <t>0</t>
  </si>
  <si>
    <t>SERVICIOS PERSONALES</t>
  </si>
  <si>
    <t>000</t>
  </si>
  <si>
    <t>SUELDOS FIJOS</t>
  </si>
  <si>
    <t>001</t>
  </si>
  <si>
    <t>002</t>
  </si>
  <si>
    <t>SUELDO PERSONAL TRANS.</t>
  </si>
  <si>
    <t>003</t>
  </si>
  <si>
    <t>CONTINGENTE</t>
  </si>
  <si>
    <t>010</t>
  </si>
  <si>
    <t xml:space="preserve">SOBRESUELDOS </t>
  </si>
  <si>
    <t>011</t>
  </si>
  <si>
    <t>SOBRESUELDO POR ANTIG.</t>
  </si>
  <si>
    <t>SOBRESUELDOS POR JEF.</t>
  </si>
  <si>
    <t>019</t>
  </si>
  <si>
    <t>OTROS SOBRESUELDOS</t>
  </si>
  <si>
    <t>030</t>
  </si>
  <si>
    <t>GASTOS DE REPRES.</t>
  </si>
  <si>
    <t>050</t>
  </si>
  <si>
    <t>XIII MES</t>
  </si>
  <si>
    <t>070</t>
  </si>
  <si>
    <t>CONTRIBUC. A LA S.S.</t>
  </si>
  <si>
    <t>071</t>
  </si>
  <si>
    <t>C.P. SEG. SOCIAL</t>
  </si>
  <si>
    <t>072</t>
  </si>
  <si>
    <t>C.P. SEG. EDUCATIVO</t>
  </si>
  <si>
    <t>073</t>
  </si>
  <si>
    <t>C.P. RIESGO PROF.</t>
  </si>
  <si>
    <t>074</t>
  </si>
  <si>
    <t>C.P. FDO COMPLEM.</t>
  </si>
  <si>
    <t>080</t>
  </si>
  <si>
    <t>OTROS SERV. PERSONALES</t>
  </si>
  <si>
    <t>090</t>
  </si>
  <si>
    <t>CR.REC.POR S. PERSONAL</t>
  </si>
  <si>
    <t>091</t>
  </si>
  <si>
    <t>CRED.REC.POR SUELDO</t>
  </si>
  <si>
    <t>092</t>
  </si>
  <si>
    <t>1</t>
  </si>
  <si>
    <t>SERV. NO PERSONALES</t>
  </si>
  <si>
    <t>ALQUILERES</t>
  </si>
  <si>
    <t>101</t>
  </si>
  <si>
    <t>DE EDIFICIOS</t>
  </si>
  <si>
    <t>102</t>
  </si>
  <si>
    <t>EQUIPO ELECTRONICO</t>
  </si>
  <si>
    <t>103</t>
  </si>
  <si>
    <t>EQUIPO DE OFICINA</t>
  </si>
  <si>
    <t>104</t>
  </si>
  <si>
    <t>ALQ. DE EQ. DE PROD.</t>
  </si>
  <si>
    <t>105</t>
  </si>
  <si>
    <t>ALQ. DE EQ. DE TRANSPORTE</t>
  </si>
  <si>
    <t>109</t>
  </si>
  <si>
    <t>OTROS ALQUILERES</t>
  </si>
  <si>
    <t>110</t>
  </si>
  <si>
    <t>SERVICIOS BASICOS</t>
  </si>
  <si>
    <t>111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</si>
  <si>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</si>
  <si>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</si>
  <si>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</si>
  <si>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</si>
  <si>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</si>
  <si>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</si>
  <si>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</si>
  <si>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</si>
  <si>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</si>
  <si>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120</t>
  </si>
  <si>
    <t>IMPRESOS Y ENCUADER.</t>
  </si>
  <si>
    <t>130</t>
  </si>
  <si>
    <t>INF.Y PUBLICIDAD</t>
  </si>
  <si>
    <t>131</t>
  </si>
  <si>
    <t>ANUNCIOS Y AVISOS</t>
  </si>
  <si>
    <t>140</t>
  </si>
  <si>
    <t>VIATICOS</t>
  </si>
  <si>
    <t>141</t>
  </si>
  <si>
    <t>DENTRO DEL PAIS</t>
  </si>
  <si>
    <t>142</t>
  </si>
  <si>
    <t>EN EL EXTERIOR</t>
  </si>
  <si>
    <t>A PERSONAS</t>
  </si>
  <si>
    <t>150</t>
  </si>
  <si>
    <t>TRANSPORTE</t>
  </si>
  <si>
    <t>151</t>
  </si>
  <si>
    <t>152</t>
  </si>
  <si>
    <t>DE OTRAS PERSONAS</t>
  </si>
  <si>
    <t>160</t>
  </si>
  <si>
    <t>S. COMERCIALES</t>
  </si>
  <si>
    <t>164</t>
  </si>
  <si>
    <t>GASTOS DE SEGURO</t>
  </si>
  <si>
    <t>SERVICIOS ADUANEROS</t>
  </si>
  <si>
    <t>169</t>
  </si>
  <si>
    <t>OTROS SERVICIOS</t>
  </si>
  <si>
    <t>172</t>
  </si>
  <si>
    <t>SERVICIOS ESPECIALES</t>
  </si>
  <si>
    <t>180</t>
  </si>
  <si>
    <t>MANTO Y REPARACION</t>
  </si>
  <si>
    <t>MANT. Y REPARACION  EDIF.</t>
  </si>
  <si>
    <t>182</t>
  </si>
  <si>
    <t>189</t>
  </si>
  <si>
    <t>OTROS MANTENIMIENTO</t>
  </si>
  <si>
    <t>2</t>
  </si>
  <si>
    <t>MATER.Y SUMINISTROS</t>
  </si>
  <si>
    <t>200</t>
  </si>
  <si>
    <t>ALIMENTOS Y BEBIDAS</t>
  </si>
  <si>
    <t>201</t>
  </si>
  <si>
    <t>PARA CONSUMO HUMANO</t>
  </si>
  <si>
    <t>203</t>
  </si>
  <si>
    <t>BEBIDAS</t>
  </si>
  <si>
    <t>210</t>
  </si>
  <si>
    <t>TEXTILES Y VESTUARIOS</t>
  </si>
  <si>
    <t>211</t>
  </si>
  <si>
    <t>ACABADO TEXTIL</t>
  </si>
  <si>
    <t>212</t>
  </si>
  <si>
    <t>CALZADOS</t>
  </si>
  <si>
    <t>213</t>
  </si>
  <si>
    <t>HILADOS Y TELAS</t>
  </si>
  <si>
    <t>214</t>
  </si>
  <si>
    <t>PRENDAS DE VESTIR</t>
  </si>
  <si>
    <t>219</t>
  </si>
  <si>
    <t>OTROS TEXTILES</t>
  </si>
  <si>
    <t>220</t>
  </si>
  <si>
    <t>COMBUSTIBLES Y LUB.</t>
  </si>
  <si>
    <t>221</t>
  </si>
  <si>
    <t>DIESEL</t>
  </si>
  <si>
    <t>223</t>
  </si>
  <si>
    <t>GASOLINA</t>
  </si>
  <si>
    <t>224</t>
  </si>
  <si>
    <t>LUBRICANTES</t>
  </si>
  <si>
    <t>OTROS COMBUSTIBLES</t>
  </si>
  <si>
    <t>230</t>
  </si>
  <si>
    <t>PROD. DE PAPEL</t>
  </si>
  <si>
    <t>231</t>
  </si>
  <si>
    <t>IMPRESOS</t>
  </si>
  <si>
    <t>232</t>
  </si>
  <si>
    <t>PAPELERIA</t>
  </si>
  <si>
    <t>239</t>
  </si>
  <si>
    <t>OTROS PROD. DE PAPEL</t>
  </si>
  <si>
    <t>240</t>
  </si>
  <si>
    <t>OTROS PROD. QUIMICOS</t>
  </si>
  <si>
    <t>241</t>
  </si>
  <si>
    <t>ABONOS Y FERTILIZANTES</t>
  </si>
  <si>
    <t>242</t>
  </si>
  <si>
    <t>INSECT. FUMIGANTES Y OTROS</t>
  </si>
  <si>
    <t>243</t>
  </si>
  <si>
    <t>PINTURAS</t>
  </si>
  <si>
    <t>244</t>
  </si>
  <si>
    <t>PRODUCTOS MEDICINALES</t>
  </si>
  <si>
    <t>249</t>
  </si>
  <si>
    <t>OTROS P. QUIMICOS</t>
  </si>
  <si>
    <t>250</t>
  </si>
  <si>
    <t>MAT. DE CONSTRUCCION</t>
  </si>
  <si>
    <t>252</t>
  </si>
  <si>
    <t>CEMENTO</t>
  </si>
  <si>
    <t>253</t>
  </si>
  <si>
    <t>MADERAS</t>
  </si>
  <si>
    <t>M. DE PLOMERIA</t>
  </si>
  <si>
    <t>255</t>
  </si>
  <si>
    <t>M. DE ELECTRICIDAD</t>
  </si>
  <si>
    <t>256</t>
  </si>
  <si>
    <t>M. METALICOS</t>
  </si>
  <si>
    <t>PIEDRA Y ARENA</t>
  </si>
  <si>
    <t>259</t>
  </si>
  <si>
    <t>OROS MATERIALES</t>
  </si>
  <si>
    <t>260</t>
  </si>
  <si>
    <t>PRODUCTOS VARIOS</t>
  </si>
  <si>
    <t>ARTICULOS PARA RECEPCION</t>
  </si>
  <si>
    <t>262</t>
  </si>
  <si>
    <t>265</t>
  </si>
  <si>
    <t>269</t>
  </si>
  <si>
    <t>OTROS P. VARIOS</t>
  </si>
  <si>
    <t>270</t>
  </si>
  <si>
    <t>UTILES DE M. DIVERSOS</t>
  </si>
  <si>
    <t>271</t>
  </si>
  <si>
    <t>UTILES DE COCINA Y COMEDOR</t>
  </si>
  <si>
    <t>272</t>
  </si>
  <si>
    <t>UTILES DEPORTIVOS</t>
  </si>
  <si>
    <t>273</t>
  </si>
  <si>
    <t>UTILES DE ASEO</t>
  </si>
  <si>
    <t>274</t>
  </si>
  <si>
    <t>UTILES DE LABORATORIOS</t>
  </si>
  <si>
    <t>275</t>
  </si>
  <si>
    <t>UTILES DE OFICINA</t>
  </si>
  <si>
    <t>INSTRUMENTOS MEDICOS</t>
  </si>
  <si>
    <t>ARTICULOS DE PROTESIS Y REHA.</t>
  </si>
  <si>
    <t>279</t>
  </si>
  <si>
    <t>OTROS U. Y MATERIALES</t>
  </si>
  <si>
    <t>280</t>
  </si>
  <si>
    <t>REPUESTOS</t>
  </si>
  <si>
    <t>CR.REC.POR MAT. Y SUM.</t>
  </si>
  <si>
    <t>CR.REC. POR ALIMENTOS</t>
  </si>
  <si>
    <t>CD.REC. COMB. Y LUB.</t>
  </si>
  <si>
    <t>CD.REC. PROD. VARIOS</t>
  </si>
  <si>
    <t>CRED.REC.UTILES Y MAT.</t>
  </si>
  <si>
    <t>3</t>
  </si>
  <si>
    <t>MAQUINARIA Y EQUIPO</t>
  </si>
  <si>
    <t>MAQ.Y EQ. DE PRODUCCION</t>
  </si>
  <si>
    <t>MAQ. Y EQ. TRANSPORTE</t>
  </si>
  <si>
    <t>EQUIPO DE LABORATORIO</t>
  </si>
  <si>
    <t>EQUIPO DE, LABORATORIO</t>
  </si>
  <si>
    <t>MOBILIARIO DE OFICINA</t>
  </si>
  <si>
    <t>MAQ. Y EQUIPOS VARIOS</t>
  </si>
  <si>
    <t>EQUIPO DE COMPUTACION</t>
  </si>
  <si>
    <t>INV. FINANCIERAS</t>
  </si>
  <si>
    <t>COMPRA DE EXISTENCIA</t>
  </si>
  <si>
    <t>OTRAS EXISTENCIAS</t>
  </si>
  <si>
    <t>CR. REC. INVERSIONES FIN.</t>
  </si>
  <si>
    <t>CR. REC.  COMPRA EXISTENCIA</t>
  </si>
  <si>
    <t>6</t>
  </si>
  <si>
    <t>600</t>
  </si>
  <si>
    <t>PENSIONES Y JUBILACIONES</t>
  </si>
  <si>
    <t>609</t>
  </si>
  <si>
    <t>610</t>
  </si>
  <si>
    <t>BECAS DE ESTUDIO</t>
  </si>
  <si>
    <t>ADIEST. Y ESTUDIOS</t>
  </si>
  <si>
    <t>660</t>
  </si>
  <si>
    <t>TRANSF. AL EXTERIOR</t>
  </si>
  <si>
    <t>CUOTA  ORG. CENTROAM.</t>
  </si>
  <si>
    <t>663</t>
  </si>
  <si>
    <t>CUOTA  ORG. INTERAM.</t>
  </si>
  <si>
    <t>664</t>
  </si>
  <si>
    <t>CUOTA A ORG. MUNDIALES</t>
  </si>
  <si>
    <t>TOTAL FUNCIONAMIENTO</t>
  </si>
  <si>
    <t>163</t>
  </si>
  <si>
    <t>GASTOS JUDICIALES</t>
  </si>
  <si>
    <t>GAS</t>
  </si>
  <si>
    <t>099</t>
  </si>
  <si>
    <t>132</t>
  </si>
  <si>
    <t>PROMOCION Y PUBLICIDAD</t>
  </si>
  <si>
    <t>MANT. Y REPARACION MAQ. OTROS</t>
  </si>
  <si>
    <t>MANT. Y REPARACION  MOBILIARIOS</t>
  </si>
  <si>
    <t>MANT. Y REPARACION  OBRAS</t>
  </si>
  <si>
    <t>OTRAS MAQ. Y EQ. TRANSPORTE</t>
  </si>
  <si>
    <t>622</t>
  </si>
  <si>
    <t>BECAS UNIVERSITARIAS</t>
  </si>
  <si>
    <t>DONATIVOS A PERSONAS</t>
  </si>
  <si>
    <t>096</t>
  </si>
  <si>
    <t>CRED.REC.POR DECIMO III</t>
  </si>
  <si>
    <t>CRED. REC. POR TRANSF.COM</t>
  </si>
  <si>
    <t>MANT. DE EQUIPOS DE COMP.</t>
  </si>
  <si>
    <t xml:space="preserve">MAQ. Y EQUIPO DE TALLERES </t>
  </si>
  <si>
    <t>OTRAS TRANSFERENCIAS</t>
  </si>
  <si>
    <t>CONSULTORIAS Y SERV</t>
  </si>
  <si>
    <t>INDEMNIZ. POR RETIRO VOL.</t>
  </si>
  <si>
    <t>INDEMNIZ. ESPECIALES</t>
  </si>
  <si>
    <t>CRED.REC.POR REPUESTOS</t>
  </si>
  <si>
    <t>CR. REC.TRASNF. EXTERIOR</t>
  </si>
  <si>
    <t>Maq. Y Equipo Industrial</t>
  </si>
  <si>
    <t>Maq. Y Equipo de Talleres y Almacenes</t>
  </si>
  <si>
    <t>094</t>
  </si>
  <si>
    <t>CRED. REC. GASTOS E REPRES.</t>
  </si>
  <si>
    <t>CR.RECONOCIDO POR MAQ. Y EQ.</t>
  </si>
  <si>
    <t>MAT. Y EQUIPO DE SEGURIDAD</t>
  </si>
  <si>
    <t>MAQ. Y EQUIPO DE ENERGIA</t>
  </si>
  <si>
    <t>CD.REC. TEXTILES Y VESTUARIOS</t>
  </si>
  <si>
    <t>CD.REC.POR MATERIALES CONST.</t>
  </si>
  <si>
    <t>INDEMNIZACIONES LABORALES</t>
  </si>
  <si>
    <t>081</t>
  </si>
  <si>
    <t>GRATIFICACIÓN O AGUINALDO</t>
  </si>
  <si>
    <t>CR.REC.PROD. QUIMICOS Y CONEXOS</t>
  </si>
  <si>
    <t>TRANSPORTE DE BIENES</t>
  </si>
  <si>
    <t>MAT. Y SUMINISTROS DE COMP.</t>
  </si>
  <si>
    <t>TRANSFERENCIAS CORR.</t>
  </si>
  <si>
    <t>O/G</t>
  </si>
  <si>
    <t>7=1-4</t>
  </si>
  <si>
    <t>8=4/2*100</t>
  </si>
  <si>
    <t>EJECUCIÓN  PORCENTUAL</t>
  </si>
  <si>
    <t>CRED.REC. POR SERVICIOS NO PERS.</t>
  </si>
  <si>
    <t>CRED.REC.POR SERV. BÁSICOS</t>
  </si>
  <si>
    <t>CRED.REC.POR TRANSP. PERSONAS</t>
  </si>
  <si>
    <t>UNIVERSIDAD TECNOLÓGICA DE PANAMÁ</t>
  </si>
  <si>
    <t>DIRECCIÓN NACIONAL DE PRESUPUESTO</t>
  </si>
  <si>
    <t xml:space="preserve">CUADRO A-6A. EJECUCION PRESUPUESTARIA  DE FUNCIONAMIENTO </t>
  </si>
  <si>
    <t>OTRAS PENSIONES Y JUBILACIONES</t>
  </si>
  <si>
    <t>MAQ. Y EQUIPO ACUEDUC. Y RIEGO</t>
  </si>
  <si>
    <t>CRED.REC.POR AlQUILERES</t>
  </si>
  <si>
    <t>CRED.REC.POR IMPRESIÓN Y ENC.</t>
  </si>
  <si>
    <t>CRED.REC.POR VIÁTICOS</t>
  </si>
  <si>
    <t>CRED.REC.POR SERV. COMERCIALES</t>
  </si>
  <si>
    <t>CRED.REC.POR MANTO. Y REPARAC.</t>
  </si>
  <si>
    <t>CR.RECONOCIDO   EQUIPO COMP.</t>
  </si>
  <si>
    <t>SERVICIO TRASMISION DATOS</t>
  </si>
  <si>
    <t>CD.REC. PRODUCTO DE PAPEL</t>
  </si>
  <si>
    <t>MAQ. Y EQUIPO CONSTRUCCIONES</t>
  </si>
  <si>
    <t>EQUIPO MÉDICO Y LABORATORIO</t>
  </si>
  <si>
    <t>CR.RECONOCIDO  EQ. EDUCACIONAL</t>
  </si>
  <si>
    <t>CRED. REC. POR SOBRESURLDOS</t>
  </si>
  <si>
    <t>SERVICIO DE TELEFONÍA CELULAR</t>
  </si>
  <si>
    <t>MAQ. Y  EQUIPO  INDUSTRIAL</t>
  </si>
  <si>
    <t>MAQ. Y  EQUIPO  COMUNICACIONES</t>
  </si>
  <si>
    <t>013</t>
  </si>
  <si>
    <t>MAQ. Y  EQUIPO AGROPECUARIO</t>
  </si>
  <si>
    <t>EJECUCIÓN POR PAGAR</t>
  </si>
  <si>
    <t>CRED.REC.POR CONSULTORÍAS</t>
  </si>
  <si>
    <t>CR. REC.TRASNF. CORRIENTES</t>
  </si>
  <si>
    <t xml:space="preserve">                                                                                                                            </t>
  </si>
  <si>
    <t>GASTOS BANCARIOS</t>
  </si>
  <si>
    <t>CRE.REC.POR CONT. SGURIDAD SOC.</t>
  </si>
  <si>
    <t>CRE.REC.POR OTROS SERVICIOS ESP.</t>
  </si>
  <si>
    <t>HERRAMIENTAS  E INSTRUMENTOS</t>
  </si>
  <si>
    <t>CR. REC.P'OR BECAS DE ESTUDIOS</t>
  </si>
  <si>
    <t>098</t>
  </si>
  <si>
    <t>Fuente: Dirección Nacional de Presupuesto.</t>
  </si>
  <si>
    <t>DEVENGADA</t>
  </si>
  <si>
    <t>7=2-47</t>
  </si>
  <si>
    <t xml:space="preserve"> OBJETO DE GASTO: AL  30 DE MAYO DE 2023 (En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</si>
</sst>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€]#,##0.00\ ;[$€]\(#,##0.00\);[$€]\-#\ ;@\ "/>
    <numFmt numFmtId="165" formatCode="0.0"/>
    <numFmt numFmtId="166" formatCode="0.00\ "/>
    <numFmt numFmtId="167" formatCode="0.00\ ;[Red]\-0.00\ "/>
  </numFmts>
  <fonts count="13" x14ac:knownFonts="1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rgb="FF002060"/>
      <name val="Arial"/>
      <family val="2"/>
    </font>
    <font>
      <sz val="8"/>
      <color rgb="FF002060"/>
      <name val="Arial"/>
      <family val="2"/>
    </font>
    <font>
      <sz val="9"/>
      <color rgb="FF002060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31"/>
      </patternFill>
    </fill>
  </fills>
  <borders count="75">
    <border>
      <left/>
      <right/>
      <top/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2"/>
      </bottom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/>
      <right style="thin">
        <color theme="3" tint="-0.4999847407452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indexed="64"/>
      </bottom>
      <diagonal/>
    </border>
    <border>
      <left style="thin">
        <color theme="3" tint="-0.499984740745262"/>
      </left>
      <right/>
      <top/>
      <bottom style="thin">
        <color indexed="62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rgb="FF002060"/>
      </left>
      <right style="thin">
        <color indexed="62"/>
      </right>
      <top/>
      <bottom/>
      <diagonal/>
    </border>
    <border>
      <left/>
      <right style="thin">
        <color theme="3" tint="-0.499984740745262"/>
      </right>
      <top/>
      <bottom style="thin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rgb="FF000066"/>
      </left>
      <right style="thin">
        <color rgb="FF000066"/>
      </right>
      <top/>
      <bottom/>
      <diagonal/>
    </border>
    <border>
      <left style="thin">
        <color rgb="FF000066"/>
      </left>
      <right style="thin">
        <color rgb="FF000066"/>
      </right>
      <top/>
      <bottom style="medium">
        <color rgb="FF000066"/>
      </bottom>
      <diagonal/>
    </border>
    <border>
      <left style="thin">
        <color indexed="62"/>
      </left>
      <right style="thin">
        <color indexed="62"/>
      </right>
      <top style="medium">
        <color rgb="FF000066"/>
      </top>
      <bottom style="medium">
        <color rgb="FF000066"/>
      </bottom>
      <diagonal/>
    </border>
    <border>
      <left style="thin">
        <color indexed="62"/>
      </left>
      <right/>
      <top style="medium">
        <color rgb="FF000066"/>
      </top>
      <bottom style="medium">
        <color rgb="FF000066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rgb="FF000066"/>
      </top>
      <bottom style="medium">
        <color rgb="FF000066"/>
      </bottom>
      <diagonal/>
    </border>
    <border>
      <left style="thin">
        <color theme="3" tint="-0.24994659260841701"/>
      </left>
      <right/>
      <top/>
      <bottom/>
      <diagonal/>
    </border>
    <border>
      <left style="thin">
        <color indexed="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rgb="FF000066"/>
      </top>
      <bottom style="medium">
        <color indexed="62"/>
      </bottom>
      <diagonal/>
    </border>
    <border>
      <left style="thin">
        <color theme="3" tint="-0.499984740745262"/>
      </left>
      <right/>
      <top style="thin">
        <color rgb="FF000066"/>
      </top>
      <bottom style="medium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theme="3" tint="-0.499984740745262"/>
      </left>
      <right style="thin">
        <color indexed="64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indexed="62"/>
      </bottom>
      <diagonal/>
    </border>
    <border>
      <left/>
      <right style="thin">
        <color indexed="62"/>
      </right>
      <top style="medium">
        <color rgb="FF000066"/>
      </top>
      <bottom style="medium">
        <color rgb="FF000066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auto="1"/>
      </top>
      <bottom style="medium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medium">
        <color auto="1"/>
      </bottom>
      <diagonal/>
    </border>
    <border>
      <left style="thin">
        <color theme="3" tint="-0.24994659260841701"/>
      </left>
      <right/>
      <top style="medium">
        <color auto="1"/>
      </top>
      <bottom style="medium">
        <color auto="1"/>
      </bottom>
      <diagonal/>
    </border>
    <border>
      <left/>
      <right style="thin">
        <color theme="3" tint="-0.499984740745262"/>
      </right>
      <top/>
      <bottom style="medium">
        <color indexed="62"/>
      </bottom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4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rgb="FF000066"/>
      </top>
      <bottom style="medium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 style="thin">
        <color auto="1"/>
      </bottom>
      <diagonal/>
    </border>
    <border>
      <left/>
      <right style="thin">
        <color theme="3" tint="-0.499984740745262"/>
      </right>
      <top style="medium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thin">
        <color indexed="62"/>
      </bottom>
      <diagonal/>
    </border>
    <border>
      <left style="thin">
        <color theme="3" tint="-0.499984740745262"/>
      </left>
      <right/>
      <top style="medium">
        <color auto="1"/>
      </top>
      <bottom style="thin">
        <color indexed="62"/>
      </bottom>
      <diagonal/>
    </border>
    <border>
      <left style="thin">
        <color theme="3" tint="-0.499984740745262"/>
      </left>
      <right/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medium">
        <color auto="1"/>
      </top>
      <bottom style="medium">
        <color auto="1"/>
      </bottom>
      <diagonal/>
    </border>
    <border>
      <left style="thin">
        <color indexed="62"/>
      </left>
      <right/>
      <top style="medium">
        <color auto="1"/>
      </top>
      <bottom style="medium">
        <color auto="1"/>
      </bottom>
      <diagonal/>
    </border>
    <border>
      <left/>
      <right style="thin">
        <color theme="3" tint="-0.499984740745262"/>
      </right>
      <top/>
      <bottom style="thin">
        <color auto="1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rgb="FF000066"/>
      </bottom>
      <diagonal/>
    </border>
    <border>
      <left style="thin">
        <color indexed="62"/>
      </left>
      <right style="thin">
        <color indexed="64"/>
      </right>
      <top style="medium">
        <color rgb="FF000066"/>
      </top>
      <bottom style="medium">
        <color rgb="FF000066"/>
      </bottom>
      <diagonal/>
    </border>
    <border>
      <left style="thin">
        <color theme="3" tint="-0.24994659260841701"/>
      </left>
      <right style="thin">
        <color indexed="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3" tint="-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3" tint="-0.499984740745262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ill="0" applyBorder="0" applyAlignment="0" applyProtection="0"/>
    <xf numFmtId="0" fontId="3" fillId="0" borderId="0"/>
  </cellStyleXfs>
  <cellXfs count="212">
    <xf numFmtId="0" fontId="0" fillId="0" borderId="0" xfId="0"/>
    <xf numFmtId="3" fontId="0" fillId="0" borderId="0" xfId="0" applyNumberFormat="1"/>
    <xf numFmtId="3" fontId="0" fillId="0" borderId="0" xfId="0" applyNumberFormat="1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0" fillId="0" borderId="0" xfId="0" applyFont="1"/>
    <xf numFmtId="3" fontId="7" fillId="0" borderId="0" xfId="0" applyNumberFormat="1" applyFont="1"/>
    <xf numFmtId="4" fontId="0" fillId="0" borderId="0" xfId="0" applyNumberFormat="1"/>
    <xf numFmtId="4" fontId="0" fillId="0" borderId="0" xfId="0" applyNumberFormat="1" applyFont="1"/>
    <xf numFmtId="3" fontId="8" fillId="0" borderId="9" xfId="0" applyNumberFormat="1" applyFont="1" applyBorder="1" applyAlignment="1" applyProtection="1">
      <alignment horizontal="left"/>
    </xf>
    <xf numFmtId="3" fontId="8" fillId="0" borderId="6" xfId="0" applyNumberFormat="1" applyFont="1" applyBorder="1" applyAlignment="1" applyProtection="1">
      <alignment horizontal="left"/>
    </xf>
    <xf numFmtId="3" fontId="8" fillId="0" borderId="6" xfId="0" applyNumberFormat="1" applyFont="1" applyFill="1" applyBorder="1" applyProtection="1"/>
    <xf numFmtId="37" fontId="8" fillId="0" borderId="6" xfId="0" applyNumberFormat="1" applyFont="1" applyFill="1" applyBorder="1" applyAlignment="1" applyProtection="1"/>
    <xf numFmtId="3" fontId="8" fillId="0" borderId="6" xfId="0" applyNumberFormat="1" applyFont="1" applyBorder="1"/>
    <xf numFmtId="3" fontId="10" fillId="0" borderId="9" xfId="0" applyNumberFormat="1" applyFont="1" applyBorder="1" applyAlignment="1" applyProtection="1">
      <alignment horizontal="left"/>
    </xf>
    <xf numFmtId="3" fontId="10" fillId="0" borderId="6" xfId="0" applyNumberFormat="1" applyFont="1" applyBorder="1" applyAlignment="1" applyProtection="1">
      <alignment horizontal="left"/>
    </xf>
    <xf numFmtId="3" fontId="10" fillId="0" borderId="6" xfId="0" applyNumberFormat="1" applyFont="1" applyFill="1" applyBorder="1" applyProtection="1"/>
    <xf numFmtId="3" fontId="10" fillId="0" borderId="6" xfId="0" applyNumberFormat="1" applyFont="1" applyBorder="1"/>
    <xf numFmtId="3" fontId="8" fillId="0" borderId="6" xfId="0" applyNumberFormat="1" applyFont="1" applyBorder="1" applyAlignment="1">
      <alignment horizontal="right"/>
    </xf>
    <xf numFmtId="3" fontId="8" fillId="0" borderId="9" xfId="0" applyNumberFormat="1" applyFont="1" applyFill="1" applyBorder="1" applyAlignment="1" applyProtection="1"/>
    <xf numFmtId="3" fontId="10" fillId="0" borderId="9" xfId="0" applyNumberFormat="1" applyFont="1" applyFill="1" applyBorder="1" applyAlignment="1" applyProtection="1"/>
    <xf numFmtId="3" fontId="8" fillId="0" borderId="9" xfId="0" applyNumberFormat="1" applyFont="1" applyFill="1" applyBorder="1" applyAlignment="1" applyProtection="1">
      <alignment horizontal="left"/>
    </xf>
    <xf numFmtId="3" fontId="10" fillId="0" borderId="9" xfId="0" applyNumberFormat="1" applyFont="1" applyFill="1" applyBorder="1" applyAlignment="1" applyProtection="1">
      <alignment horizontal="left" vertical="center" wrapText="1"/>
    </xf>
    <xf numFmtId="3" fontId="10" fillId="0" borderId="0" xfId="0" applyNumberFormat="1" applyFont="1" applyBorder="1" applyAlignment="1" applyProtection="1">
      <alignment horizontal="left"/>
    </xf>
    <xf numFmtId="3" fontId="8" fillId="0" borderId="0" xfId="0" applyNumberFormat="1" applyFont="1" applyBorder="1" applyAlignment="1" applyProtection="1">
      <alignment horizontal="left"/>
    </xf>
    <xf numFmtId="0" fontId="8" fillId="0" borderId="0" xfId="0" applyFont="1" applyAlignment="1">
      <alignment horizontal="left"/>
    </xf>
    <xf numFmtId="3" fontId="10" fillId="0" borderId="1" xfId="0" applyNumberFormat="1" applyFont="1" applyBorder="1" applyAlignment="1" applyProtection="1">
      <alignment horizontal="left" vertical="center"/>
    </xf>
    <xf numFmtId="3" fontId="8" fillId="0" borderId="0" xfId="0" applyNumberFormat="1" applyFont="1" applyFill="1" applyBorder="1" applyAlignment="1" applyProtection="1"/>
    <xf numFmtId="3" fontId="10" fillId="0" borderId="0" xfId="0" applyNumberFormat="1" applyFont="1" applyFill="1" applyBorder="1" applyAlignment="1" applyProtection="1"/>
    <xf numFmtId="3" fontId="10" fillId="0" borderId="0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horizontal="left"/>
    </xf>
    <xf numFmtId="3" fontId="10" fillId="0" borderId="0" xfId="0" applyNumberFormat="1" applyFont="1" applyFill="1" applyBorder="1" applyAlignment="1" applyProtection="1">
      <alignment horizontal="left"/>
    </xf>
    <xf numFmtId="0" fontId="8" fillId="0" borderId="0" xfId="0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3" fontId="8" fillId="0" borderId="37" xfId="0" applyNumberFormat="1" applyFont="1" applyBorder="1" applyAlignment="1" applyProtection="1">
      <alignment horizontal="left"/>
    </xf>
    <xf numFmtId="3" fontId="10" fillId="0" borderId="0" xfId="0" applyNumberFormat="1" applyFont="1" applyBorder="1" applyAlignment="1">
      <alignment horizontal="left"/>
    </xf>
    <xf numFmtId="3" fontId="8" fillId="0" borderId="6" xfId="0" applyNumberFormat="1" applyFont="1" applyFill="1" applyBorder="1" applyAlignment="1" applyProtection="1"/>
    <xf numFmtId="3" fontId="10" fillId="0" borderId="6" xfId="0" applyNumberFormat="1" applyFont="1" applyFill="1" applyBorder="1" applyAlignment="1" applyProtection="1"/>
    <xf numFmtId="3" fontId="10" fillId="0" borderId="6" xfId="0" applyNumberFormat="1" applyFont="1" applyFill="1" applyBorder="1" applyAlignment="1" applyProtection="1">
      <alignment vertical="center" wrapText="1"/>
    </xf>
    <xf numFmtId="3" fontId="10" fillId="0" borderId="6" xfId="0" applyNumberFormat="1" applyFont="1" applyFill="1" applyBorder="1" applyAlignment="1"/>
    <xf numFmtId="3" fontId="8" fillId="0" borderId="24" xfId="0" applyNumberFormat="1" applyFont="1" applyBorder="1" applyAlignment="1" applyProtection="1">
      <alignment horizontal="left"/>
    </xf>
    <xf numFmtId="0" fontId="8" fillId="0" borderId="24" xfId="0" applyFont="1" applyBorder="1"/>
    <xf numFmtId="3" fontId="8" fillId="0" borderId="25" xfId="0" applyNumberFormat="1" applyFont="1" applyBorder="1" applyAlignment="1" applyProtection="1">
      <alignment horizontal="left"/>
    </xf>
    <xf numFmtId="3" fontId="8" fillId="0" borderId="25" xfId="0" applyNumberFormat="1" applyFont="1" applyFill="1" applyBorder="1" applyProtection="1"/>
    <xf numFmtId="3" fontId="8" fillId="0" borderId="25" xfId="0" applyNumberFormat="1" applyFont="1" applyBorder="1"/>
    <xf numFmtId="3" fontId="10" fillId="0" borderId="22" xfId="0" applyNumberFormat="1" applyFont="1" applyFill="1" applyBorder="1" applyAlignment="1" applyProtection="1">
      <alignment vertical="center"/>
    </xf>
    <xf numFmtId="3" fontId="10" fillId="0" borderId="6" xfId="0" applyNumberFormat="1" applyFont="1" applyBorder="1" applyAlignment="1">
      <alignment vertical="center"/>
    </xf>
    <xf numFmtId="3" fontId="8" fillId="0" borderId="22" xfId="0" applyNumberFormat="1" applyFont="1" applyFill="1" applyBorder="1" applyProtection="1"/>
    <xf numFmtId="3" fontId="8" fillId="0" borderId="0" xfId="0" applyNumberFormat="1" applyFont="1" applyBorder="1"/>
    <xf numFmtId="3" fontId="8" fillId="0" borderId="22" xfId="0" applyNumberFormat="1" applyFont="1" applyBorder="1"/>
    <xf numFmtId="3" fontId="10" fillId="0" borderId="22" xfId="0" applyNumberFormat="1" applyFont="1" applyFill="1" applyBorder="1" applyProtection="1"/>
    <xf numFmtId="3" fontId="8" fillId="0" borderId="16" xfId="0" applyNumberFormat="1" applyFont="1" applyFill="1" applyBorder="1" applyProtection="1"/>
    <xf numFmtId="3" fontId="10" fillId="0" borderId="15" xfId="0" applyNumberFormat="1" applyFont="1" applyFill="1" applyBorder="1" applyAlignment="1" applyProtection="1">
      <alignment vertical="center"/>
    </xf>
    <xf numFmtId="3" fontId="10" fillId="0" borderId="17" xfId="0" applyNumberFormat="1" applyFont="1" applyFill="1" applyBorder="1" applyAlignment="1" applyProtection="1">
      <alignment vertical="center"/>
    </xf>
    <xf numFmtId="3" fontId="8" fillId="0" borderId="14" xfId="0" applyNumberFormat="1" applyFont="1" applyBorder="1"/>
    <xf numFmtId="3" fontId="8" fillId="0" borderId="15" xfId="0" applyNumberFormat="1" applyFont="1" applyBorder="1"/>
    <xf numFmtId="3" fontId="8" fillId="0" borderId="14" xfId="0" applyNumberFormat="1" applyFont="1" applyFill="1" applyBorder="1" applyProtection="1"/>
    <xf numFmtId="3" fontId="8" fillId="0" borderId="15" xfId="0" applyNumberFormat="1" applyFont="1" applyFill="1" applyBorder="1" applyProtection="1"/>
    <xf numFmtId="3" fontId="10" fillId="0" borderId="14" xfId="0" applyNumberFormat="1" applyFont="1" applyFill="1" applyBorder="1" applyAlignment="1" applyProtection="1">
      <alignment vertical="center"/>
    </xf>
    <xf numFmtId="3" fontId="10" fillId="0" borderId="20" xfId="0" applyNumberFormat="1" applyFont="1" applyFill="1" applyBorder="1" applyAlignment="1" applyProtection="1"/>
    <xf numFmtId="3" fontId="10" fillId="0" borderId="20" xfId="0" applyNumberFormat="1" applyFont="1" applyFill="1" applyBorder="1" applyProtection="1"/>
    <xf numFmtId="3" fontId="10" fillId="0" borderId="20" xfId="0" applyNumberFormat="1" applyFont="1" applyBorder="1"/>
    <xf numFmtId="3" fontId="8" fillId="0" borderId="20" xfId="0" applyNumberFormat="1" applyFont="1" applyBorder="1" applyAlignment="1" applyProtection="1">
      <alignment horizontal="left"/>
    </xf>
    <xf numFmtId="3" fontId="8" fillId="0" borderId="20" xfId="0" applyNumberFormat="1" applyFont="1" applyFill="1" applyBorder="1" applyProtection="1"/>
    <xf numFmtId="3" fontId="8" fillId="0" borderId="20" xfId="0" applyNumberFormat="1" applyFont="1" applyBorder="1"/>
    <xf numFmtId="0" fontId="8" fillId="0" borderId="20" xfId="0" applyFont="1" applyBorder="1"/>
    <xf numFmtId="3" fontId="8" fillId="0" borderId="20" xfId="0" applyNumberFormat="1" applyFont="1" applyFill="1" applyBorder="1" applyAlignment="1" applyProtection="1"/>
    <xf numFmtId="3" fontId="10" fillId="0" borderId="20" xfId="0" applyNumberFormat="1" applyFont="1" applyBorder="1" applyAlignment="1" applyProtection="1">
      <alignment horizontal="left"/>
    </xf>
    <xf numFmtId="3" fontId="10" fillId="0" borderId="29" xfId="0" applyNumberFormat="1" applyFont="1" applyFill="1" applyBorder="1" applyProtection="1"/>
    <xf numFmtId="3" fontId="10" fillId="0" borderId="16" xfId="0" applyNumberFormat="1" applyFont="1" applyFill="1" applyBorder="1" applyProtection="1"/>
    <xf numFmtId="3" fontId="10" fillId="0" borderId="16" xfId="0" applyNumberFormat="1" applyFont="1" applyBorder="1"/>
    <xf numFmtId="3" fontId="10" fillId="0" borderId="30" xfId="0" applyNumberFormat="1" applyFont="1" applyBorder="1"/>
    <xf numFmtId="3" fontId="10" fillId="0" borderId="34" xfId="0" applyNumberFormat="1" applyFont="1" applyBorder="1"/>
    <xf numFmtId="3" fontId="10" fillId="0" borderId="0" xfId="0" applyNumberFormat="1" applyFont="1" applyFill="1" applyBorder="1" applyProtection="1"/>
    <xf numFmtId="3" fontId="8" fillId="0" borderId="16" xfId="0" applyNumberFormat="1" applyFont="1" applyBorder="1"/>
    <xf numFmtId="3" fontId="8" fillId="0" borderId="30" xfId="0" applyNumberFormat="1" applyFont="1" applyBorder="1"/>
    <xf numFmtId="3" fontId="8" fillId="0" borderId="34" xfId="0" applyNumberFormat="1" applyFont="1" applyBorder="1"/>
    <xf numFmtId="3" fontId="8" fillId="0" borderId="33" xfId="0" applyNumberFormat="1" applyFont="1" applyFill="1" applyBorder="1" applyProtection="1"/>
    <xf numFmtId="3" fontId="8" fillId="0" borderId="33" xfId="0" applyNumberFormat="1" applyFont="1" applyBorder="1"/>
    <xf numFmtId="3" fontId="2" fillId="0" borderId="18" xfId="0" applyNumberFormat="1" applyFont="1" applyBorder="1" applyAlignment="1" applyProtection="1">
      <alignment horizontal="left" vertical="center"/>
    </xf>
    <xf numFmtId="3" fontId="10" fillId="0" borderId="7" xfId="0" applyNumberFormat="1" applyFont="1" applyBorder="1" applyAlignment="1" applyProtection="1">
      <alignment horizontal="left" vertical="center"/>
    </xf>
    <xf numFmtId="3" fontId="10" fillId="0" borderId="7" xfId="0" applyNumberFormat="1" applyFont="1" applyFill="1" applyBorder="1" applyAlignment="1" applyProtection="1">
      <alignment vertical="center"/>
    </xf>
    <xf numFmtId="3" fontId="10" fillId="0" borderId="7" xfId="0" applyNumberFormat="1" applyFont="1" applyBorder="1" applyAlignment="1">
      <alignment vertical="center"/>
    </xf>
    <xf numFmtId="3" fontId="2" fillId="0" borderId="10" xfId="0" applyNumberFormat="1" applyFont="1" applyBorder="1" applyAlignment="1" applyProtection="1">
      <alignment horizontal="left" vertical="center"/>
    </xf>
    <xf numFmtId="3" fontId="10" fillId="0" borderId="36" xfId="0" applyNumberFormat="1" applyFont="1" applyBorder="1" applyAlignment="1" applyProtection="1">
      <alignment horizontal="left" vertical="center"/>
    </xf>
    <xf numFmtId="3" fontId="10" fillId="0" borderId="26" xfId="0" applyNumberFormat="1" applyFont="1" applyFill="1" applyBorder="1" applyAlignment="1" applyProtection="1">
      <alignment vertical="center"/>
    </xf>
    <xf numFmtId="3" fontId="10" fillId="0" borderId="27" xfId="0" applyNumberFormat="1" applyFont="1" applyFill="1" applyBorder="1" applyAlignment="1" applyProtection="1">
      <alignment vertical="center"/>
    </xf>
    <xf numFmtId="3" fontId="10" fillId="0" borderId="28" xfId="0" applyNumberFormat="1" applyFont="1" applyBorder="1" applyAlignment="1">
      <alignment vertical="center"/>
    </xf>
    <xf numFmtId="3" fontId="10" fillId="0" borderId="26" xfId="0" applyNumberFormat="1" applyFont="1" applyBorder="1" applyAlignment="1">
      <alignment vertical="center"/>
    </xf>
    <xf numFmtId="3" fontId="10" fillId="0" borderId="37" xfId="0" applyNumberFormat="1" applyFont="1" applyBorder="1" applyAlignment="1" applyProtection="1">
      <alignment horizontal="left"/>
    </xf>
    <xf numFmtId="3" fontId="10" fillId="0" borderId="38" xfId="0" applyNumberFormat="1" applyFont="1" applyBorder="1" applyAlignment="1" applyProtection="1">
      <alignment horizontal="left"/>
    </xf>
    <xf numFmtId="3" fontId="10" fillId="0" borderId="38" xfId="0" applyNumberFormat="1" applyFont="1" applyFill="1" applyBorder="1" applyProtection="1"/>
    <xf numFmtId="3" fontId="10" fillId="0" borderId="38" xfId="0" applyNumberFormat="1" applyFont="1" applyBorder="1"/>
    <xf numFmtId="3" fontId="10" fillId="0" borderId="39" xfId="0" applyNumberFormat="1" applyFont="1" applyBorder="1"/>
    <xf numFmtId="3" fontId="10" fillId="0" borderId="3" xfId="0" applyNumberFormat="1" applyFont="1" applyFill="1" applyBorder="1" applyAlignment="1" applyProtection="1">
      <alignment horizontal="left" vertical="center"/>
    </xf>
    <xf numFmtId="3" fontId="10" fillId="0" borderId="3" xfId="0" applyNumberFormat="1" applyFont="1" applyBorder="1" applyAlignment="1" applyProtection="1">
      <alignment horizontal="left" vertical="center"/>
    </xf>
    <xf numFmtId="3" fontId="10" fillId="0" borderId="45" xfId="0" applyNumberFormat="1" applyFont="1" applyBorder="1" applyAlignment="1" applyProtection="1">
      <alignment horizontal="left" vertical="center"/>
    </xf>
    <xf numFmtId="3" fontId="10" fillId="0" borderId="45" xfId="0" applyNumberFormat="1" applyFont="1" applyFill="1" applyBorder="1" applyAlignment="1" applyProtection="1">
      <alignment vertical="center"/>
    </xf>
    <xf numFmtId="3" fontId="10" fillId="0" borderId="42" xfId="0" applyNumberFormat="1" applyFont="1" applyBorder="1" applyAlignment="1" applyProtection="1">
      <alignment horizontal="left" vertical="center"/>
    </xf>
    <xf numFmtId="3" fontId="10" fillId="0" borderId="16" xfId="0" applyNumberFormat="1" applyFont="1" applyFill="1" applyBorder="1" applyAlignment="1" applyProtection="1">
      <alignment vertical="center"/>
    </xf>
    <xf numFmtId="3" fontId="10" fillId="0" borderId="16" xfId="0" applyNumberFormat="1" applyFont="1" applyBorder="1" applyAlignment="1">
      <alignment vertical="center"/>
    </xf>
    <xf numFmtId="3" fontId="8" fillId="0" borderId="16" xfId="0" applyNumberFormat="1" applyFont="1" applyFill="1" applyBorder="1" applyAlignment="1" applyProtection="1"/>
    <xf numFmtId="3" fontId="8" fillId="0" borderId="23" xfId="0" applyNumberFormat="1" applyFont="1" applyFill="1" applyBorder="1" applyProtection="1"/>
    <xf numFmtId="3" fontId="8" fillId="0" borderId="16" xfId="0" applyNumberFormat="1" applyFont="1" applyBorder="1" applyAlignment="1" applyProtection="1">
      <alignment horizontal="left"/>
    </xf>
    <xf numFmtId="3" fontId="10" fillId="0" borderId="16" xfId="0" applyNumberFormat="1" applyFont="1" applyFill="1" applyBorder="1" applyAlignment="1" applyProtection="1"/>
    <xf numFmtId="3" fontId="10" fillId="0" borderId="23" xfId="0" applyNumberFormat="1" applyFont="1" applyFill="1" applyBorder="1" applyAlignment="1" applyProtection="1">
      <alignment vertical="center"/>
    </xf>
    <xf numFmtId="3" fontId="8" fillId="0" borderId="43" xfId="0" applyNumberFormat="1" applyFont="1" applyBorder="1" applyAlignment="1" applyProtection="1">
      <alignment horizontal="left"/>
    </xf>
    <xf numFmtId="3" fontId="8" fillId="0" borderId="42" xfId="0" applyNumberFormat="1" applyFont="1" applyFill="1" applyBorder="1" applyProtection="1"/>
    <xf numFmtId="3" fontId="10" fillId="0" borderId="43" xfId="0" applyNumberFormat="1" applyFont="1" applyFill="1" applyBorder="1" applyAlignment="1" applyProtection="1">
      <alignment vertical="center"/>
    </xf>
    <xf numFmtId="3" fontId="10" fillId="0" borderId="42" xfId="0" applyNumberFormat="1" applyFont="1" applyFill="1" applyBorder="1" applyAlignment="1" applyProtection="1">
      <alignment vertical="center"/>
    </xf>
    <xf numFmtId="3" fontId="10" fillId="0" borderId="44" xfId="0" applyNumberFormat="1" applyFont="1" applyFill="1" applyBorder="1" applyAlignment="1" applyProtection="1">
      <alignment vertical="center"/>
    </xf>
    <xf numFmtId="3" fontId="10" fillId="0" borderId="47" xfId="0" applyNumberFormat="1" applyFont="1" applyFill="1" applyBorder="1" applyAlignment="1" applyProtection="1">
      <alignment vertical="center"/>
    </xf>
    <xf numFmtId="3" fontId="10" fillId="0" borderId="48" xfId="0" applyNumberFormat="1" applyFont="1" applyFill="1" applyBorder="1" applyAlignment="1" applyProtection="1">
      <alignment vertical="center"/>
    </xf>
    <xf numFmtId="3" fontId="10" fillId="0" borderId="49" xfId="0" applyNumberFormat="1" applyFont="1" applyBorder="1" applyAlignment="1">
      <alignment vertical="center"/>
    </xf>
    <xf numFmtId="3" fontId="10" fillId="0" borderId="49" xfId="0" applyNumberFormat="1" applyFont="1" applyFill="1" applyBorder="1" applyAlignment="1" applyProtection="1">
      <alignment vertical="center"/>
    </xf>
    <xf numFmtId="3" fontId="10" fillId="0" borderId="45" xfId="0" applyNumberFormat="1" applyFont="1" applyBorder="1" applyAlignment="1">
      <alignment vertical="center"/>
    </xf>
    <xf numFmtId="3" fontId="10" fillId="0" borderId="23" xfId="0" applyNumberFormat="1" applyFont="1" applyFill="1" applyBorder="1" applyProtection="1"/>
    <xf numFmtId="3" fontId="10" fillId="0" borderId="19" xfId="0" applyNumberFormat="1" applyFont="1" applyFill="1" applyBorder="1" applyProtection="1"/>
    <xf numFmtId="3" fontId="8" fillId="0" borderId="19" xfId="0" applyNumberFormat="1" applyFont="1" applyFill="1" applyBorder="1" applyProtection="1"/>
    <xf numFmtId="3" fontId="8" fillId="0" borderId="19" xfId="0" applyNumberFormat="1" applyFont="1" applyBorder="1"/>
    <xf numFmtId="3" fontId="10" fillId="0" borderId="49" xfId="0" applyNumberFormat="1" applyFont="1" applyBorder="1" applyAlignment="1" applyProtection="1">
      <alignment horizontal="left" vertical="center"/>
    </xf>
    <xf numFmtId="3" fontId="10" fillId="0" borderId="49" xfId="0" applyNumberFormat="1" applyFont="1" applyFill="1" applyBorder="1" applyProtection="1"/>
    <xf numFmtId="3" fontId="10" fillId="0" borderId="50" xfId="0" applyNumberFormat="1" applyFont="1" applyFill="1" applyBorder="1" applyAlignment="1" applyProtection="1">
      <alignment vertical="center"/>
    </xf>
    <xf numFmtId="3" fontId="10" fillId="0" borderId="16" xfId="0" applyNumberFormat="1" applyFont="1" applyBorder="1" applyAlignment="1" applyProtection="1">
      <alignment horizontal="left"/>
    </xf>
    <xf numFmtId="3" fontId="10" fillId="0" borderId="0" xfId="0" applyNumberFormat="1" applyFont="1" applyBorder="1"/>
    <xf numFmtId="3" fontId="10" fillId="0" borderId="19" xfId="0" applyNumberFormat="1" applyFont="1" applyBorder="1"/>
    <xf numFmtId="3" fontId="8" fillId="0" borderId="16" xfId="0" applyNumberFormat="1" applyFont="1" applyBorder="1" applyAlignment="1">
      <alignment horizontal="left"/>
    </xf>
    <xf numFmtId="3" fontId="2" fillId="0" borderId="60" xfId="0" applyNumberFormat="1" applyFont="1" applyBorder="1" applyAlignment="1" applyProtection="1">
      <alignment horizontal="left" vertical="center"/>
    </xf>
    <xf numFmtId="3" fontId="2" fillId="0" borderId="60" xfId="0" applyNumberFormat="1" applyFont="1" applyFill="1" applyBorder="1" applyAlignment="1" applyProtection="1">
      <alignment vertical="center"/>
    </xf>
    <xf numFmtId="3" fontId="2" fillId="0" borderId="61" xfId="0" applyNumberFormat="1" applyFont="1" applyFill="1" applyBorder="1" applyAlignment="1" applyProtection="1">
      <alignment vertical="center"/>
    </xf>
    <xf numFmtId="3" fontId="2" fillId="0" borderId="39" xfId="0" applyNumberFormat="1" applyFont="1" applyBorder="1" applyAlignment="1">
      <alignment vertical="center"/>
    </xf>
    <xf numFmtId="3" fontId="2" fillId="0" borderId="60" xfId="0" applyNumberFormat="1" applyFont="1" applyBorder="1" applyAlignment="1">
      <alignment vertical="center"/>
    </xf>
    <xf numFmtId="49" fontId="8" fillId="0" borderId="9" xfId="0" applyNumberFormat="1" applyFont="1" applyBorder="1" applyAlignment="1" applyProtection="1">
      <alignment horizontal="left"/>
    </xf>
    <xf numFmtId="4" fontId="5" fillId="0" borderId="0" xfId="0" applyNumberFormat="1" applyFont="1"/>
    <xf numFmtId="165" fontId="10" fillId="0" borderId="13" xfId="0" applyNumberFormat="1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165" fontId="10" fillId="0" borderId="27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165" fontId="10" fillId="0" borderId="40" xfId="0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 vertical="center"/>
    </xf>
    <xf numFmtId="165" fontId="2" fillId="0" borderId="61" xfId="0" applyNumberFormat="1" applyFont="1" applyBorder="1" applyAlignment="1">
      <alignment horizontal="center" vertical="center"/>
    </xf>
    <xf numFmtId="3" fontId="10" fillId="0" borderId="65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Protection="1"/>
    <xf numFmtId="3" fontId="10" fillId="0" borderId="66" xfId="0" applyNumberFormat="1" applyFont="1" applyFill="1" applyBorder="1" applyAlignment="1" applyProtection="1">
      <alignment vertical="center"/>
    </xf>
    <xf numFmtId="3" fontId="10" fillId="0" borderId="68" xfId="0" applyNumberFormat="1" applyFont="1" applyFill="1" applyBorder="1" applyAlignment="1" applyProtection="1">
      <alignment vertical="center"/>
    </xf>
    <xf numFmtId="3" fontId="10" fillId="0" borderId="6" xfId="0" applyNumberFormat="1" applyFont="1" applyFill="1" applyBorder="1" applyAlignment="1" applyProtection="1">
      <alignment vertical="center"/>
    </xf>
    <xf numFmtId="37" fontId="10" fillId="0" borderId="16" xfId="0" applyNumberFormat="1" applyFont="1" applyFill="1" applyBorder="1" applyAlignment="1" applyProtection="1">
      <alignment vertical="center"/>
    </xf>
    <xf numFmtId="3" fontId="10" fillId="0" borderId="69" xfId="0" applyNumberFormat="1" applyFont="1" applyBorder="1"/>
    <xf numFmtId="3" fontId="8" fillId="0" borderId="42" xfId="0" applyNumberFormat="1" applyFont="1" applyBorder="1"/>
    <xf numFmtId="3" fontId="8" fillId="0" borderId="63" xfId="0" applyNumberFormat="1" applyFont="1" applyBorder="1"/>
    <xf numFmtId="37" fontId="10" fillId="0" borderId="6" xfId="0" applyNumberFormat="1" applyFont="1" applyFill="1" applyBorder="1" applyProtection="1"/>
    <xf numFmtId="4" fontId="4" fillId="0" borderId="0" xfId="0" applyNumberFormat="1" applyFont="1" applyFill="1" applyBorder="1" applyAlignment="1" applyProtection="1">
      <alignment vertical="center"/>
    </xf>
    <xf numFmtId="0" fontId="10" fillId="2" borderId="5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167" fontId="10" fillId="2" borderId="6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/>
    </xf>
    <xf numFmtId="3" fontId="10" fillId="2" borderId="52" xfId="0" applyNumberFormat="1" applyFont="1" applyFill="1" applyBorder="1" applyAlignment="1">
      <alignment horizontal="center"/>
    </xf>
    <xf numFmtId="3" fontId="10" fillId="2" borderId="52" xfId="0" applyNumberFormat="1" applyFont="1" applyFill="1" applyBorder="1" applyAlignment="1" applyProtection="1">
      <alignment horizontal="center"/>
    </xf>
    <xf numFmtId="3" fontId="10" fillId="2" borderId="31" xfId="0" applyNumberFormat="1" applyFont="1" applyFill="1" applyBorder="1" applyAlignment="1" applyProtection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167" fontId="10" fillId="2" borderId="31" xfId="0" applyNumberFormat="1" applyFont="1" applyFill="1" applyBorder="1" applyAlignment="1">
      <alignment horizontal="center"/>
    </xf>
    <xf numFmtId="49" fontId="10" fillId="2" borderId="32" xfId="0" applyNumberFormat="1" applyFont="1" applyFill="1" applyBorder="1" applyAlignment="1">
      <alignment horizontal="center" vertical="center" wrapText="1"/>
    </xf>
    <xf numFmtId="37" fontId="10" fillId="0" borderId="6" xfId="0" applyNumberFormat="1" applyFont="1" applyFill="1" applyBorder="1" applyAlignment="1" applyProtection="1"/>
    <xf numFmtId="37" fontId="10" fillId="0" borderId="5" xfId="0" applyNumberFormat="1" applyFont="1" applyFill="1" applyBorder="1" applyAlignment="1" applyProtection="1">
      <alignment horizontal="right" vertical="center"/>
    </xf>
    <xf numFmtId="3" fontId="8" fillId="0" borderId="21" xfId="0" applyNumberFormat="1" applyFont="1" applyBorder="1"/>
    <xf numFmtId="37" fontId="10" fillId="0" borderId="70" xfId="0" applyNumberFormat="1" applyFont="1" applyFill="1" applyBorder="1" applyAlignment="1" applyProtection="1">
      <alignment horizontal="right" vertical="center"/>
    </xf>
    <xf numFmtId="0" fontId="9" fillId="0" borderId="0" xfId="0" applyFont="1"/>
    <xf numFmtId="0" fontId="12" fillId="0" borderId="0" xfId="0" applyFont="1"/>
    <xf numFmtId="3" fontId="10" fillId="0" borderId="6" xfId="0" applyNumberFormat="1" applyFont="1" applyFill="1" applyBorder="1" applyAlignment="1" applyProtection="1">
      <alignment horizontal="right"/>
    </xf>
    <xf numFmtId="3" fontId="10" fillId="0" borderId="9" xfId="0" applyNumberFormat="1" applyFont="1" applyBorder="1"/>
    <xf numFmtId="3" fontId="8" fillId="0" borderId="9" xfId="0" applyNumberFormat="1" applyFont="1" applyBorder="1"/>
    <xf numFmtId="37" fontId="8" fillId="0" borderId="6" xfId="0" applyNumberFormat="1" applyFont="1" applyFill="1" applyBorder="1" applyProtection="1"/>
    <xf numFmtId="165" fontId="10" fillId="0" borderId="11" xfId="0" applyNumberFormat="1" applyFont="1" applyBorder="1" applyAlignment="1">
      <alignment horizontal="center" vertical="center"/>
    </xf>
    <xf numFmtId="0" fontId="1" fillId="0" borderId="0" xfId="0" applyFont="1"/>
    <xf numFmtId="3" fontId="10" fillId="2" borderId="6" xfId="0" applyNumberFormat="1" applyFont="1" applyFill="1" applyBorder="1" applyAlignment="1" applyProtection="1">
      <alignment horizontal="center"/>
    </xf>
    <xf numFmtId="3" fontId="10" fillId="2" borderId="6" xfId="0" applyNumberFormat="1" applyFont="1" applyFill="1" applyBorder="1" applyAlignment="1">
      <alignment horizontal="center"/>
    </xf>
    <xf numFmtId="3" fontId="10" fillId="2" borderId="71" xfId="0" applyNumberFormat="1" applyFont="1" applyFill="1" applyBorder="1" applyAlignment="1" applyProtection="1">
      <alignment horizontal="center"/>
    </xf>
    <xf numFmtId="0" fontId="6" fillId="0" borderId="0" xfId="0" applyFont="1" applyBorder="1"/>
    <xf numFmtId="3" fontId="10" fillId="0" borderId="21" xfId="0" applyNumberFormat="1" applyFont="1" applyBorder="1"/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166" fontId="10" fillId="2" borderId="56" xfId="0" applyNumberFormat="1" applyFont="1" applyFill="1" applyBorder="1" applyAlignment="1" applyProtection="1">
      <alignment horizontal="center" vertical="center" wrapText="1"/>
    </xf>
    <xf numFmtId="166" fontId="10" fillId="2" borderId="46" xfId="0" applyNumberFormat="1" applyFont="1" applyFill="1" applyBorder="1" applyAlignment="1" applyProtection="1">
      <alignment horizontal="center" vertical="center" wrapText="1"/>
    </xf>
    <xf numFmtId="3" fontId="10" fillId="2" borderId="56" xfId="0" applyNumberFormat="1" applyFont="1" applyFill="1" applyBorder="1" applyAlignment="1" applyProtection="1">
      <alignment horizontal="center" vertical="center" wrapText="1"/>
    </xf>
    <xf numFmtId="3" fontId="10" fillId="2" borderId="45" xfId="0" applyNumberFormat="1" applyFont="1" applyFill="1" applyBorder="1" applyAlignment="1" applyProtection="1">
      <alignment horizontal="center" vertical="center" wrapText="1"/>
    </xf>
    <xf numFmtId="3" fontId="10" fillId="2" borderId="46" xfId="0" applyNumberFormat="1" applyFont="1" applyFill="1" applyBorder="1" applyAlignment="1" applyProtection="1">
      <alignment horizontal="center" vertical="center" wrapText="1"/>
    </xf>
    <xf numFmtId="3" fontId="10" fillId="2" borderId="54" xfId="0" applyNumberFormat="1" applyFont="1" applyFill="1" applyBorder="1" applyAlignment="1" applyProtection="1">
      <alignment horizontal="center" vertical="center" wrapText="1"/>
    </xf>
    <xf numFmtId="49" fontId="10" fillId="2" borderId="57" xfId="0" applyNumberFormat="1" applyFont="1" applyFill="1" applyBorder="1" applyAlignment="1">
      <alignment horizontal="center" vertical="center" wrapText="1"/>
    </xf>
    <xf numFmtId="49" fontId="10" fillId="2" borderId="58" xfId="0" applyNumberFormat="1" applyFont="1" applyFill="1" applyBorder="1" applyAlignment="1">
      <alignment horizontal="center" vertical="center" wrapText="1"/>
    </xf>
    <xf numFmtId="49" fontId="10" fillId="2" borderId="59" xfId="0" applyNumberFormat="1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3" fontId="10" fillId="2" borderId="51" xfId="0" applyNumberFormat="1" applyFont="1" applyFill="1" applyBorder="1" applyAlignment="1" applyProtection="1">
      <alignment horizontal="center" vertical="center" wrapText="1"/>
    </xf>
    <xf numFmtId="3" fontId="10" fillId="2" borderId="6" xfId="0" applyNumberFormat="1" applyFont="1" applyFill="1" applyBorder="1" applyAlignment="1" applyProtection="1">
      <alignment horizontal="center" vertical="center" wrapText="1"/>
    </xf>
    <xf numFmtId="3" fontId="10" fillId="2" borderId="67" xfId="0" applyNumberFormat="1" applyFont="1" applyFill="1" applyBorder="1" applyAlignment="1" applyProtection="1">
      <alignment horizontal="center" vertical="center" wrapText="1"/>
    </xf>
    <xf numFmtId="3" fontId="10" fillId="2" borderId="72" xfId="0" applyNumberFormat="1" applyFont="1" applyFill="1" applyBorder="1" applyAlignment="1" applyProtection="1">
      <alignment horizontal="center" vertical="center" wrapText="1"/>
    </xf>
    <xf numFmtId="3" fontId="10" fillId="2" borderId="73" xfId="0" applyNumberFormat="1" applyFont="1" applyFill="1" applyBorder="1" applyAlignment="1" applyProtection="1">
      <alignment horizontal="center" vertical="center" wrapText="1"/>
    </xf>
    <xf numFmtId="3" fontId="10" fillId="2" borderId="74" xfId="0" applyNumberFormat="1" applyFont="1" applyFill="1" applyBorder="1" applyAlignment="1" applyProtection="1">
      <alignment horizontal="center" vertical="center" wrapText="1"/>
    </xf>
    <xf numFmtId="3" fontId="10" fillId="2" borderId="12" xfId="0" applyNumberFormat="1" applyFont="1" applyFill="1" applyBorder="1" applyAlignment="1" applyProtection="1">
      <alignment horizontal="center" vertical="center" wrapText="1"/>
    </xf>
    <xf numFmtId="3" fontId="10" fillId="2" borderId="64" xfId="0" applyNumberFormat="1" applyFont="1" applyFill="1" applyBorder="1" applyAlignment="1" applyProtection="1">
      <alignment horizontal="center" vertical="center" wrapText="1"/>
    </xf>
    <xf numFmtId="3" fontId="10" fillId="2" borderId="62" xfId="0" applyNumberFormat="1" applyFont="1" applyFill="1" applyBorder="1" applyAlignment="1" applyProtection="1">
      <alignment horizontal="center" vertical="center" wrapText="1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323DC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062948"/>
      <color rgb="FF000066"/>
      <color rgb="FFFFCCFF"/>
      <color rgb="FF003399"/>
      <color rgb="FFFFFFCC"/>
      <color rgb="FF0066CC"/>
      <color rgb="FF0033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pre05\COPIA%20MAYRA\EJECUCION%20PRESUP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8" tint="0.59999389629810485"/>
  </sheetPr>
  <dimension ref="A1:W212"/>
  <sheetViews>
    <sheetView showGridLines="0" showZeros="0" tabSelected="1" topLeftCell="A2" workbookViewId="0">
      <selection activeCell="R27" sqref="R27"/>
    </sheetView>
  </sheetViews>
  <sheetFormatPr baseColWidth="10" defaultColWidth="11.42578125" defaultRowHeight="12.75" x14ac:dyDescent="0.2"/>
  <cols>
    <col min="1" max="1" width="4.85546875" style="3" customWidth="1"/>
    <col min="2" max="2" width="32.28515625" style="3" customWidth="1"/>
    <col min="3" max="3" width="11.7109375" style="3" customWidth="1"/>
    <col min="4" max="4" width="11.85546875" style="3" customWidth="1"/>
    <col min="5" max="5" width="11.7109375" style="3" customWidth="1"/>
    <col min="6" max="6" width="10.85546875" style="3" customWidth="1"/>
    <col min="7" max="7" width="10.28515625" style="3" customWidth="1"/>
    <col min="8" max="8" width="11" style="3" customWidth="1"/>
    <col min="9" max="9" width="11" style="3" hidden="1" customWidth="1"/>
    <col min="10" max="10" width="9.85546875" style="3" customWidth="1"/>
    <col min="11" max="11" width="0.140625" style="3" hidden="1" customWidth="1"/>
    <col min="12" max="12" width="10.28515625" style="3" customWidth="1"/>
    <col min="13" max="13" width="4.28515625" style="3" hidden="1" customWidth="1"/>
    <col min="14" max="14" width="12.28515625" style="3" customWidth="1"/>
    <col min="15" max="15" width="12.7109375" hidden="1" customWidth="1"/>
    <col min="16" max="16" width="12.7109375" customWidth="1"/>
  </cols>
  <sheetData>
    <row r="1" spans="1:18" hidden="1" x14ac:dyDescent="0.2"/>
    <row r="2" spans="1:18" ht="15" x14ac:dyDescent="0.25">
      <c r="A2" s="185" t="s">
        <v>281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8" ht="15" x14ac:dyDescent="0.25">
      <c r="A3" s="185" t="s">
        <v>282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8" ht="15" x14ac:dyDescent="0.25">
      <c r="A4" s="186" t="s">
        <v>283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R4" t="s">
        <v>2</v>
      </c>
    </row>
    <row r="5" spans="1:18" ht="15" x14ac:dyDescent="0.25">
      <c r="A5" s="186" t="s">
        <v>316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</row>
    <row r="6" spans="1:18" ht="6.75" customHeight="1" x14ac:dyDescent="0.2">
      <c r="A6" s="4"/>
      <c r="B6" s="4"/>
      <c r="C6" s="4"/>
      <c r="D6" s="4"/>
      <c r="E6" s="4"/>
      <c r="F6" s="4"/>
      <c r="G6" s="183"/>
      <c r="H6" s="183"/>
      <c r="I6" s="183"/>
      <c r="J6" s="4"/>
      <c r="K6" s="4"/>
      <c r="L6" s="4"/>
      <c r="M6" s="4"/>
      <c r="N6" s="4"/>
    </row>
    <row r="7" spans="1:18" ht="0.75" customHeight="1" thickBot="1" x14ac:dyDescent="0.25">
      <c r="A7" s="4"/>
      <c r="B7" s="4"/>
      <c r="C7" s="4"/>
      <c r="D7" s="4"/>
      <c r="E7" s="4"/>
      <c r="F7" s="4"/>
      <c r="G7" s="183"/>
      <c r="H7" s="183"/>
      <c r="I7" s="183"/>
      <c r="J7" s="4"/>
      <c r="K7" s="4"/>
      <c r="L7" s="4"/>
      <c r="M7" s="4"/>
      <c r="N7" s="4"/>
    </row>
    <row r="8" spans="1:18" ht="12.75" customHeight="1" x14ac:dyDescent="0.2">
      <c r="A8" s="200" t="s">
        <v>274</v>
      </c>
      <c r="B8" s="196" t="s">
        <v>0</v>
      </c>
      <c r="C8" s="187" t="s">
        <v>6</v>
      </c>
      <c r="D8" s="187"/>
      <c r="E8" s="187"/>
      <c r="F8" s="187"/>
      <c r="G8" s="206" t="s">
        <v>9</v>
      </c>
      <c r="H8" s="207"/>
      <c r="I8" s="208"/>
      <c r="J8" s="189" t="s">
        <v>10</v>
      </c>
      <c r="K8" s="203" t="s">
        <v>303</v>
      </c>
      <c r="L8" s="189" t="s">
        <v>4</v>
      </c>
      <c r="M8" s="189"/>
      <c r="N8" s="193" t="s">
        <v>277</v>
      </c>
    </row>
    <row r="9" spans="1:18" ht="4.5" customHeight="1" thickBot="1" x14ac:dyDescent="0.25">
      <c r="A9" s="201"/>
      <c r="B9" s="198"/>
      <c r="C9" s="188"/>
      <c r="D9" s="188"/>
      <c r="E9" s="188"/>
      <c r="F9" s="188"/>
      <c r="G9" s="209"/>
      <c r="H9" s="210"/>
      <c r="I9" s="211"/>
      <c r="J9" s="190"/>
      <c r="K9" s="204"/>
      <c r="L9" s="192"/>
      <c r="M9" s="192"/>
      <c r="N9" s="194"/>
    </row>
    <row r="10" spans="1:18" ht="23.25" customHeight="1" x14ac:dyDescent="0.2">
      <c r="A10" s="201"/>
      <c r="B10" s="198"/>
      <c r="C10" s="196" t="s">
        <v>11</v>
      </c>
      <c r="D10" s="196" t="s">
        <v>12</v>
      </c>
      <c r="E10" s="158" t="s">
        <v>3</v>
      </c>
      <c r="F10" s="158" t="s">
        <v>1</v>
      </c>
      <c r="G10" s="181" t="s">
        <v>7</v>
      </c>
      <c r="H10" s="180" t="s">
        <v>13</v>
      </c>
      <c r="I10" s="180" t="s">
        <v>314</v>
      </c>
      <c r="J10" s="191"/>
      <c r="K10" s="205"/>
      <c r="L10" s="159" t="s">
        <v>14</v>
      </c>
      <c r="M10" s="160" t="s">
        <v>5</v>
      </c>
      <c r="N10" s="195"/>
    </row>
    <row r="11" spans="1:18" ht="15" customHeight="1" thickBot="1" x14ac:dyDescent="0.25">
      <c r="A11" s="202"/>
      <c r="B11" s="199"/>
      <c r="C11" s="197"/>
      <c r="D11" s="197"/>
      <c r="E11" s="161">
        <v>1</v>
      </c>
      <c r="F11" s="161">
        <v>2</v>
      </c>
      <c r="G11" s="162">
        <v>3</v>
      </c>
      <c r="H11" s="163">
        <v>4</v>
      </c>
      <c r="I11" s="182">
        <v>5</v>
      </c>
      <c r="J11" s="164">
        <v>6</v>
      </c>
      <c r="K11" s="164"/>
      <c r="L11" s="165" t="s">
        <v>315</v>
      </c>
      <c r="M11" s="166" t="s">
        <v>275</v>
      </c>
      <c r="N11" s="167" t="s">
        <v>276</v>
      </c>
    </row>
    <row r="12" spans="1:18" ht="19.5" customHeight="1" x14ac:dyDescent="0.2">
      <c r="A12" s="80" t="s">
        <v>15</v>
      </c>
      <c r="B12" s="81" t="s">
        <v>16</v>
      </c>
      <c r="C12" s="82">
        <f>SUM(C13+C17+C23+C24+C25+C30+C32)</f>
        <v>100537071</v>
      </c>
      <c r="D12" s="171">
        <f>SUM(D13+D17+D23+D24+D25+D30+D32)</f>
        <v>1621866</v>
      </c>
      <c r="E12" s="82">
        <f>SUM(C12:D12)</f>
        <v>102158937</v>
      </c>
      <c r="F12" s="82">
        <f>SUM(F13+F17+F23+F24+F25+F30+F32)</f>
        <v>50498550</v>
      </c>
      <c r="G12" s="82">
        <f>SUM(G13+G17+G23+G24+G25+G30+G32)</f>
        <v>7370788.2400000002</v>
      </c>
      <c r="H12" s="82">
        <f>O12+G12</f>
        <v>33231772.159999996</v>
      </c>
      <c r="I12" s="82">
        <f>SUM(I13+I17+I23+I24+I25+I30+I32)</f>
        <v>33112964.799999997</v>
      </c>
      <c r="J12" s="82">
        <f>SUM(J13+J17+J23+J24+J25+J30+J32)</f>
        <v>32224869.699999999</v>
      </c>
      <c r="K12" s="147">
        <f>H12-J12</f>
        <v>1006902.4599999972</v>
      </c>
      <c r="L12" s="83">
        <f t="shared" ref="L12:L38" si="0">+F12-H12</f>
        <v>17266777.840000004</v>
      </c>
      <c r="M12" s="83">
        <f t="shared" ref="M12:M29" si="1">+E12-H12</f>
        <v>68927164.840000004</v>
      </c>
      <c r="N12" s="135">
        <f t="shared" ref="N12:N29" si="2">+H12*100/F12</f>
        <v>65.807378944543942</v>
      </c>
      <c r="O12" s="173">
        <v>25860983.919999998</v>
      </c>
      <c r="P12" s="8"/>
    </row>
    <row r="13" spans="1:18" ht="17.25" customHeight="1" x14ac:dyDescent="0.2">
      <c r="A13" s="15" t="s">
        <v>17</v>
      </c>
      <c r="B13" s="16" t="s">
        <v>18</v>
      </c>
      <c r="C13" s="17">
        <f>SUM(C14:C16)</f>
        <v>70534801</v>
      </c>
      <c r="D13" s="168">
        <f>SUM(D14:D16)</f>
        <v>1013713</v>
      </c>
      <c r="E13" s="17">
        <f>+E14+E15+E16</f>
        <v>71548514</v>
      </c>
      <c r="F13" s="17">
        <f>SUM(F14:F16)</f>
        <v>36169690</v>
      </c>
      <c r="G13" s="17">
        <f>SUM(G14:G16)</f>
        <v>5422318.4900000002</v>
      </c>
      <c r="H13" s="17">
        <f>SUM(H14:H16)</f>
        <v>23518424.849999998</v>
      </c>
      <c r="I13" s="17">
        <f>SUM(I14:I16)</f>
        <v>23515719.189999998</v>
      </c>
      <c r="J13" s="17">
        <f>SUM(J14:J16)</f>
        <v>23518424.849999998</v>
      </c>
      <c r="K13" s="17"/>
      <c r="L13" s="18">
        <f t="shared" si="0"/>
        <v>12651265.150000002</v>
      </c>
      <c r="M13" s="18">
        <f t="shared" si="1"/>
        <v>48030089.150000006</v>
      </c>
      <c r="N13" s="136">
        <f t="shared" si="2"/>
        <v>65.022467292365519</v>
      </c>
      <c r="O13" s="172">
        <v>18096106.359999996</v>
      </c>
      <c r="P13" s="8"/>
    </row>
    <row r="14" spans="1:18" x14ac:dyDescent="0.2">
      <c r="A14" s="10" t="s">
        <v>19</v>
      </c>
      <c r="B14" s="11" t="s">
        <v>18</v>
      </c>
      <c r="C14" s="12">
        <v>60782390</v>
      </c>
      <c r="D14" s="13">
        <f>-1387998+2362566</f>
        <v>974568</v>
      </c>
      <c r="E14" s="12">
        <f t="shared" ref="E14:E29" si="3">+C14+D14</f>
        <v>61756958</v>
      </c>
      <c r="F14" s="12">
        <f>28706362+2362566</f>
        <v>31068928</v>
      </c>
      <c r="G14" s="12">
        <v>4509113.0199999996</v>
      </c>
      <c r="H14" s="14">
        <f>+G14+O14</f>
        <v>21712874.579999998</v>
      </c>
      <c r="I14" s="12">
        <v>21712874.579999998</v>
      </c>
      <c r="J14" s="12">
        <v>21712874.579999998</v>
      </c>
      <c r="K14" s="12">
        <f>H14-J14</f>
        <v>0</v>
      </c>
      <c r="L14" s="14">
        <f t="shared" si="0"/>
        <v>9356053.4200000018</v>
      </c>
      <c r="M14" s="14">
        <f t="shared" si="1"/>
        <v>40044083.420000002</v>
      </c>
      <c r="N14" s="137">
        <f t="shared" si="2"/>
        <v>69.886140197692043</v>
      </c>
      <c r="O14" s="172">
        <v>17203761.559999999</v>
      </c>
      <c r="P14" s="8"/>
      <c r="Q14" t="s">
        <v>2</v>
      </c>
    </row>
    <row r="15" spans="1:18" x14ac:dyDescent="0.2">
      <c r="A15" s="10" t="s">
        <v>20</v>
      </c>
      <c r="B15" s="11" t="s">
        <v>21</v>
      </c>
      <c r="C15" s="12">
        <v>3041239</v>
      </c>
      <c r="D15" s="12">
        <f>-81000+83545</f>
        <v>2545</v>
      </c>
      <c r="E15" s="12">
        <f>SUM(C15:D15)</f>
        <v>3043784</v>
      </c>
      <c r="F15" s="12">
        <f>1413221+83545</f>
        <v>1496766</v>
      </c>
      <c r="G15" s="12">
        <v>246339.98</v>
      </c>
      <c r="H15" s="14">
        <f>+G15+O15</f>
        <v>987501.04</v>
      </c>
      <c r="I15" s="12">
        <v>987501.04</v>
      </c>
      <c r="J15" s="12">
        <v>987501.04</v>
      </c>
      <c r="K15" s="12">
        <f>H15-J15</f>
        <v>0</v>
      </c>
      <c r="L15" s="14">
        <f t="shared" si="0"/>
        <v>509264.95999999996</v>
      </c>
      <c r="M15" s="14">
        <f t="shared" si="1"/>
        <v>2056282.96</v>
      </c>
      <c r="N15" s="137">
        <f t="shared" si="2"/>
        <v>65.975646159787175</v>
      </c>
      <c r="O15" s="172">
        <v>741161.06</v>
      </c>
      <c r="P15" s="8"/>
    </row>
    <row r="16" spans="1:18" x14ac:dyDescent="0.2">
      <c r="A16" s="10" t="s">
        <v>22</v>
      </c>
      <c r="B16" s="11" t="s">
        <v>23</v>
      </c>
      <c r="C16" s="12">
        <v>6711172</v>
      </c>
      <c r="D16" s="12">
        <v>36600</v>
      </c>
      <c r="E16" s="12">
        <f t="shared" si="3"/>
        <v>6747772</v>
      </c>
      <c r="F16" s="12">
        <f>3567396+36600</f>
        <v>3603996</v>
      </c>
      <c r="G16" s="12">
        <v>666865.49</v>
      </c>
      <c r="H16" s="14">
        <f>+G16+O16</f>
        <v>818049.23</v>
      </c>
      <c r="I16" s="12">
        <v>815343.57</v>
      </c>
      <c r="J16" s="12">
        <v>818049.23</v>
      </c>
      <c r="K16" s="12">
        <f>H16-J16</f>
        <v>0</v>
      </c>
      <c r="L16" s="14">
        <f t="shared" si="0"/>
        <v>2785946.77</v>
      </c>
      <c r="M16" s="14">
        <f t="shared" si="1"/>
        <v>5929722.7699999996</v>
      </c>
      <c r="N16" s="137">
        <f t="shared" si="2"/>
        <v>22.698394504322426</v>
      </c>
      <c r="O16" s="172">
        <v>151183.74</v>
      </c>
      <c r="P16" s="8"/>
    </row>
    <row r="17" spans="1:16" s="6" customFormat="1" ht="15" customHeight="1" x14ac:dyDescent="0.2">
      <c r="A17" s="15" t="s">
        <v>24</v>
      </c>
      <c r="B17" s="16" t="s">
        <v>25</v>
      </c>
      <c r="C17" s="17">
        <f>SUM(C18:C22)</f>
        <v>14687002</v>
      </c>
      <c r="D17" s="13">
        <f>SUM(D18:D22)</f>
        <v>-424368</v>
      </c>
      <c r="E17" s="17">
        <f t="shared" si="3"/>
        <v>14262634</v>
      </c>
      <c r="F17" s="17">
        <f>SUM(F18:F22)</f>
        <v>6405578</v>
      </c>
      <c r="G17" s="17">
        <f>SUM(G18:G22)</f>
        <v>931293.88</v>
      </c>
      <c r="H17" s="17">
        <f>SUM(H18:H22)</f>
        <v>4694491.7799999993</v>
      </c>
      <c r="I17" s="17">
        <f>SUM(I18:I22)</f>
        <v>4694491.88</v>
      </c>
      <c r="J17" s="17">
        <f>SUM(J18:J22)</f>
        <v>4694491.7799999993</v>
      </c>
      <c r="K17" s="17"/>
      <c r="L17" s="18">
        <f t="shared" si="0"/>
        <v>1711086.2200000007</v>
      </c>
      <c r="M17" s="18">
        <f t="shared" si="1"/>
        <v>9568142.2200000007</v>
      </c>
      <c r="N17" s="136">
        <f t="shared" si="2"/>
        <v>73.287559374033066</v>
      </c>
      <c r="O17" s="173">
        <v>3763197.9</v>
      </c>
      <c r="P17" s="9"/>
    </row>
    <row r="18" spans="1:16" s="6" customFormat="1" ht="16.149999999999999" customHeight="1" x14ac:dyDescent="0.2">
      <c r="A18" s="10" t="s">
        <v>26</v>
      </c>
      <c r="B18" s="11" t="s">
        <v>27</v>
      </c>
      <c r="C18" s="12">
        <v>207342</v>
      </c>
      <c r="D18" s="12">
        <v>0</v>
      </c>
      <c r="E18" s="12">
        <f t="shared" si="3"/>
        <v>207342</v>
      </c>
      <c r="F18" s="14">
        <v>70522</v>
      </c>
      <c r="G18" s="14">
        <v>7466.64</v>
      </c>
      <c r="H18" s="14">
        <f>+G18+O18</f>
        <v>31292.959999999999</v>
      </c>
      <c r="I18" s="14">
        <v>31292.959999999999</v>
      </c>
      <c r="J18" s="14">
        <v>31292.959999999999</v>
      </c>
      <c r="K18" s="12">
        <f>H18-J18</f>
        <v>0</v>
      </c>
      <c r="L18" s="14">
        <f t="shared" si="0"/>
        <v>39229.040000000001</v>
      </c>
      <c r="M18" s="14">
        <f t="shared" si="1"/>
        <v>176049.04</v>
      </c>
      <c r="N18" s="137">
        <f t="shared" si="2"/>
        <v>44.373330308272593</v>
      </c>
      <c r="O18" s="172">
        <v>23826.32</v>
      </c>
      <c r="P18" s="9"/>
    </row>
    <row r="19" spans="1:16" s="6" customFormat="1" ht="17.45" hidden="1" customHeight="1" x14ac:dyDescent="0.2">
      <c r="A19" s="10"/>
      <c r="B19" s="11"/>
      <c r="C19" s="12"/>
      <c r="D19" s="12"/>
      <c r="E19" s="12"/>
      <c r="F19" s="14" t="s">
        <v>2</v>
      </c>
      <c r="G19" s="14"/>
      <c r="H19" s="14"/>
      <c r="I19" s="14"/>
      <c r="J19" s="14"/>
      <c r="K19" s="12"/>
      <c r="L19" s="14"/>
      <c r="M19" s="14"/>
      <c r="N19" s="137"/>
      <c r="O19" s="172"/>
      <c r="P19" s="9"/>
    </row>
    <row r="20" spans="1:16" s="6" customFormat="1" ht="13.9" hidden="1" customHeight="1" x14ac:dyDescent="0.2">
      <c r="A20" s="10"/>
      <c r="B20" s="11"/>
      <c r="C20" s="12"/>
      <c r="D20" s="12"/>
      <c r="E20" s="12"/>
      <c r="F20" s="14" t="s">
        <v>2</v>
      </c>
      <c r="G20" s="14"/>
      <c r="H20" s="14"/>
      <c r="I20" s="14"/>
      <c r="J20" s="14"/>
      <c r="K20" s="12"/>
      <c r="L20" s="14"/>
      <c r="M20" s="14"/>
      <c r="N20" s="137"/>
      <c r="O20" s="172"/>
      <c r="P20" s="9"/>
    </row>
    <row r="21" spans="1:16" s="6" customFormat="1" ht="13.9" customHeight="1" x14ac:dyDescent="0.2">
      <c r="A21" s="133" t="s">
        <v>301</v>
      </c>
      <c r="B21" s="11" t="s">
        <v>28</v>
      </c>
      <c r="C21" s="12">
        <v>1625280</v>
      </c>
      <c r="D21" s="12">
        <v>0</v>
      </c>
      <c r="E21" s="12">
        <f t="shared" ref="E21" si="4">+C21+D21</f>
        <v>1625280</v>
      </c>
      <c r="F21" s="19">
        <v>812640</v>
      </c>
      <c r="G21" s="19">
        <v>106796.15</v>
      </c>
      <c r="H21" s="14">
        <f>+G21+O21</f>
        <v>523026.85</v>
      </c>
      <c r="I21" s="19">
        <v>523026.85</v>
      </c>
      <c r="J21" s="12">
        <v>523026.85</v>
      </c>
      <c r="K21" s="12">
        <f>H21-J21</f>
        <v>0</v>
      </c>
      <c r="L21" s="14">
        <f t="shared" ref="L21" si="5">+F21-H21</f>
        <v>289613.15000000002</v>
      </c>
      <c r="M21" s="14">
        <f t="shared" ref="M21" si="6">+E21-H21</f>
        <v>1102253.1499999999</v>
      </c>
      <c r="N21" s="137">
        <f t="shared" ref="N21" si="7">+H21*100/F21</f>
        <v>64.361445412482766</v>
      </c>
      <c r="O21" s="172">
        <v>416230.7</v>
      </c>
      <c r="P21" s="9"/>
    </row>
    <row r="22" spans="1:16" s="6" customFormat="1" ht="15.6" customHeight="1" x14ac:dyDescent="0.2">
      <c r="A22" s="10" t="s">
        <v>29</v>
      </c>
      <c r="B22" s="11" t="s">
        <v>30</v>
      </c>
      <c r="C22" s="12">
        <v>12854380</v>
      </c>
      <c r="D22" s="13">
        <f>-508000+83632</f>
        <v>-424368</v>
      </c>
      <c r="E22" s="12">
        <f>SUM(C22:D22)</f>
        <v>12430012</v>
      </c>
      <c r="F22" s="12">
        <f>5438784+83632</f>
        <v>5522416</v>
      </c>
      <c r="G22" s="19">
        <v>817031.09</v>
      </c>
      <c r="H22" s="14">
        <f>+G22+O22</f>
        <v>4140171.9699999997</v>
      </c>
      <c r="I22" s="19">
        <v>4140172.07</v>
      </c>
      <c r="J22" s="12">
        <v>4140171.9699999997</v>
      </c>
      <c r="K22" s="12">
        <f>H22-J22</f>
        <v>0</v>
      </c>
      <c r="L22" s="14">
        <f t="shared" si="0"/>
        <v>1382244.0300000003</v>
      </c>
      <c r="M22" s="14">
        <f t="shared" si="1"/>
        <v>8289840.0300000003</v>
      </c>
      <c r="N22" s="137">
        <f t="shared" si="2"/>
        <v>74.970302309713716</v>
      </c>
      <c r="O22" s="172">
        <v>3323140.88</v>
      </c>
      <c r="P22" s="9"/>
    </row>
    <row r="23" spans="1:16" s="6" customFormat="1" x14ac:dyDescent="0.2">
      <c r="A23" s="15" t="s">
        <v>31</v>
      </c>
      <c r="B23" s="16" t="s">
        <v>32</v>
      </c>
      <c r="C23" s="17">
        <v>222000</v>
      </c>
      <c r="D23" s="17">
        <v>0</v>
      </c>
      <c r="E23" s="17">
        <f t="shared" si="3"/>
        <v>222000</v>
      </c>
      <c r="F23" s="17">
        <v>110400</v>
      </c>
      <c r="G23" s="17">
        <v>17800</v>
      </c>
      <c r="H23" s="18">
        <f>+G23+O23</f>
        <v>87606.67</v>
      </c>
      <c r="I23" s="17">
        <v>87606.67</v>
      </c>
      <c r="J23" s="174">
        <v>87606.67</v>
      </c>
      <c r="K23" s="17"/>
      <c r="L23" s="18">
        <f t="shared" si="0"/>
        <v>22793.33</v>
      </c>
      <c r="M23" s="18">
        <f t="shared" si="1"/>
        <v>134393.33000000002</v>
      </c>
      <c r="N23" s="136">
        <f t="shared" si="2"/>
        <v>79.353867753623192</v>
      </c>
      <c r="O23" s="172">
        <v>69806.67</v>
      </c>
      <c r="P23" s="9"/>
    </row>
    <row r="24" spans="1:16" s="6" customFormat="1" x14ac:dyDescent="0.2">
      <c r="A24" s="15" t="s">
        <v>33</v>
      </c>
      <c r="B24" s="16" t="s">
        <v>34</v>
      </c>
      <c r="C24" s="17">
        <v>2229231</v>
      </c>
      <c r="D24" s="156">
        <v>-198000</v>
      </c>
      <c r="E24" s="17">
        <f t="shared" si="3"/>
        <v>2031231</v>
      </c>
      <c r="F24" s="18">
        <v>545079</v>
      </c>
      <c r="G24" s="18">
        <v>3550.2</v>
      </c>
      <c r="H24" s="18">
        <f>+G24+O24</f>
        <v>511288.60000000003</v>
      </c>
      <c r="I24" s="18">
        <v>511288.6</v>
      </c>
      <c r="J24" s="18">
        <v>511288.60000000003</v>
      </c>
      <c r="K24" s="18"/>
      <c r="L24" s="18">
        <f t="shared" si="0"/>
        <v>33790.399999999965</v>
      </c>
      <c r="M24" s="18">
        <f t="shared" si="1"/>
        <v>1519942.4</v>
      </c>
      <c r="N24" s="136">
        <f t="shared" si="2"/>
        <v>93.800825201484557</v>
      </c>
      <c r="O24" s="172">
        <v>507738.4</v>
      </c>
      <c r="P24" s="9"/>
    </row>
    <row r="25" spans="1:16" s="6" customFormat="1" ht="14.25" customHeight="1" x14ac:dyDescent="0.2">
      <c r="A25" s="15" t="s">
        <v>35</v>
      </c>
      <c r="B25" s="16" t="s">
        <v>36</v>
      </c>
      <c r="C25" s="17">
        <f>SUM(C26:C29)</f>
        <v>12864037</v>
      </c>
      <c r="D25" s="17">
        <f>SUM(D26:D29)</f>
        <v>378521</v>
      </c>
      <c r="E25" s="17">
        <f t="shared" si="3"/>
        <v>13242558</v>
      </c>
      <c r="F25" s="17">
        <f>SUM(F26:F29)</f>
        <v>6812803</v>
      </c>
      <c r="G25" s="17">
        <f>SUM(G26:G29)</f>
        <v>986082.42</v>
      </c>
      <c r="H25" s="17">
        <f>SUM(H26:H29)</f>
        <v>4257909.3400000008</v>
      </c>
      <c r="I25" s="17">
        <f>SUM(I26:I29)</f>
        <v>4145539.81</v>
      </c>
      <c r="J25" s="17">
        <f>SUM(J26:J29)</f>
        <v>3252250.13</v>
      </c>
      <c r="K25" s="17"/>
      <c r="L25" s="18">
        <f t="shared" si="0"/>
        <v>2554893.6599999992</v>
      </c>
      <c r="M25" s="18">
        <f t="shared" si="1"/>
        <v>8984648.6600000001</v>
      </c>
      <c r="N25" s="136">
        <f t="shared" si="2"/>
        <v>62.498641748484445</v>
      </c>
      <c r="O25" s="173">
        <v>3271826.9200000004</v>
      </c>
      <c r="P25" s="9"/>
    </row>
    <row r="26" spans="1:16" s="6" customFormat="1" ht="18.600000000000001" customHeight="1" x14ac:dyDescent="0.2">
      <c r="A26" s="10" t="s">
        <v>37</v>
      </c>
      <c r="B26" s="37" t="s">
        <v>38</v>
      </c>
      <c r="C26" s="12">
        <v>10728917</v>
      </c>
      <c r="D26" s="12">
        <v>314350</v>
      </c>
      <c r="E26" s="12">
        <f t="shared" si="3"/>
        <v>11043267</v>
      </c>
      <c r="F26" s="12">
        <f>5364167+314350</f>
        <v>5678517</v>
      </c>
      <c r="G26" s="12">
        <v>834008.15</v>
      </c>
      <c r="H26" s="14">
        <f>+O26+G26</f>
        <v>3578416.5100000002</v>
      </c>
      <c r="I26" s="12">
        <v>3485647.52</v>
      </c>
      <c r="J26" s="12">
        <v>2740734.36</v>
      </c>
      <c r="K26" s="12">
        <f>H26-J26</f>
        <v>837682.15000000037</v>
      </c>
      <c r="L26" s="14">
        <f t="shared" si="0"/>
        <v>2100100.4899999998</v>
      </c>
      <c r="M26" s="14">
        <f t="shared" si="1"/>
        <v>7464850.4900000002</v>
      </c>
      <c r="N26" s="137">
        <f t="shared" si="2"/>
        <v>63.016743808286563</v>
      </c>
      <c r="O26" s="172">
        <v>2744408.3600000003</v>
      </c>
      <c r="P26" s="9"/>
    </row>
    <row r="27" spans="1:16" s="6" customFormat="1" ht="13.5" customHeight="1" x14ac:dyDescent="0.2">
      <c r="A27" s="10" t="s">
        <v>39</v>
      </c>
      <c r="B27" s="11" t="s">
        <v>40</v>
      </c>
      <c r="C27" s="12">
        <v>1281073</v>
      </c>
      <c r="D27" s="12">
        <v>38488</v>
      </c>
      <c r="E27" s="12">
        <v>1281073</v>
      </c>
      <c r="F27" s="12">
        <f>38488+647274</f>
        <v>685762</v>
      </c>
      <c r="G27" s="12">
        <v>95352.34</v>
      </c>
      <c r="H27" s="14">
        <f>+O27+G27</f>
        <v>423540.89</v>
      </c>
      <c r="I27" s="12">
        <v>418778.1</v>
      </c>
      <c r="J27" s="12">
        <v>324978.94</v>
      </c>
      <c r="K27" s="12">
        <f>H27-J27</f>
        <v>98561.950000000012</v>
      </c>
      <c r="L27" s="14">
        <f t="shared" si="0"/>
        <v>262221.11</v>
      </c>
      <c r="M27" s="14">
        <f t="shared" si="1"/>
        <v>857532.11</v>
      </c>
      <c r="N27" s="137">
        <f t="shared" si="2"/>
        <v>61.762082180114966</v>
      </c>
      <c r="O27" s="172">
        <v>328188.55</v>
      </c>
      <c r="P27" s="9"/>
    </row>
    <row r="28" spans="1:16" s="6" customFormat="1" ht="13.5" customHeight="1" x14ac:dyDescent="0.2">
      <c r="A28" s="10" t="s">
        <v>41</v>
      </c>
      <c r="B28" s="11" t="s">
        <v>42</v>
      </c>
      <c r="C28" s="12">
        <v>597830</v>
      </c>
      <c r="D28" s="12">
        <v>17968</v>
      </c>
      <c r="E28" s="12">
        <f t="shared" si="3"/>
        <v>615798</v>
      </c>
      <c r="F28" s="12">
        <f>294673+17968</f>
        <v>312641</v>
      </c>
      <c r="G28" s="12">
        <v>44636.27</v>
      </c>
      <c r="H28" s="14">
        <f>+O28+G28</f>
        <v>198285.08</v>
      </c>
      <c r="I28" s="12">
        <v>196049.65</v>
      </c>
      <c r="J28" s="12">
        <v>151578.93</v>
      </c>
      <c r="K28" s="12">
        <f>H28-J28</f>
        <v>46706.149999999994</v>
      </c>
      <c r="L28" s="14">
        <f t="shared" si="0"/>
        <v>114355.92000000001</v>
      </c>
      <c r="M28" s="14">
        <f t="shared" si="1"/>
        <v>417512.92000000004</v>
      </c>
      <c r="N28" s="137">
        <f t="shared" si="2"/>
        <v>63.422609318675413</v>
      </c>
      <c r="O28" s="172">
        <v>153648.81</v>
      </c>
      <c r="P28" s="9"/>
    </row>
    <row r="29" spans="1:16" s="6" customFormat="1" ht="12" customHeight="1" x14ac:dyDescent="0.2">
      <c r="A29" s="10" t="s">
        <v>43</v>
      </c>
      <c r="B29" s="11" t="s">
        <v>44</v>
      </c>
      <c r="C29" s="12">
        <v>256217</v>
      </c>
      <c r="D29" s="12">
        <v>7715</v>
      </c>
      <c r="E29" s="12">
        <f t="shared" si="3"/>
        <v>263932</v>
      </c>
      <c r="F29" s="12">
        <f>128168+7715</f>
        <v>135883</v>
      </c>
      <c r="G29" s="12">
        <v>12085.66</v>
      </c>
      <c r="H29" s="14">
        <f>+O29+G29</f>
        <v>57666.86</v>
      </c>
      <c r="I29" s="12">
        <v>45064.54</v>
      </c>
      <c r="J29" s="12">
        <v>34957.9</v>
      </c>
      <c r="K29" s="12">
        <f>H29-J29</f>
        <v>22708.959999999999</v>
      </c>
      <c r="L29" s="14">
        <f t="shared" si="0"/>
        <v>78216.14</v>
      </c>
      <c r="M29" s="14">
        <f t="shared" si="1"/>
        <v>206265.14</v>
      </c>
      <c r="N29" s="137">
        <f t="shared" si="2"/>
        <v>42.438612629983147</v>
      </c>
      <c r="O29" s="172">
        <v>45581.200000000004</v>
      </c>
      <c r="P29" s="9"/>
    </row>
    <row r="30" spans="1:16" s="6" customFormat="1" ht="13.15" customHeight="1" x14ac:dyDescent="0.2">
      <c r="A30" s="15" t="s">
        <v>45</v>
      </c>
      <c r="B30" s="16" t="s">
        <v>46</v>
      </c>
      <c r="C30" s="17">
        <f>SUM(C31:C31)</f>
        <v>0</v>
      </c>
      <c r="D30" s="17">
        <f>SUM(D31:D31)</f>
        <v>397000</v>
      </c>
      <c r="E30" s="17">
        <f>SUM(E31:E31)</f>
        <v>397000</v>
      </c>
      <c r="F30" s="17">
        <v>0</v>
      </c>
      <c r="G30" s="17">
        <v>0</v>
      </c>
      <c r="H30" s="18">
        <f t="shared" ref="H30:H31" si="8">+P30+G30</f>
        <v>0</v>
      </c>
      <c r="I30" s="17">
        <v>0</v>
      </c>
      <c r="J30" s="17">
        <f>SUM(J31)</f>
        <v>0</v>
      </c>
      <c r="K30" s="17"/>
      <c r="L30" s="18">
        <f t="shared" si="0"/>
        <v>0</v>
      </c>
      <c r="M30" s="17">
        <f>SUM(M31:M31)</f>
        <v>397000</v>
      </c>
      <c r="N30" s="137"/>
      <c r="O30" s="172">
        <v>0</v>
      </c>
      <c r="P30" s="9"/>
    </row>
    <row r="31" spans="1:16" s="6" customFormat="1" ht="15.6" customHeight="1" x14ac:dyDescent="0.2">
      <c r="A31" s="10" t="s">
        <v>268</v>
      </c>
      <c r="B31" s="11" t="s">
        <v>269</v>
      </c>
      <c r="C31" s="12">
        <v>0</v>
      </c>
      <c r="D31" s="12">
        <v>397000</v>
      </c>
      <c r="E31" s="12">
        <f t="shared" ref="E31:E38" si="9">+C31+D31</f>
        <v>397000</v>
      </c>
      <c r="F31" s="14">
        <v>0</v>
      </c>
      <c r="G31" s="14">
        <v>0</v>
      </c>
      <c r="H31" s="14">
        <f t="shared" si="8"/>
        <v>0</v>
      </c>
      <c r="I31" s="14">
        <v>0</v>
      </c>
      <c r="J31" s="14">
        <v>0</v>
      </c>
      <c r="K31" s="14"/>
      <c r="L31" s="14">
        <f t="shared" si="0"/>
        <v>0</v>
      </c>
      <c r="M31" s="14">
        <f t="shared" ref="M31:M38" si="10">+E31-H31</f>
        <v>397000</v>
      </c>
      <c r="N31" s="137"/>
      <c r="O31" s="172">
        <v>0</v>
      </c>
      <c r="P31" s="9"/>
    </row>
    <row r="32" spans="1:16" s="6" customFormat="1" ht="15.75" customHeight="1" x14ac:dyDescent="0.2">
      <c r="A32" s="15" t="s">
        <v>47</v>
      </c>
      <c r="B32" s="16" t="s">
        <v>48</v>
      </c>
      <c r="C32" s="12">
        <f>SUM(C33:C38)</f>
        <v>0</v>
      </c>
      <c r="D32" s="17">
        <f>SUM(D33:D38)</f>
        <v>455000</v>
      </c>
      <c r="E32" s="17">
        <f t="shared" si="9"/>
        <v>455000</v>
      </c>
      <c r="F32" s="17">
        <f>SUM(F33:F38)</f>
        <v>455000</v>
      </c>
      <c r="G32" s="17">
        <f>SUM(G33:G38)</f>
        <v>9743.25</v>
      </c>
      <c r="H32" s="18">
        <f>+O32+G32</f>
        <v>162050.92000000001</v>
      </c>
      <c r="I32" s="17">
        <f>SUM(I33:I38)</f>
        <v>158318.65</v>
      </c>
      <c r="J32" s="17">
        <f>SUM(J33:J38)</f>
        <v>160807.66999999998</v>
      </c>
      <c r="K32" s="17">
        <f>SUM(K33:K38)</f>
        <v>1243.25</v>
      </c>
      <c r="L32" s="18">
        <f t="shared" si="0"/>
        <v>292949.07999999996</v>
      </c>
      <c r="M32" s="18">
        <f t="shared" si="10"/>
        <v>292949.07999999996</v>
      </c>
      <c r="N32" s="136"/>
      <c r="O32" s="172">
        <v>152307.67000000001</v>
      </c>
      <c r="P32" s="9"/>
    </row>
    <row r="33" spans="1:16" ht="15.75" customHeight="1" x14ac:dyDescent="0.2">
      <c r="A33" s="10" t="s">
        <v>49</v>
      </c>
      <c r="B33" s="11" t="s">
        <v>50</v>
      </c>
      <c r="C33" s="12">
        <v>0</v>
      </c>
      <c r="D33" s="12">
        <v>383000</v>
      </c>
      <c r="E33" s="12">
        <f t="shared" si="9"/>
        <v>383000</v>
      </c>
      <c r="F33" s="12">
        <v>383000</v>
      </c>
      <c r="G33" s="14">
        <v>8500</v>
      </c>
      <c r="H33" s="14">
        <f t="shared" ref="H33:H38" si="11">+O33+G33</f>
        <v>141372.4</v>
      </c>
      <c r="I33" s="14">
        <v>141642.4</v>
      </c>
      <c r="J33" s="14">
        <v>141372.4</v>
      </c>
      <c r="K33" s="12">
        <f>H33-J33</f>
        <v>0</v>
      </c>
      <c r="L33" s="14">
        <f t="shared" si="0"/>
        <v>241627.6</v>
      </c>
      <c r="M33" s="14">
        <f t="shared" si="10"/>
        <v>241627.6</v>
      </c>
      <c r="N33" s="137"/>
      <c r="O33" s="172">
        <v>132872.4</v>
      </c>
      <c r="P33" s="8"/>
    </row>
    <row r="34" spans="1:16" ht="18" customHeight="1" x14ac:dyDescent="0.2">
      <c r="A34" s="10" t="s">
        <v>51</v>
      </c>
      <c r="B34" s="11" t="s">
        <v>297</v>
      </c>
      <c r="C34" s="12"/>
      <c r="D34" s="12">
        <v>5000</v>
      </c>
      <c r="E34" s="12">
        <f t="shared" si="9"/>
        <v>5000</v>
      </c>
      <c r="F34" s="12">
        <v>5000</v>
      </c>
      <c r="G34" s="14"/>
      <c r="H34" s="14">
        <f t="shared" si="11"/>
        <v>0</v>
      </c>
      <c r="I34" s="14"/>
      <c r="J34" s="14"/>
      <c r="K34" s="12">
        <f>H34-J34</f>
        <v>0</v>
      </c>
      <c r="L34" s="14">
        <f t="shared" si="0"/>
        <v>5000</v>
      </c>
      <c r="M34" s="14">
        <f t="shared" si="10"/>
        <v>5000</v>
      </c>
      <c r="N34" s="137"/>
      <c r="O34" s="172">
        <v>0</v>
      </c>
      <c r="P34" s="8"/>
    </row>
    <row r="35" spans="1:16" ht="16.5" customHeight="1" x14ac:dyDescent="0.2">
      <c r="A35" s="10" t="s">
        <v>260</v>
      </c>
      <c r="B35" s="11" t="s">
        <v>261</v>
      </c>
      <c r="C35" s="12"/>
      <c r="D35" s="12">
        <v>0</v>
      </c>
      <c r="E35" s="12">
        <f t="shared" si="9"/>
        <v>0</v>
      </c>
      <c r="F35" s="12">
        <v>0</v>
      </c>
      <c r="G35" s="14"/>
      <c r="H35" s="14">
        <f t="shared" si="11"/>
        <v>0</v>
      </c>
      <c r="I35" s="14"/>
      <c r="J35" s="14"/>
      <c r="K35" s="12">
        <f>H35-J35</f>
        <v>0</v>
      </c>
      <c r="L35" s="14">
        <f t="shared" si="0"/>
        <v>0</v>
      </c>
      <c r="M35" s="14">
        <f t="shared" si="10"/>
        <v>0</v>
      </c>
      <c r="N35" s="137"/>
      <c r="O35" s="172">
        <v>0</v>
      </c>
      <c r="P35" s="8"/>
    </row>
    <row r="36" spans="1:16" ht="15.75" customHeight="1" x14ac:dyDescent="0.2">
      <c r="A36" s="10" t="s">
        <v>247</v>
      </c>
      <c r="B36" s="11" t="s">
        <v>248</v>
      </c>
      <c r="C36" s="12"/>
      <c r="D36" s="12">
        <v>10000</v>
      </c>
      <c r="E36" s="12">
        <f t="shared" si="9"/>
        <v>10000</v>
      </c>
      <c r="F36" s="12">
        <v>10000</v>
      </c>
      <c r="G36" s="14"/>
      <c r="H36" s="14">
        <f t="shared" si="11"/>
        <v>0</v>
      </c>
      <c r="I36" s="14"/>
      <c r="J36" s="14"/>
      <c r="K36" s="12">
        <f>H36-J36</f>
        <v>0</v>
      </c>
      <c r="L36" s="14">
        <f t="shared" si="0"/>
        <v>10000</v>
      </c>
      <c r="M36" s="14">
        <f t="shared" si="10"/>
        <v>10000</v>
      </c>
      <c r="N36" s="137"/>
      <c r="O36" s="172">
        <v>0</v>
      </c>
      <c r="P36" s="8"/>
    </row>
    <row r="37" spans="1:16" ht="15.75" customHeight="1" x14ac:dyDescent="0.2">
      <c r="A37" s="133" t="s">
        <v>312</v>
      </c>
      <c r="B37" s="11" t="s">
        <v>309</v>
      </c>
      <c r="C37" s="12"/>
      <c r="D37" s="12">
        <v>0</v>
      </c>
      <c r="E37" s="12">
        <f t="shared" si="9"/>
        <v>0</v>
      </c>
      <c r="F37" s="12">
        <v>0</v>
      </c>
      <c r="G37" s="14"/>
      <c r="H37" s="14">
        <f t="shared" si="11"/>
        <v>0</v>
      </c>
      <c r="I37" s="14"/>
      <c r="J37" s="14"/>
      <c r="K37" s="12"/>
      <c r="L37" s="14"/>
      <c r="M37" s="14"/>
      <c r="N37" s="137"/>
      <c r="O37" s="172">
        <v>0</v>
      </c>
      <c r="P37" s="8"/>
    </row>
    <row r="38" spans="1:16" ht="14.25" customHeight="1" x14ac:dyDescent="0.2">
      <c r="A38" s="10" t="s">
        <v>237</v>
      </c>
      <c r="B38" s="11" t="s">
        <v>308</v>
      </c>
      <c r="C38" s="12">
        <v>0</v>
      </c>
      <c r="D38" s="12">
        <v>57000</v>
      </c>
      <c r="E38" s="12">
        <f t="shared" si="9"/>
        <v>57000</v>
      </c>
      <c r="F38" s="12">
        <v>57000</v>
      </c>
      <c r="G38" s="14">
        <v>1243.25</v>
      </c>
      <c r="H38" s="14">
        <f t="shared" si="11"/>
        <v>20678.52</v>
      </c>
      <c r="I38" s="14">
        <v>16676.25</v>
      </c>
      <c r="J38" s="19">
        <v>19435.27</v>
      </c>
      <c r="K38" s="12">
        <f>H38-J38</f>
        <v>1243.25</v>
      </c>
      <c r="L38" s="14">
        <f t="shared" si="0"/>
        <v>36321.479999999996</v>
      </c>
      <c r="M38" s="14">
        <f t="shared" si="10"/>
        <v>36321.479999999996</v>
      </c>
      <c r="N38" s="137">
        <f t="shared" ref="N38" si="12">+H38*100/F38</f>
        <v>36.278105263157897</v>
      </c>
      <c r="O38" s="172">
        <v>19435.27</v>
      </c>
      <c r="P38" s="8"/>
    </row>
    <row r="39" spans="1:16" ht="12" customHeight="1" x14ac:dyDescent="0.2">
      <c r="A39" s="10"/>
      <c r="B39" s="11"/>
      <c r="C39" s="12"/>
      <c r="D39" s="12"/>
      <c r="E39" s="12"/>
      <c r="F39" s="14"/>
      <c r="G39" s="14">
        <v>0</v>
      </c>
      <c r="H39" s="14"/>
      <c r="I39" s="14">
        <v>0</v>
      </c>
      <c r="J39" s="14"/>
      <c r="K39" s="14"/>
      <c r="L39" s="14"/>
      <c r="M39" s="14"/>
      <c r="N39" s="137"/>
      <c r="O39" s="172"/>
      <c r="P39" s="8"/>
    </row>
    <row r="40" spans="1:16" ht="20.25" customHeight="1" x14ac:dyDescent="0.2">
      <c r="A40" s="84" t="s">
        <v>52</v>
      </c>
      <c r="B40" s="97" t="s">
        <v>53</v>
      </c>
      <c r="C40" s="98">
        <f>C41+C48+C56++C57+C60+C69+C75+C77+C64+C84</f>
        <v>4872926</v>
      </c>
      <c r="D40" s="169">
        <f>D41+D48+D56++D57+D60+D69+D75+D77+D64+D84</f>
        <v>40650</v>
      </c>
      <c r="E40" s="98">
        <f>E41+E48+E56++E57+E60+E69+E75+E77+E64+E84</f>
        <v>4913576</v>
      </c>
      <c r="F40" s="98">
        <f>F41+F48+F56++F57+F60+F69+F75+F77+F64+F84</f>
        <v>2831566</v>
      </c>
      <c r="G40" s="98">
        <f>G41+G48+G56++G57+G60+G69+G75+G77+G64+G84</f>
        <v>515243.34</v>
      </c>
      <c r="H40" s="98">
        <f>O40+G40</f>
        <v>1921498.2100000002</v>
      </c>
      <c r="I40" s="98">
        <f>I41+I48+I56++I57+I60+I69+I75+I77+I64+I84</f>
        <v>1513876.0000000002</v>
      </c>
      <c r="J40" s="98">
        <f>J41+J48+J56++J57+J60+J69+J75+J77+J64+J84</f>
        <v>1470537.62</v>
      </c>
      <c r="K40" s="98">
        <f>K41+K48+K56++K57+K60+K69+K75+K77+K64+K84</f>
        <v>450960.06000000006</v>
      </c>
      <c r="L40" s="98">
        <f>L41+L48+L56++L57+L60+L69+L75+L77+L64+L84</f>
        <v>910068.32000000018</v>
      </c>
      <c r="M40" s="98">
        <f>M41+M48+M56++M57+M60+M69+M75+M77+M64+M84</f>
        <v>2992078.32</v>
      </c>
      <c r="N40" s="178">
        <f t="shared" ref="N40:N72" si="13">+H40*100/F40</f>
        <v>67.859912500715168</v>
      </c>
      <c r="O40" s="173">
        <f>1406253.87+1</f>
        <v>1406254.87</v>
      </c>
      <c r="P40" s="8"/>
    </row>
    <row r="41" spans="1:16" s="6" customFormat="1" ht="15.75" customHeight="1" x14ac:dyDescent="0.2">
      <c r="A41" s="15">
        <v>100</v>
      </c>
      <c r="B41" s="16" t="s">
        <v>54</v>
      </c>
      <c r="C41" s="17">
        <f>SUM(C42:C47)</f>
        <v>18930</v>
      </c>
      <c r="D41" s="168">
        <f>SUM(D42:D47)</f>
        <v>27350</v>
      </c>
      <c r="E41" s="17">
        <f t="shared" ref="E41:E59" si="14">+C41+D41</f>
        <v>46280</v>
      </c>
      <c r="F41" s="17">
        <f>SUM(F42:F47)</f>
        <v>39700</v>
      </c>
      <c r="G41" s="17">
        <f>SUM(G42:G47)</f>
        <v>5936</v>
      </c>
      <c r="H41" s="18">
        <f>+O41+G41</f>
        <v>27188.36</v>
      </c>
      <c r="I41" s="17">
        <f>SUM(I42:I47)</f>
        <v>11806.85</v>
      </c>
      <c r="J41" s="17">
        <f>SUM(J42:J47)</f>
        <v>9445.48</v>
      </c>
      <c r="K41" s="17">
        <f>SUM(K42:K47)</f>
        <v>17742.88</v>
      </c>
      <c r="L41" s="18">
        <f t="shared" ref="L41:L53" si="15">+F41-H41</f>
        <v>12511.64</v>
      </c>
      <c r="M41" s="18">
        <f t="shared" ref="M41:M53" si="16">+E41-H41</f>
        <v>19091.64</v>
      </c>
      <c r="N41" s="137">
        <f t="shared" si="13"/>
        <v>68.484534005037787</v>
      </c>
      <c r="O41" s="172">
        <v>21252.36</v>
      </c>
      <c r="P41" s="9"/>
    </row>
    <row r="42" spans="1:16" s="6" customFormat="1" ht="15" customHeight="1" x14ac:dyDescent="0.2">
      <c r="A42" s="20" t="s">
        <v>55</v>
      </c>
      <c r="B42" s="37" t="s">
        <v>56</v>
      </c>
      <c r="C42" s="12">
        <v>8000</v>
      </c>
      <c r="D42" s="177">
        <v>4200</v>
      </c>
      <c r="E42" s="12">
        <f t="shared" si="14"/>
        <v>12200</v>
      </c>
      <c r="F42" s="14">
        <v>7620</v>
      </c>
      <c r="G42" s="14">
        <v>936</v>
      </c>
      <c r="H42" s="14">
        <f t="shared" ref="H42:H47" si="17">+O42+G42</f>
        <v>936</v>
      </c>
      <c r="I42" s="14">
        <v>0</v>
      </c>
      <c r="J42" s="14">
        <v>0</v>
      </c>
      <c r="K42" s="12">
        <f t="shared" ref="K42:K92" si="18">H42-J42</f>
        <v>936</v>
      </c>
      <c r="L42" s="14">
        <f t="shared" si="15"/>
        <v>6684</v>
      </c>
      <c r="M42" s="14">
        <f t="shared" si="16"/>
        <v>11264</v>
      </c>
      <c r="N42" s="137">
        <f t="shared" si="13"/>
        <v>12.283464566929133</v>
      </c>
      <c r="O42" s="172">
        <v>0</v>
      </c>
      <c r="P42" s="9"/>
    </row>
    <row r="43" spans="1:16" s="6" customFormat="1" ht="13.5" customHeight="1" x14ac:dyDescent="0.2">
      <c r="A43" s="10" t="s">
        <v>57</v>
      </c>
      <c r="B43" s="11" t="s">
        <v>58</v>
      </c>
      <c r="C43" s="12">
        <v>320</v>
      </c>
      <c r="D43" s="13">
        <v>0</v>
      </c>
      <c r="E43" s="12">
        <f t="shared" si="14"/>
        <v>320</v>
      </c>
      <c r="F43" s="14">
        <v>320</v>
      </c>
      <c r="G43" s="14"/>
      <c r="H43" s="14">
        <f t="shared" si="17"/>
        <v>0</v>
      </c>
      <c r="I43" s="14"/>
      <c r="J43" s="14"/>
      <c r="K43" s="12">
        <f t="shared" si="18"/>
        <v>0</v>
      </c>
      <c r="L43" s="14">
        <f t="shared" si="15"/>
        <v>320</v>
      </c>
      <c r="M43" s="14">
        <f t="shared" si="16"/>
        <v>320</v>
      </c>
      <c r="N43" s="137">
        <f t="shared" si="13"/>
        <v>0</v>
      </c>
      <c r="O43" s="172">
        <v>0</v>
      </c>
      <c r="P43" s="9"/>
    </row>
    <row r="44" spans="1:16" s="6" customFormat="1" ht="11.45" customHeight="1" x14ac:dyDescent="0.2">
      <c r="A44" s="10" t="s">
        <v>59</v>
      </c>
      <c r="B44" s="11" t="s">
        <v>60</v>
      </c>
      <c r="C44" s="12">
        <v>8360</v>
      </c>
      <c r="D44" s="13">
        <v>25150</v>
      </c>
      <c r="E44" s="12">
        <f t="shared" si="14"/>
        <v>33510</v>
      </c>
      <c r="F44" s="14">
        <v>31510</v>
      </c>
      <c r="G44" s="14">
        <v>5000</v>
      </c>
      <c r="H44" s="14">
        <f t="shared" si="17"/>
        <v>26252.36</v>
      </c>
      <c r="I44" s="14">
        <v>11806.85</v>
      </c>
      <c r="J44" s="14">
        <v>9445.48</v>
      </c>
      <c r="K44" s="12">
        <f t="shared" si="18"/>
        <v>16806.88</v>
      </c>
      <c r="L44" s="14">
        <f t="shared" si="15"/>
        <v>5257.6399999999994</v>
      </c>
      <c r="M44" s="14">
        <f t="shared" si="16"/>
        <v>7257.6399999999994</v>
      </c>
      <c r="N44" s="137">
        <f t="shared" si="13"/>
        <v>83.31437638844811</v>
      </c>
      <c r="O44" s="172">
        <v>21252.36</v>
      </c>
      <c r="P44" s="9"/>
    </row>
    <row r="45" spans="1:16" s="6" customFormat="1" ht="13.15" hidden="1" customHeight="1" x14ac:dyDescent="0.2">
      <c r="A45" s="10" t="s">
        <v>61</v>
      </c>
      <c r="B45" s="11" t="s">
        <v>62</v>
      </c>
      <c r="C45" s="12">
        <v>0</v>
      </c>
      <c r="D45" s="12">
        <v>0</v>
      </c>
      <c r="E45" s="12">
        <f t="shared" si="14"/>
        <v>0</v>
      </c>
      <c r="F45" s="14">
        <v>0</v>
      </c>
      <c r="G45" s="14">
        <v>0</v>
      </c>
      <c r="H45" s="14">
        <f t="shared" si="17"/>
        <v>0</v>
      </c>
      <c r="I45" s="14">
        <v>0</v>
      </c>
      <c r="J45" s="14">
        <v>0</v>
      </c>
      <c r="K45" s="12">
        <f t="shared" si="18"/>
        <v>0</v>
      </c>
      <c r="L45" s="14">
        <f t="shared" si="15"/>
        <v>0</v>
      </c>
      <c r="M45" s="14">
        <f t="shared" si="16"/>
        <v>0</v>
      </c>
      <c r="N45" s="137"/>
      <c r="O45" s="172">
        <v>0</v>
      </c>
      <c r="P45" s="9"/>
    </row>
    <row r="46" spans="1:16" s="6" customFormat="1" ht="12.6" hidden="1" customHeight="1" x14ac:dyDescent="0.2">
      <c r="A46" s="10" t="s">
        <v>63</v>
      </c>
      <c r="B46" s="11" t="s">
        <v>64</v>
      </c>
      <c r="C46" s="12">
        <v>0</v>
      </c>
      <c r="D46" s="12">
        <v>0</v>
      </c>
      <c r="E46" s="12">
        <f t="shared" si="14"/>
        <v>0</v>
      </c>
      <c r="F46" s="14">
        <v>0</v>
      </c>
      <c r="G46" s="14">
        <v>0</v>
      </c>
      <c r="H46" s="14">
        <f t="shared" si="17"/>
        <v>0</v>
      </c>
      <c r="I46" s="14">
        <v>0</v>
      </c>
      <c r="J46" s="14">
        <v>0</v>
      </c>
      <c r="K46" s="12">
        <f t="shared" si="18"/>
        <v>0</v>
      </c>
      <c r="L46" s="14">
        <f t="shared" si="15"/>
        <v>0</v>
      </c>
      <c r="M46" s="14">
        <f t="shared" si="16"/>
        <v>0</v>
      </c>
      <c r="N46" s="137"/>
      <c r="O46" s="172">
        <v>0</v>
      </c>
      <c r="P46" s="9"/>
    </row>
    <row r="47" spans="1:16" s="6" customFormat="1" ht="15.6" customHeight="1" x14ac:dyDescent="0.2">
      <c r="A47" s="10" t="s">
        <v>65</v>
      </c>
      <c r="B47" s="11" t="s">
        <v>66</v>
      </c>
      <c r="C47" s="12">
        <v>2250</v>
      </c>
      <c r="D47" s="12">
        <v>-2000</v>
      </c>
      <c r="E47" s="12">
        <f t="shared" si="14"/>
        <v>250</v>
      </c>
      <c r="F47" s="14">
        <v>250</v>
      </c>
      <c r="G47" s="14">
        <v>0</v>
      </c>
      <c r="H47" s="14">
        <f t="shared" si="17"/>
        <v>0</v>
      </c>
      <c r="I47" s="14">
        <v>0</v>
      </c>
      <c r="J47" s="14">
        <v>0</v>
      </c>
      <c r="K47" s="12">
        <f t="shared" si="18"/>
        <v>0</v>
      </c>
      <c r="L47" s="14">
        <f t="shared" si="15"/>
        <v>250</v>
      </c>
      <c r="M47" s="14">
        <f t="shared" si="16"/>
        <v>250</v>
      </c>
      <c r="N47" s="137">
        <f t="shared" si="13"/>
        <v>0</v>
      </c>
      <c r="O47" s="172">
        <v>0</v>
      </c>
      <c r="P47" s="9"/>
    </row>
    <row r="48" spans="1:16" s="6" customFormat="1" x14ac:dyDescent="0.2">
      <c r="A48" s="21" t="s">
        <v>67</v>
      </c>
      <c r="B48" s="38" t="s">
        <v>68</v>
      </c>
      <c r="C48" s="17">
        <f>SUM(C49:C55)</f>
        <v>3383574</v>
      </c>
      <c r="D48" s="17">
        <f>SUM(D49:D55)</f>
        <v>-147750</v>
      </c>
      <c r="E48" s="17">
        <f t="shared" si="14"/>
        <v>3235824</v>
      </c>
      <c r="F48" s="17">
        <f>SUM(F49:F55)</f>
        <v>1505250</v>
      </c>
      <c r="G48" s="17">
        <f>SUM(G49:G55)</f>
        <v>385396.66</v>
      </c>
      <c r="H48" s="18">
        <f>O48+G48</f>
        <v>1305963.93</v>
      </c>
      <c r="I48" s="17">
        <f>SUM(I49:I55)</f>
        <v>1062167.3900000001</v>
      </c>
      <c r="J48" s="17">
        <f>SUM(J49:J55)</f>
        <v>1060728.1900000002</v>
      </c>
      <c r="K48" s="17">
        <f>SUM(K49:K55)</f>
        <v>245235.74</v>
      </c>
      <c r="L48" s="18">
        <f t="shared" si="15"/>
        <v>199286.07000000007</v>
      </c>
      <c r="M48" s="18">
        <f t="shared" si="16"/>
        <v>1929860.07</v>
      </c>
      <c r="N48" s="136">
        <f t="shared" si="13"/>
        <v>86.76059990034878</v>
      </c>
      <c r="O48" s="172">
        <v>920567.27</v>
      </c>
      <c r="P48" s="9"/>
    </row>
    <row r="49" spans="1:23" s="6" customFormat="1" ht="12" customHeight="1" x14ac:dyDescent="0.2">
      <c r="A49" s="20" t="s">
        <v>69</v>
      </c>
      <c r="B49" s="37" t="s">
        <v>70</v>
      </c>
      <c r="C49" s="12">
        <v>115235</v>
      </c>
      <c r="D49" s="12">
        <v>0</v>
      </c>
      <c r="E49" s="12">
        <f t="shared" si="14"/>
        <v>115235</v>
      </c>
      <c r="F49" s="12">
        <v>50000</v>
      </c>
      <c r="G49" s="14">
        <v>9264.19</v>
      </c>
      <c r="H49" s="14">
        <f t="shared" ref="H49:H55" si="19">+O49+G49</f>
        <v>36757.120000000003</v>
      </c>
      <c r="I49" s="14">
        <v>36757.120000000003</v>
      </c>
      <c r="J49" s="14">
        <v>36757.120000000003</v>
      </c>
      <c r="K49" s="12">
        <f t="shared" si="18"/>
        <v>0</v>
      </c>
      <c r="L49" s="14">
        <f t="shared" si="15"/>
        <v>13242.879999999997</v>
      </c>
      <c r="M49" s="14">
        <f t="shared" si="16"/>
        <v>78477.88</v>
      </c>
      <c r="N49" s="137">
        <f t="shared" si="13"/>
        <v>73.514240000000015</v>
      </c>
      <c r="O49" s="172">
        <v>27492.93</v>
      </c>
      <c r="P49" s="9"/>
    </row>
    <row r="50" spans="1:23" s="6" customFormat="1" ht="14.25" customHeight="1" x14ac:dyDescent="0.2">
      <c r="A50" s="10" t="s">
        <v>71</v>
      </c>
      <c r="B50" s="11" t="s">
        <v>72</v>
      </c>
      <c r="C50" s="12">
        <v>16030</v>
      </c>
      <c r="D50" s="12">
        <v>12550</v>
      </c>
      <c r="E50" s="12">
        <f>SUM(C50:D50)</f>
        <v>28580</v>
      </c>
      <c r="F50" s="12">
        <v>22550</v>
      </c>
      <c r="G50" s="14">
        <v>895.89</v>
      </c>
      <c r="H50" s="14">
        <f t="shared" si="19"/>
        <v>3885.5899999999997</v>
      </c>
      <c r="I50" s="14">
        <v>3037.59</v>
      </c>
      <c r="J50" s="14">
        <v>3037.59</v>
      </c>
      <c r="K50" s="12">
        <f t="shared" si="18"/>
        <v>847.99999999999955</v>
      </c>
      <c r="L50" s="14">
        <f t="shared" si="15"/>
        <v>18664.41</v>
      </c>
      <c r="M50" s="14">
        <f t="shared" si="16"/>
        <v>24694.41</v>
      </c>
      <c r="N50" s="137">
        <f t="shared" si="13"/>
        <v>17.230997782705096</v>
      </c>
      <c r="O50" s="172">
        <v>2989.7</v>
      </c>
      <c r="P50" s="9"/>
    </row>
    <row r="51" spans="1:23" s="6" customFormat="1" ht="13.5" customHeight="1" x14ac:dyDescent="0.2">
      <c r="A51" s="10" t="s">
        <v>73</v>
      </c>
      <c r="B51" s="11" t="s">
        <v>74</v>
      </c>
      <c r="C51" s="12">
        <v>2000</v>
      </c>
      <c r="D51" s="12"/>
      <c r="E51" s="12">
        <f t="shared" si="14"/>
        <v>2000</v>
      </c>
      <c r="F51" s="12">
        <v>2000</v>
      </c>
      <c r="G51" s="14">
        <v>0</v>
      </c>
      <c r="H51" s="14">
        <f t="shared" si="19"/>
        <v>65.45</v>
      </c>
      <c r="I51" s="14">
        <v>65.45</v>
      </c>
      <c r="J51" s="14">
        <v>65.45</v>
      </c>
      <c r="K51" s="12">
        <f t="shared" si="18"/>
        <v>0</v>
      </c>
      <c r="L51" s="14">
        <f t="shared" si="15"/>
        <v>1934.55</v>
      </c>
      <c r="M51" s="14">
        <f t="shared" si="16"/>
        <v>1934.55</v>
      </c>
      <c r="N51" s="137">
        <f t="shared" si="13"/>
        <v>3.2725</v>
      </c>
      <c r="O51" s="172">
        <v>65.45</v>
      </c>
      <c r="P51" s="9"/>
    </row>
    <row r="52" spans="1:23" s="6" customFormat="1" ht="13.5" customHeight="1" x14ac:dyDescent="0.2">
      <c r="A52" s="10" t="s">
        <v>75</v>
      </c>
      <c r="B52" s="11" t="s">
        <v>76</v>
      </c>
      <c r="C52" s="12">
        <v>2405296</v>
      </c>
      <c r="D52" s="13">
        <v>-293300</v>
      </c>
      <c r="E52" s="12">
        <f t="shared" si="14"/>
        <v>2111996</v>
      </c>
      <c r="F52" s="12">
        <v>936700</v>
      </c>
      <c r="G52" s="14">
        <v>261057.54</v>
      </c>
      <c r="H52" s="14">
        <f t="shared" si="19"/>
        <v>899466.39</v>
      </c>
      <c r="I52" s="14">
        <v>899466.39</v>
      </c>
      <c r="J52" s="14">
        <v>899466.39</v>
      </c>
      <c r="K52" s="12">
        <f t="shared" si="18"/>
        <v>0</v>
      </c>
      <c r="L52" s="14">
        <f t="shared" si="15"/>
        <v>37233.609999999986</v>
      </c>
      <c r="M52" s="14">
        <f t="shared" si="16"/>
        <v>1212529.6099999999</v>
      </c>
      <c r="N52" s="137">
        <f t="shared" si="13"/>
        <v>96.025022952919826</v>
      </c>
      <c r="O52" s="172">
        <v>638408.85</v>
      </c>
      <c r="P52" s="9"/>
    </row>
    <row r="53" spans="1:23" s="6" customFormat="1" ht="15" customHeight="1" x14ac:dyDescent="0.2">
      <c r="A53" s="10" t="s">
        <v>77</v>
      </c>
      <c r="B53" s="11" t="s">
        <v>78</v>
      </c>
      <c r="C53" s="12">
        <v>845013</v>
      </c>
      <c r="D53" s="13">
        <v>-125300</v>
      </c>
      <c r="E53" s="12">
        <f t="shared" si="14"/>
        <v>719713</v>
      </c>
      <c r="F53" s="12">
        <v>235700</v>
      </c>
      <c r="G53" s="14">
        <v>114179.04</v>
      </c>
      <c r="H53" s="14">
        <f t="shared" si="19"/>
        <v>114404.04</v>
      </c>
      <c r="I53" s="14">
        <v>114404.04</v>
      </c>
      <c r="J53" s="14">
        <v>114404.04</v>
      </c>
      <c r="K53" s="12">
        <f t="shared" si="18"/>
        <v>0</v>
      </c>
      <c r="L53" s="14">
        <f t="shared" si="15"/>
        <v>121295.96</v>
      </c>
      <c r="M53" s="14">
        <f t="shared" si="16"/>
        <v>605308.96</v>
      </c>
      <c r="N53" s="137">
        <f t="shared" si="13"/>
        <v>48.537988969028426</v>
      </c>
      <c r="O53" s="172">
        <v>225</v>
      </c>
      <c r="P53" s="9"/>
    </row>
    <row r="54" spans="1:23" s="6" customFormat="1" ht="13.15" customHeight="1" x14ac:dyDescent="0.2">
      <c r="A54" s="10">
        <v>116</v>
      </c>
      <c r="B54" s="11" t="s">
        <v>292</v>
      </c>
      <c r="C54" s="12">
        <v>0</v>
      </c>
      <c r="D54" s="12">
        <v>238300</v>
      </c>
      <c r="E54" s="12">
        <f t="shared" si="14"/>
        <v>238300</v>
      </c>
      <c r="F54" s="12">
        <v>238300</v>
      </c>
      <c r="G54" s="14">
        <v>0</v>
      </c>
      <c r="H54" s="14">
        <f t="shared" si="19"/>
        <v>236523.37</v>
      </c>
      <c r="I54" s="14">
        <v>1439.2</v>
      </c>
      <c r="J54" s="14">
        <v>0</v>
      </c>
      <c r="K54" s="12">
        <f t="shared" si="18"/>
        <v>236523.37</v>
      </c>
      <c r="L54" s="14">
        <f>+F54-H54</f>
        <v>1776.6300000000047</v>
      </c>
      <c r="M54" s="14"/>
      <c r="N54" s="137">
        <f t="shared" si="13"/>
        <v>99.254456567352079</v>
      </c>
      <c r="O54" s="172">
        <v>236523.37</v>
      </c>
      <c r="P54" s="9"/>
    </row>
    <row r="55" spans="1:23" s="6" customFormat="1" ht="13.15" customHeight="1" x14ac:dyDescent="0.2">
      <c r="A55" s="10">
        <v>117</v>
      </c>
      <c r="B55" s="11" t="s">
        <v>298</v>
      </c>
      <c r="C55" s="12">
        <v>0</v>
      </c>
      <c r="D55" s="12">
        <v>20000</v>
      </c>
      <c r="E55" s="12">
        <f t="shared" si="14"/>
        <v>20000</v>
      </c>
      <c r="F55" s="12">
        <v>20000</v>
      </c>
      <c r="G55" s="14">
        <v>0</v>
      </c>
      <c r="H55" s="14">
        <f t="shared" si="19"/>
        <v>14861.97</v>
      </c>
      <c r="I55" s="14">
        <v>6997.6</v>
      </c>
      <c r="J55" s="14">
        <v>6997.6</v>
      </c>
      <c r="K55" s="12">
        <f t="shared" si="18"/>
        <v>7864.369999999999</v>
      </c>
      <c r="L55" s="14">
        <f>+F55-H55</f>
        <v>5138.0300000000007</v>
      </c>
      <c r="M55" s="14"/>
      <c r="N55" s="137" t="s">
        <v>2</v>
      </c>
      <c r="O55" s="172">
        <v>14861.97</v>
      </c>
      <c r="P55" s="9"/>
    </row>
    <row r="56" spans="1:23" s="6" customFormat="1" ht="12.75" customHeight="1" x14ac:dyDescent="0.2">
      <c r="A56" s="21" t="s">
        <v>79</v>
      </c>
      <c r="B56" s="38" t="s">
        <v>80</v>
      </c>
      <c r="C56" s="17">
        <v>18600</v>
      </c>
      <c r="D56" s="168">
        <v>-6706</v>
      </c>
      <c r="E56" s="17">
        <f>SUM(C56:D56)</f>
        <v>11894</v>
      </c>
      <c r="F56" s="18">
        <v>11710</v>
      </c>
      <c r="G56" s="18">
        <v>1369.4</v>
      </c>
      <c r="H56" s="18">
        <f>+O56+G56</f>
        <v>3569.63</v>
      </c>
      <c r="I56" s="18">
        <v>2373.11</v>
      </c>
      <c r="J56" s="18">
        <v>727</v>
      </c>
      <c r="K56" s="17">
        <f t="shared" si="18"/>
        <v>2842.63</v>
      </c>
      <c r="L56" s="18">
        <f t="shared" ref="L56:L84" si="20">+F56-H56</f>
        <v>8140.37</v>
      </c>
      <c r="M56" s="18">
        <f t="shared" ref="M56:M84" si="21">+E56-H56</f>
        <v>8324.369999999999</v>
      </c>
      <c r="N56" s="136">
        <f t="shared" si="13"/>
        <v>30.483603757472245</v>
      </c>
      <c r="O56" s="173">
        <v>2200.23</v>
      </c>
      <c r="P56" s="9"/>
      <c r="W56" s="6">
        <f ca="1">W56</f>
        <v>0</v>
      </c>
    </row>
    <row r="57" spans="1:23" s="6" customFormat="1" ht="13.5" customHeight="1" x14ac:dyDescent="0.2">
      <c r="A57" s="21" t="s">
        <v>81</v>
      </c>
      <c r="B57" s="38" t="s">
        <v>82</v>
      </c>
      <c r="C57" s="17">
        <f>SUM(C58:C59)</f>
        <v>26000</v>
      </c>
      <c r="D57" s="168">
        <f>+D58</f>
        <v>-13675</v>
      </c>
      <c r="E57" s="17">
        <f t="shared" si="14"/>
        <v>12325</v>
      </c>
      <c r="F57" s="17">
        <f>SUM(F58:F59)</f>
        <v>9325</v>
      </c>
      <c r="G57" s="17">
        <f>G58</f>
        <v>85.19</v>
      </c>
      <c r="H57" s="18">
        <f>+O57+G57</f>
        <v>99.87</v>
      </c>
      <c r="I57" s="17">
        <f>I58</f>
        <v>99.87</v>
      </c>
      <c r="J57" s="17">
        <f>SUM(J58:J59)</f>
        <v>14.68</v>
      </c>
      <c r="K57" s="12">
        <f t="shared" si="18"/>
        <v>85.19</v>
      </c>
      <c r="L57" s="18">
        <f t="shared" si="20"/>
        <v>9225.1299999999992</v>
      </c>
      <c r="M57" s="18">
        <f t="shared" si="21"/>
        <v>12225.13</v>
      </c>
      <c r="N57" s="136">
        <f t="shared" si="13"/>
        <v>1.0709919571045576</v>
      </c>
      <c r="O57" s="173">
        <v>14.68</v>
      </c>
      <c r="P57" s="9"/>
    </row>
    <row r="58" spans="1:23" s="6" customFormat="1" ht="14.25" customHeight="1" x14ac:dyDescent="0.2">
      <c r="A58" s="10" t="s">
        <v>83</v>
      </c>
      <c r="B58" s="37" t="s">
        <v>84</v>
      </c>
      <c r="C58" s="12">
        <v>24000</v>
      </c>
      <c r="D58" s="13">
        <v>-13675</v>
      </c>
      <c r="E58" s="12">
        <f t="shared" si="14"/>
        <v>10325</v>
      </c>
      <c r="F58" s="14">
        <v>7325</v>
      </c>
      <c r="G58" s="14">
        <v>85.19</v>
      </c>
      <c r="H58" s="14">
        <f t="shared" ref="H58:H59" si="22">+O58+G58</f>
        <v>99.87</v>
      </c>
      <c r="I58" s="14">
        <v>99.87</v>
      </c>
      <c r="J58" s="14">
        <v>14.68</v>
      </c>
      <c r="K58" s="12">
        <f t="shared" si="18"/>
        <v>85.19</v>
      </c>
      <c r="L58" s="14">
        <f t="shared" si="20"/>
        <v>7225.13</v>
      </c>
      <c r="M58" s="14">
        <f t="shared" si="21"/>
        <v>10225.129999999999</v>
      </c>
      <c r="N58" s="137">
        <f t="shared" si="13"/>
        <v>1.3634129692832764</v>
      </c>
      <c r="O58" s="173">
        <v>14.68</v>
      </c>
      <c r="P58" s="9"/>
    </row>
    <row r="59" spans="1:23" s="6" customFormat="1" ht="15" customHeight="1" x14ac:dyDescent="0.2">
      <c r="A59" s="10" t="s">
        <v>238</v>
      </c>
      <c r="B59" s="37" t="s">
        <v>239</v>
      </c>
      <c r="C59" s="12">
        <v>2000</v>
      </c>
      <c r="D59" s="12">
        <v>0</v>
      </c>
      <c r="E59" s="12">
        <f t="shared" si="14"/>
        <v>2000</v>
      </c>
      <c r="F59" s="12">
        <v>2000</v>
      </c>
      <c r="G59" s="12">
        <v>0</v>
      </c>
      <c r="H59" s="14">
        <f t="shared" si="22"/>
        <v>0</v>
      </c>
      <c r="I59" s="12">
        <v>0</v>
      </c>
      <c r="J59" s="12">
        <v>0</v>
      </c>
      <c r="K59" s="12">
        <f t="shared" si="18"/>
        <v>0</v>
      </c>
      <c r="L59" s="14">
        <f t="shared" si="20"/>
        <v>2000</v>
      </c>
      <c r="M59" s="14">
        <f t="shared" si="21"/>
        <v>2000</v>
      </c>
      <c r="N59" s="137">
        <f t="shared" si="13"/>
        <v>0</v>
      </c>
      <c r="O59" s="173">
        <v>0</v>
      </c>
      <c r="P59" s="9"/>
    </row>
    <row r="60" spans="1:23" s="6" customFormat="1" x14ac:dyDescent="0.2">
      <c r="A60" s="21" t="s">
        <v>85</v>
      </c>
      <c r="B60" s="38" t="s">
        <v>86</v>
      </c>
      <c r="C60" s="17">
        <f>SUM(C61:C63)</f>
        <v>50995</v>
      </c>
      <c r="D60" s="17">
        <f>SUM(D61:D63)</f>
        <v>50000</v>
      </c>
      <c r="E60" s="17">
        <f t="shared" ref="E60:E68" si="23">+C60+D60</f>
        <v>100995</v>
      </c>
      <c r="F60" s="17">
        <f>SUM(F61:F63)</f>
        <v>94995</v>
      </c>
      <c r="G60" s="17">
        <f>SUM(G61:G63)</f>
        <v>20163.88</v>
      </c>
      <c r="H60" s="18">
        <f>+O60+G60+1</f>
        <v>46803.08</v>
      </c>
      <c r="I60" s="17">
        <f>SUM(I61:I63)</f>
        <v>49293.979999999996</v>
      </c>
      <c r="J60" s="17">
        <f>SUM(J61:J63)</f>
        <v>44135.6</v>
      </c>
      <c r="K60" s="17">
        <f t="shared" si="18"/>
        <v>2667.4800000000032</v>
      </c>
      <c r="L60" s="18">
        <f t="shared" si="20"/>
        <v>48191.92</v>
      </c>
      <c r="M60" s="18">
        <f t="shared" si="21"/>
        <v>54191.92</v>
      </c>
      <c r="N60" s="136">
        <f t="shared" si="13"/>
        <v>49.268993104900261</v>
      </c>
      <c r="O60" s="173">
        <f>26639.2-1</f>
        <v>26638.2</v>
      </c>
      <c r="P60" s="9"/>
    </row>
    <row r="61" spans="1:23" s="6" customFormat="1" ht="15.75" customHeight="1" x14ac:dyDescent="0.2">
      <c r="A61" s="20" t="s">
        <v>87</v>
      </c>
      <c r="B61" s="37" t="s">
        <v>88</v>
      </c>
      <c r="C61" s="12">
        <v>40000</v>
      </c>
      <c r="D61" s="12">
        <v>52200</v>
      </c>
      <c r="E61" s="12">
        <f t="shared" si="23"/>
        <v>92200</v>
      </c>
      <c r="F61" s="12">
        <v>86200</v>
      </c>
      <c r="G61" s="12">
        <v>19476.5</v>
      </c>
      <c r="H61" s="14">
        <f>+O61+G61</f>
        <v>46109.7</v>
      </c>
      <c r="I61" s="12">
        <v>48600.6</v>
      </c>
      <c r="J61" s="12">
        <v>44135.6</v>
      </c>
      <c r="K61" s="12">
        <f t="shared" si="18"/>
        <v>1974.0999999999985</v>
      </c>
      <c r="L61" s="14">
        <f t="shared" si="20"/>
        <v>40090.300000000003</v>
      </c>
      <c r="M61" s="14">
        <f t="shared" si="21"/>
        <v>46090.3</v>
      </c>
      <c r="N61" s="137">
        <f t="shared" si="13"/>
        <v>53.4915313225058</v>
      </c>
      <c r="O61" s="172">
        <v>26633.200000000001</v>
      </c>
      <c r="P61" s="9"/>
    </row>
    <row r="62" spans="1:23" s="6" customFormat="1" ht="15.75" customHeight="1" x14ac:dyDescent="0.2">
      <c r="A62" s="10" t="s">
        <v>89</v>
      </c>
      <c r="B62" s="11" t="s">
        <v>90</v>
      </c>
      <c r="C62" s="12">
        <v>5000</v>
      </c>
      <c r="D62" s="12">
        <v>1300</v>
      </c>
      <c r="E62" s="12">
        <f t="shared" si="23"/>
        <v>6300</v>
      </c>
      <c r="F62" s="14">
        <v>6300</v>
      </c>
      <c r="G62" s="14">
        <v>0</v>
      </c>
      <c r="H62" s="14">
        <f>+O62+G62</f>
        <v>0</v>
      </c>
      <c r="I62" s="14"/>
      <c r="J62" s="14">
        <v>0</v>
      </c>
      <c r="K62" s="12">
        <f t="shared" si="18"/>
        <v>0</v>
      </c>
      <c r="L62" s="14">
        <f t="shared" si="20"/>
        <v>6300</v>
      </c>
      <c r="M62" s="14">
        <f t="shared" si="21"/>
        <v>6300</v>
      </c>
      <c r="N62" s="137">
        <f t="shared" si="13"/>
        <v>0</v>
      </c>
      <c r="O62" s="172">
        <v>0</v>
      </c>
      <c r="P62" s="9"/>
    </row>
    <row r="63" spans="1:23" s="6" customFormat="1" ht="12" customHeight="1" x14ac:dyDescent="0.2">
      <c r="A63" s="10">
        <v>143</v>
      </c>
      <c r="B63" s="11" t="s">
        <v>91</v>
      </c>
      <c r="C63" s="12">
        <v>5995</v>
      </c>
      <c r="D63" s="12">
        <v>-3500</v>
      </c>
      <c r="E63" s="12">
        <f t="shared" si="23"/>
        <v>2495</v>
      </c>
      <c r="F63" s="14">
        <v>2495</v>
      </c>
      <c r="G63" s="14">
        <v>687.38</v>
      </c>
      <c r="H63" s="14">
        <f>+O63+G63</f>
        <v>693.38</v>
      </c>
      <c r="I63" s="14">
        <v>693.38</v>
      </c>
      <c r="J63" s="14">
        <v>0</v>
      </c>
      <c r="K63" s="12">
        <f t="shared" si="18"/>
        <v>693.38</v>
      </c>
      <c r="L63" s="14">
        <f t="shared" si="20"/>
        <v>1801.62</v>
      </c>
      <c r="M63" s="14">
        <f t="shared" si="21"/>
        <v>1801.62</v>
      </c>
      <c r="N63" s="137">
        <f t="shared" si="13"/>
        <v>27.790781563126252</v>
      </c>
      <c r="O63" s="172">
        <v>6</v>
      </c>
      <c r="P63" s="9"/>
    </row>
    <row r="64" spans="1:23" s="6" customFormat="1" x14ac:dyDescent="0.2">
      <c r="A64" s="21" t="s">
        <v>92</v>
      </c>
      <c r="B64" s="38" t="s">
        <v>93</v>
      </c>
      <c r="C64" s="17">
        <f>SUM(C65:C67)</f>
        <v>43000</v>
      </c>
      <c r="D64" s="17">
        <f>SUM(D65:D68)</f>
        <v>66000</v>
      </c>
      <c r="E64" s="17">
        <f t="shared" si="23"/>
        <v>109000</v>
      </c>
      <c r="F64" s="17">
        <f>+F65+F66+F67+F68</f>
        <v>109000</v>
      </c>
      <c r="G64" s="17">
        <f>SUM(G65:G68)</f>
        <v>5402.26</v>
      </c>
      <c r="H64" s="18">
        <f>SUM(H65:H68)</f>
        <v>13660.64</v>
      </c>
      <c r="I64" s="17">
        <f>SUM(I65:I68)</f>
        <v>14016.93</v>
      </c>
      <c r="J64" s="17">
        <f>SUM(J65:J68)</f>
        <v>11241.43</v>
      </c>
      <c r="K64" s="17">
        <f t="shared" si="18"/>
        <v>2419.2099999999991</v>
      </c>
      <c r="L64" s="73">
        <f t="shared" si="20"/>
        <v>95339.36</v>
      </c>
      <c r="M64" s="175">
        <f t="shared" si="21"/>
        <v>95339.36</v>
      </c>
      <c r="N64" s="136">
        <f t="shared" si="13"/>
        <v>12.532697247706421</v>
      </c>
      <c r="O64" s="173">
        <v>8258.380000000001</v>
      </c>
      <c r="P64" s="9"/>
    </row>
    <row r="65" spans="1:16" s="6" customFormat="1" ht="15" customHeight="1" x14ac:dyDescent="0.2">
      <c r="A65" s="20" t="s">
        <v>94</v>
      </c>
      <c r="B65" s="37" t="s">
        <v>88</v>
      </c>
      <c r="C65" s="12">
        <v>42000</v>
      </c>
      <c r="D65" s="13">
        <v>-9000</v>
      </c>
      <c r="E65" s="12">
        <f t="shared" si="23"/>
        <v>33000</v>
      </c>
      <c r="F65" s="12">
        <v>33000</v>
      </c>
      <c r="G65" s="12">
        <v>4996.78</v>
      </c>
      <c r="H65" s="14">
        <f>+O65+G65</f>
        <v>12742.58</v>
      </c>
      <c r="I65" s="12">
        <v>13136.12</v>
      </c>
      <c r="J65" s="12">
        <v>11161.08</v>
      </c>
      <c r="K65" s="12">
        <f t="shared" si="18"/>
        <v>1581.5</v>
      </c>
      <c r="L65" s="77">
        <f t="shared" si="20"/>
        <v>20257.419999999998</v>
      </c>
      <c r="M65" s="176">
        <f t="shared" si="21"/>
        <v>20257.419999999998</v>
      </c>
      <c r="N65" s="137">
        <f t="shared" si="13"/>
        <v>38.613878787878789</v>
      </c>
      <c r="O65" s="172">
        <v>7745.8</v>
      </c>
      <c r="P65" s="9"/>
    </row>
    <row r="66" spans="1:16" s="6" customFormat="1" ht="18" customHeight="1" x14ac:dyDescent="0.2">
      <c r="A66" s="10" t="s">
        <v>95</v>
      </c>
      <c r="B66" s="11" t="s">
        <v>90</v>
      </c>
      <c r="C66" s="12">
        <v>0</v>
      </c>
      <c r="D66" s="12">
        <v>60000</v>
      </c>
      <c r="E66" s="12">
        <f t="shared" si="23"/>
        <v>60000</v>
      </c>
      <c r="F66" s="12">
        <v>60000</v>
      </c>
      <c r="G66" s="12">
        <v>0</v>
      </c>
      <c r="H66" s="14">
        <v>0</v>
      </c>
      <c r="I66" s="12"/>
      <c r="J66" s="14">
        <v>0</v>
      </c>
      <c r="K66" s="12">
        <f t="shared" si="18"/>
        <v>0</v>
      </c>
      <c r="L66" s="77">
        <f t="shared" si="20"/>
        <v>60000</v>
      </c>
      <c r="M66" s="176">
        <f t="shared" si="21"/>
        <v>60000</v>
      </c>
      <c r="N66" s="137">
        <f t="shared" si="13"/>
        <v>0</v>
      </c>
      <c r="O66" s="172">
        <v>0</v>
      </c>
      <c r="P66" s="9"/>
    </row>
    <row r="67" spans="1:16" s="6" customFormat="1" ht="17.45" customHeight="1" x14ac:dyDescent="0.2">
      <c r="A67" s="10">
        <v>153</v>
      </c>
      <c r="B67" s="11" t="s">
        <v>96</v>
      </c>
      <c r="C67" s="12">
        <v>1000</v>
      </c>
      <c r="D67" s="12">
        <v>9000</v>
      </c>
      <c r="E67" s="12">
        <f t="shared" si="23"/>
        <v>10000</v>
      </c>
      <c r="F67" s="14">
        <v>10000</v>
      </c>
      <c r="G67" s="14">
        <v>279.68</v>
      </c>
      <c r="H67" s="14">
        <f>+O67+G67</f>
        <v>721.91000000000008</v>
      </c>
      <c r="I67" s="14">
        <v>721.91</v>
      </c>
      <c r="J67" s="14">
        <v>10</v>
      </c>
      <c r="K67" s="12">
        <f t="shared" si="18"/>
        <v>711.91000000000008</v>
      </c>
      <c r="L67" s="77" t="s">
        <v>306</v>
      </c>
      <c r="M67" s="49">
        <f t="shared" si="21"/>
        <v>9278.09</v>
      </c>
      <c r="N67" s="137">
        <f t="shared" si="13"/>
        <v>7.2191000000000018</v>
      </c>
      <c r="O67" s="172">
        <v>442.23</v>
      </c>
      <c r="P67" s="9"/>
    </row>
    <row r="68" spans="1:16" s="6" customFormat="1" ht="15" customHeight="1" x14ac:dyDescent="0.2">
      <c r="A68" s="10">
        <v>154</v>
      </c>
      <c r="B68" s="11" t="s">
        <v>271</v>
      </c>
      <c r="C68" s="12"/>
      <c r="D68" s="12">
        <v>6000</v>
      </c>
      <c r="E68" s="12">
        <f t="shared" si="23"/>
        <v>6000</v>
      </c>
      <c r="F68" s="14">
        <v>6000</v>
      </c>
      <c r="G68" s="14">
        <v>125.8</v>
      </c>
      <c r="H68" s="14">
        <f>+O68+G68</f>
        <v>196.14999999999998</v>
      </c>
      <c r="I68" s="14">
        <v>158.9</v>
      </c>
      <c r="J68" s="14">
        <v>70.349999999999994</v>
      </c>
      <c r="K68" s="12">
        <f t="shared" si="18"/>
        <v>125.79999999999998</v>
      </c>
      <c r="L68" s="77">
        <f t="shared" si="20"/>
        <v>5803.85</v>
      </c>
      <c r="M68" s="176">
        <f t="shared" si="21"/>
        <v>5803.85</v>
      </c>
      <c r="N68" s="137">
        <f t="shared" si="13"/>
        <v>3.2691666666666661</v>
      </c>
      <c r="O68" s="172">
        <v>70.349999999999994</v>
      </c>
      <c r="P68" s="9"/>
    </row>
    <row r="69" spans="1:16" s="6" customFormat="1" ht="15.75" customHeight="1" x14ac:dyDescent="0.2">
      <c r="A69" s="21" t="s">
        <v>97</v>
      </c>
      <c r="B69" s="38" t="s">
        <v>98</v>
      </c>
      <c r="C69" s="17">
        <f>SUM(C70:C74)</f>
        <v>1051307</v>
      </c>
      <c r="D69" s="17">
        <f>SUM(D71:D74)</f>
        <v>-376309</v>
      </c>
      <c r="E69" s="17">
        <f>SUM(E70:E74)</f>
        <v>674998</v>
      </c>
      <c r="F69" s="17">
        <f>SUM(F70:F74)</f>
        <v>437828</v>
      </c>
      <c r="G69" s="17">
        <f>+G70+G71+G72+G74+G73</f>
        <v>63552.15</v>
      </c>
      <c r="H69" s="18">
        <f>+O69+G69</f>
        <v>104753.5</v>
      </c>
      <c r="I69" s="17">
        <f>+I70+I71+I72+I74+I73</f>
        <v>24007.390000000003</v>
      </c>
      <c r="J69" s="17">
        <f>+J70+J71+J72+J74+J73</f>
        <v>16467.18</v>
      </c>
      <c r="K69" s="17">
        <f t="shared" si="18"/>
        <v>88286.32</v>
      </c>
      <c r="L69" s="18">
        <f t="shared" si="20"/>
        <v>333074.5</v>
      </c>
      <c r="M69" s="18">
        <f t="shared" si="21"/>
        <v>570244.5</v>
      </c>
      <c r="N69" s="136">
        <f t="shared" si="13"/>
        <v>23.925719689010297</v>
      </c>
      <c r="O69" s="173">
        <v>41201.35</v>
      </c>
      <c r="P69" s="9"/>
    </row>
    <row r="70" spans="1:16" s="6" customFormat="1" ht="13.15" customHeight="1" x14ac:dyDescent="0.2">
      <c r="A70" s="22">
        <v>162</v>
      </c>
      <c r="B70" s="37" t="s">
        <v>307</v>
      </c>
      <c r="C70" s="12">
        <v>840</v>
      </c>
      <c r="D70" s="12"/>
      <c r="E70" s="12">
        <f>+C70+D70</f>
        <v>840</v>
      </c>
      <c r="F70" s="12">
        <v>840</v>
      </c>
      <c r="G70" s="12">
        <v>0</v>
      </c>
      <c r="H70" s="14">
        <f>+O70+G70</f>
        <v>139.91</v>
      </c>
      <c r="I70" s="12">
        <v>139.91</v>
      </c>
      <c r="J70" s="12">
        <v>139.91</v>
      </c>
      <c r="K70" s="12"/>
      <c r="L70" s="14"/>
      <c r="M70" s="18"/>
      <c r="N70" s="137">
        <f t="shared" si="13"/>
        <v>16.655952380952382</v>
      </c>
      <c r="O70" s="172">
        <v>139.91</v>
      </c>
      <c r="P70" s="9"/>
    </row>
    <row r="71" spans="1:16" s="6" customFormat="1" ht="16.899999999999999" hidden="1" customHeight="1" x14ac:dyDescent="0.2">
      <c r="A71" s="20" t="s">
        <v>234</v>
      </c>
      <c r="B71" s="37" t="s">
        <v>235</v>
      </c>
      <c r="C71" s="12">
        <v>0</v>
      </c>
      <c r="D71" s="12"/>
      <c r="E71" s="12">
        <f>+C71+D71</f>
        <v>0</v>
      </c>
      <c r="F71" s="12">
        <v>0</v>
      </c>
      <c r="G71" s="14"/>
      <c r="H71" s="14">
        <f t="shared" ref="H71:H81" si="24">+P71+G71</f>
        <v>0</v>
      </c>
      <c r="I71" s="14"/>
      <c r="J71" s="14"/>
      <c r="K71" s="12">
        <f t="shared" si="18"/>
        <v>0</v>
      </c>
      <c r="L71" s="14">
        <f t="shared" si="20"/>
        <v>0</v>
      </c>
      <c r="M71" s="14">
        <f t="shared" si="21"/>
        <v>0</v>
      </c>
      <c r="N71" s="137" t="s">
        <v>2</v>
      </c>
      <c r="O71" s="172">
        <v>0</v>
      </c>
      <c r="P71" s="9"/>
    </row>
    <row r="72" spans="1:16" s="6" customFormat="1" ht="15.75" customHeight="1" x14ac:dyDescent="0.2">
      <c r="A72" s="20" t="s">
        <v>99</v>
      </c>
      <c r="B72" s="37" t="s">
        <v>100</v>
      </c>
      <c r="C72" s="12">
        <v>50000</v>
      </c>
      <c r="D72" s="13">
        <v>27000</v>
      </c>
      <c r="E72" s="12">
        <f>+C72+D72</f>
        <v>77000</v>
      </c>
      <c r="F72" s="12">
        <v>77000</v>
      </c>
      <c r="G72" s="14">
        <v>58366.62</v>
      </c>
      <c r="H72" s="14">
        <f t="shared" ref="H72:H77" si="25">+O72+G72</f>
        <v>68466.510000000009</v>
      </c>
      <c r="I72" s="14">
        <v>1216.81</v>
      </c>
      <c r="J72" s="14">
        <v>1216.81</v>
      </c>
      <c r="K72" s="12">
        <f t="shared" si="18"/>
        <v>67249.700000000012</v>
      </c>
      <c r="L72" s="14">
        <f t="shared" si="20"/>
        <v>8533.4899999999907</v>
      </c>
      <c r="M72" s="14">
        <f t="shared" si="21"/>
        <v>8533.4899999999907</v>
      </c>
      <c r="N72" s="137">
        <f t="shared" si="13"/>
        <v>88.917545454545461</v>
      </c>
      <c r="O72" s="172">
        <v>10099.89</v>
      </c>
      <c r="P72" s="9"/>
    </row>
    <row r="73" spans="1:16" s="6" customFormat="1" ht="15" customHeight="1" x14ac:dyDescent="0.2">
      <c r="A73" s="22">
        <v>165</v>
      </c>
      <c r="B73" s="37" t="s">
        <v>101</v>
      </c>
      <c r="C73" s="12">
        <v>133860</v>
      </c>
      <c r="D73" s="13">
        <v>-73500</v>
      </c>
      <c r="E73" s="12">
        <f>+C73+D73</f>
        <v>60360</v>
      </c>
      <c r="F73" s="12">
        <v>60360</v>
      </c>
      <c r="G73" s="14">
        <v>3668.27</v>
      </c>
      <c r="H73" s="14">
        <f t="shared" si="25"/>
        <v>15682.11</v>
      </c>
      <c r="I73" s="14">
        <v>2326.86</v>
      </c>
      <c r="J73" s="14">
        <v>1336.67</v>
      </c>
      <c r="K73" s="12">
        <f t="shared" si="18"/>
        <v>14345.44</v>
      </c>
      <c r="L73" s="14">
        <f t="shared" si="20"/>
        <v>44677.89</v>
      </c>
      <c r="M73" s="14">
        <f t="shared" si="21"/>
        <v>44677.89</v>
      </c>
      <c r="N73" s="137">
        <f t="shared" ref="N73:N79" si="26">+H73*100/F73</f>
        <v>25.980964214711729</v>
      </c>
      <c r="O73" s="172">
        <v>12013.84</v>
      </c>
      <c r="P73" s="9"/>
    </row>
    <row r="74" spans="1:16" s="6" customFormat="1" ht="12.75" customHeight="1" x14ac:dyDescent="0.2">
      <c r="A74" s="10" t="s">
        <v>102</v>
      </c>
      <c r="B74" s="11" t="s">
        <v>103</v>
      </c>
      <c r="C74" s="12">
        <v>866607</v>
      </c>
      <c r="D74" s="13">
        <v>-329809</v>
      </c>
      <c r="E74" s="12">
        <f>+C74+D74</f>
        <v>536798</v>
      </c>
      <c r="F74" s="12">
        <v>299628</v>
      </c>
      <c r="G74" s="12">
        <v>1517.26</v>
      </c>
      <c r="H74" s="14">
        <f t="shared" si="25"/>
        <v>20464.969999999998</v>
      </c>
      <c r="I74" s="12">
        <v>20323.810000000001</v>
      </c>
      <c r="J74" s="12">
        <v>13773.79</v>
      </c>
      <c r="K74" s="12">
        <f t="shared" si="18"/>
        <v>6691.1799999999967</v>
      </c>
      <c r="L74" s="14">
        <f t="shared" si="20"/>
        <v>279163.03000000003</v>
      </c>
      <c r="M74" s="14">
        <f t="shared" si="21"/>
        <v>516333.03</v>
      </c>
      <c r="N74" s="137">
        <f t="shared" si="26"/>
        <v>6.8301260229351053</v>
      </c>
      <c r="O74" s="172">
        <v>18947.71</v>
      </c>
      <c r="P74" s="9"/>
    </row>
    <row r="75" spans="1:16" s="6" customFormat="1" x14ac:dyDescent="0.2">
      <c r="A75" s="23">
        <v>170</v>
      </c>
      <c r="B75" s="39" t="s">
        <v>253</v>
      </c>
      <c r="C75" s="40">
        <f>SUM(C76)</f>
        <v>182689</v>
      </c>
      <c r="D75" s="40">
        <f>++D76</f>
        <v>0</v>
      </c>
      <c r="E75" s="17">
        <f t="shared" ref="E75:E88" si="27">+C75+D75</f>
        <v>182689</v>
      </c>
      <c r="F75" s="40">
        <f>SUM(F76)</f>
        <v>84187</v>
      </c>
      <c r="G75" s="40">
        <f>SUM(G76:G76)</f>
        <v>13740.44</v>
      </c>
      <c r="H75" s="18">
        <f t="shared" si="25"/>
        <v>29449.440000000002</v>
      </c>
      <c r="I75" s="40">
        <f>SUM(I76:I76)</f>
        <v>14649.44</v>
      </c>
      <c r="J75" s="40"/>
      <c r="K75" s="17">
        <f t="shared" si="18"/>
        <v>29449.440000000002</v>
      </c>
      <c r="L75" s="18">
        <f t="shared" si="20"/>
        <v>54737.56</v>
      </c>
      <c r="M75" s="18">
        <f t="shared" si="21"/>
        <v>153239.56</v>
      </c>
      <c r="N75" s="136">
        <f t="shared" si="26"/>
        <v>34.980982812073123</v>
      </c>
      <c r="O75" s="172">
        <v>15709</v>
      </c>
      <c r="P75" s="9"/>
    </row>
    <row r="76" spans="1:16" s="6" customFormat="1" ht="15" customHeight="1" x14ac:dyDescent="0.2">
      <c r="A76" s="10" t="s">
        <v>104</v>
      </c>
      <c r="B76" s="11" t="s">
        <v>105</v>
      </c>
      <c r="C76" s="12">
        <v>182689</v>
      </c>
      <c r="D76" s="12">
        <v>0</v>
      </c>
      <c r="E76" s="12">
        <f t="shared" si="27"/>
        <v>182689</v>
      </c>
      <c r="F76" s="12">
        <v>84187</v>
      </c>
      <c r="G76" s="12">
        <v>13740.44</v>
      </c>
      <c r="H76" s="14">
        <f t="shared" si="25"/>
        <v>29449.440000000002</v>
      </c>
      <c r="I76" s="12">
        <v>14649.44</v>
      </c>
      <c r="J76" s="14">
        <v>0</v>
      </c>
      <c r="K76" s="12">
        <f t="shared" si="18"/>
        <v>29449.440000000002</v>
      </c>
      <c r="L76" s="14">
        <f t="shared" si="20"/>
        <v>54737.56</v>
      </c>
      <c r="M76" s="14">
        <f t="shared" si="21"/>
        <v>153239.56</v>
      </c>
      <c r="N76" s="137">
        <f t="shared" si="26"/>
        <v>34.980982812073123</v>
      </c>
      <c r="O76" s="172">
        <v>15709</v>
      </c>
      <c r="P76" s="9"/>
    </row>
    <row r="77" spans="1:16" s="6" customFormat="1" x14ac:dyDescent="0.2">
      <c r="A77" s="21" t="s">
        <v>106</v>
      </c>
      <c r="B77" s="38" t="s">
        <v>107</v>
      </c>
      <c r="C77" s="17">
        <f>SUM(C78:C83)</f>
        <v>97831</v>
      </c>
      <c r="D77" s="17">
        <f>SUM(D78:D83)</f>
        <v>79850</v>
      </c>
      <c r="E77" s="17">
        <f t="shared" si="27"/>
        <v>177681</v>
      </c>
      <c r="F77" s="17">
        <f>SUM(F78:F83)</f>
        <v>177681</v>
      </c>
      <c r="G77" s="17">
        <f>SUM(G78:G83)</f>
        <v>13299.35</v>
      </c>
      <c r="H77" s="18">
        <f t="shared" si="25"/>
        <v>53285.329999999994</v>
      </c>
      <c r="I77" s="17">
        <f>SUM(I78:I83)</f>
        <v>12717.28</v>
      </c>
      <c r="J77" s="17">
        <f>SUM(J78:J83)</f>
        <v>8822.5399999999991</v>
      </c>
      <c r="K77" s="17">
        <f t="shared" si="18"/>
        <v>44462.789999999994</v>
      </c>
      <c r="L77" s="18">
        <f t="shared" si="20"/>
        <v>124395.67000000001</v>
      </c>
      <c r="M77" s="18">
        <f t="shared" si="21"/>
        <v>124395.67000000001</v>
      </c>
      <c r="N77" s="136">
        <f t="shared" si="26"/>
        <v>29.989323563014612</v>
      </c>
      <c r="O77" s="173">
        <v>39985.979999999996</v>
      </c>
      <c r="P77" s="9"/>
    </row>
    <row r="78" spans="1:16" s="6" customFormat="1" ht="14.25" customHeight="1" x14ac:dyDescent="0.2">
      <c r="A78" s="22">
        <v>181</v>
      </c>
      <c r="B78" s="37" t="s">
        <v>108</v>
      </c>
      <c r="C78" s="12">
        <v>0</v>
      </c>
      <c r="D78" s="12">
        <v>0</v>
      </c>
      <c r="E78" s="12">
        <f t="shared" si="27"/>
        <v>0</v>
      </c>
      <c r="F78" s="14">
        <v>0</v>
      </c>
      <c r="G78" s="14">
        <v>0</v>
      </c>
      <c r="H78" s="14">
        <f t="shared" si="24"/>
        <v>0</v>
      </c>
      <c r="I78" s="14">
        <v>0</v>
      </c>
      <c r="J78" s="14">
        <v>0</v>
      </c>
      <c r="K78" s="12">
        <f t="shared" si="18"/>
        <v>0</v>
      </c>
      <c r="L78" s="14">
        <f t="shared" si="20"/>
        <v>0</v>
      </c>
      <c r="M78" s="14">
        <f t="shared" si="21"/>
        <v>0</v>
      </c>
      <c r="N78" s="137" t="s">
        <v>2</v>
      </c>
      <c r="O78" s="172">
        <v>0</v>
      </c>
      <c r="P78" s="9"/>
    </row>
    <row r="79" spans="1:16" s="6" customFormat="1" ht="14.25" customHeight="1" x14ac:dyDescent="0.2">
      <c r="A79" s="20" t="s">
        <v>109</v>
      </c>
      <c r="B79" s="37" t="s">
        <v>240</v>
      </c>
      <c r="C79" s="12">
        <v>41900</v>
      </c>
      <c r="D79" s="12">
        <v>76700</v>
      </c>
      <c r="E79" s="12">
        <f>+C79+D79</f>
        <v>118600</v>
      </c>
      <c r="F79" s="12">
        <v>118600</v>
      </c>
      <c r="G79" s="12">
        <v>1122.8</v>
      </c>
      <c r="H79" s="14">
        <f>+O79+G79</f>
        <v>28664.429999999997</v>
      </c>
      <c r="I79" s="12">
        <v>6489.68</v>
      </c>
      <c r="J79" s="12">
        <v>4119.6899999999996</v>
      </c>
      <c r="K79" s="12">
        <f t="shared" si="18"/>
        <v>24544.739999999998</v>
      </c>
      <c r="L79" s="14">
        <f t="shared" si="20"/>
        <v>89935.57</v>
      </c>
      <c r="M79" s="14">
        <f t="shared" si="21"/>
        <v>89935.57</v>
      </c>
      <c r="N79" s="137">
        <f t="shared" si="26"/>
        <v>24.168996627318716</v>
      </c>
      <c r="O79" s="172">
        <v>27541.629999999997</v>
      </c>
      <c r="P79" s="9"/>
    </row>
    <row r="80" spans="1:16" s="6" customFormat="1" ht="12.75" customHeight="1" x14ac:dyDescent="0.2">
      <c r="A80" s="10">
        <v>183</v>
      </c>
      <c r="B80" s="37" t="s">
        <v>241</v>
      </c>
      <c r="C80" s="12">
        <v>0</v>
      </c>
      <c r="D80" s="12">
        <v>5800</v>
      </c>
      <c r="E80" s="12">
        <f t="shared" si="27"/>
        <v>5800</v>
      </c>
      <c r="F80" s="14">
        <v>5800</v>
      </c>
      <c r="G80" s="14">
        <v>4815</v>
      </c>
      <c r="H80" s="14">
        <f t="shared" si="24"/>
        <v>4815</v>
      </c>
      <c r="I80" s="14">
        <v>0</v>
      </c>
      <c r="J80" s="14">
        <v>0</v>
      </c>
      <c r="K80" s="12">
        <f t="shared" si="18"/>
        <v>4815</v>
      </c>
      <c r="L80" s="14">
        <f t="shared" si="20"/>
        <v>985</v>
      </c>
      <c r="M80" s="14">
        <f t="shared" si="21"/>
        <v>985</v>
      </c>
      <c r="N80" s="137"/>
      <c r="O80" s="172">
        <v>0</v>
      </c>
      <c r="P80" s="9"/>
    </row>
    <row r="81" spans="1:16" s="6" customFormat="1" ht="12" customHeight="1" x14ac:dyDescent="0.2">
      <c r="A81" s="10">
        <v>184</v>
      </c>
      <c r="B81" s="37" t="s">
        <v>242</v>
      </c>
      <c r="C81" s="12">
        <v>0</v>
      </c>
      <c r="D81" s="12"/>
      <c r="E81" s="12"/>
      <c r="F81" s="14"/>
      <c r="G81" s="14">
        <v>0</v>
      </c>
      <c r="H81" s="14">
        <f t="shared" si="24"/>
        <v>0</v>
      </c>
      <c r="I81" s="14">
        <v>0</v>
      </c>
      <c r="J81" s="14">
        <v>0</v>
      </c>
      <c r="K81" s="12">
        <f t="shared" si="18"/>
        <v>0</v>
      </c>
      <c r="L81" s="14">
        <f t="shared" si="20"/>
        <v>0</v>
      </c>
      <c r="M81" s="14">
        <f t="shared" si="21"/>
        <v>0</v>
      </c>
      <c r="N81" s="137"/>
      <c r="O81" s="172">
        <v>0</v>
      </c>
      <c r="P81" s="9"/>
    </row>
    <row r="82" spans="1:16" s="6" customFormat="1" ht="12.75" customHeight="1" x14ac:dyDescent="0.2">
      <c r="A82" s="10">
        <v>185</v>
      </c>
      <c r="B82" s="37" t="s">
        <v>250</v>
      </c>
      <c r="C82" s="12">
        <v>0</v>
      </c>
      <c r="D82" s="12">
        <v>21100</v>
      </c>
      <c r="E82" s="12">
        <f t="shared" si="27"/>
        <v>21100</v>
      </c>
      <c r="F82" s="14">
        <v>21100</v>
      </c>
      <c r="G82" s="14">
        <v>0</v>
      </c>
      <c r="H82" s="14">
        <f>+O82+G82</f>
        <v>4798.99</v>
      </c>
      <c r="I82" s="14">
        <v>1749.45</v>
      </c>
      <c r="J82" s="14">
        <v>224.7</v>
      </c>
      <c r="K82" s="12">
        <f t="shared" si="18"/>
        <v>4574.29</v>
      </c>
      <c r="L82" s="14">
        <f t="shared" si="20"/>
        <v>16301.01</v>
      </c>
      <c r="M82" s="14">
        <f t="shared" si="21"/>
        <v>16301.01</v>
      </c>
      <c r="N82" s="137">
        <f t="shared" ref="N82:N83" si="28">+H82*100/F82</f>
        <v>22.744028436018958</v>
      </c>
      <c r="O82" s="172">
        <v>4798.99</v>
      </c>
      <c r="P82" s="9"/>
    </row>
    <row r="83" spans="1:16" s="6" customFormat="1" ht="13.5" customHeight="1" x14ac:dyDescent="0.2">
      <c r="A83" s="10" t="s">
        <v>110</v>
      </c>
      <c r="B83" s="11" t="s">
        <v>111</v>
      </c>
      <c r="C83" s="12">
        <v>55931</v>
      </c>
      <c r="D83" s="12">
        <v>-23750</v>
      </c>
      <c r="E83" s="12">
        <f t="shared" si="27"/>
        <v>32181</v>
      </c>
      <c r="F83" s="14">
        <v>32181</v>
      </c>
      <c r="G83" s="14">
        <v>7361.55</v>
      </c>
      <c r="H83" s="14">
        <f>+O83+G83</f>
        <v>15006.91</v>
      </c>
      <c r="I83" s="14">
        <v>4478.1499999999996</v>
      </c>
      <c r="J83" s="14">
        <v>4478.1499999999996</v>
      </c>
      <c r="K83" s="12">
        <f t="shared" si="18"/>
        <v>10528.76</v>
      </c>
      <c r="L83" s="14">
        <f t="shared" si="20"/>
        <v>17174.09</v>
      </c>
      <c r="M83" s="14">
        <f t="shared" si="21"/>
        <v>17174.09</v>
      </c>
      <c r="N83" s="137">
        <f t="shared" si="28"/>
        <v>46.632826823280816</v>
      </c>
      <c r="O83" s="172">
        <v>7645.36</v>
      </c>
      <c r="P83" s="9"/>
    </row>
    <row r="84" spans="1:16" s="6" customFormat="1" ht="13.5" customHeight="1" x14ac:dyDescent="0.2">
      <c r="A84" s="24">
        <v>190</v>
      </c>
      <c r="B84" s="16" t="s">
        <v>278</v>
      </c>
      <c r="C84" s="17">
        <f>+C86+C89</f>
        <v>0</v>
      </c>
      <c r="D84" s="17">
        <f>SUM(D85:D92)</f>
        <v>361890</v>
      </c>
      <c r="E84" s="17">
        <f t="shared" si="27"/>
        <v>361890</v>
      </c>
      <c r="F84" s="17">
        <f>SUM(F85:F92)</f>
        <v>361890</v>
      </c>
      <c r="G84" s="17">
        <f>SUM(G85:G93)</f>
        <v>6298.01</v>
      </c>
      <c r="H84" s="17">
        <f>O84+G84</f>
        <v>336723.9</v>
      </c>
      <c r="I84" s="17">
        <f>SUM(I85:I93)</f>
        <v>322743.75999999995</v>
      </c>
      <c r="J84" s="17">
        <f>SUM(J85:J92)</f>
        <v>318955.51999999996</v>
      </c>
      <c r="K84" s="17">
        <f t="shared" si="18"/>
        <v>17768.380000000063</v>
      </c>
      <c r="L84" s="18">
        <f t="shared" si="20"/>
        <v>25166.099999999977</v>
      </c>
      <c r="M84" s="18">
        <f t="shared" si="21"/>
        <v>25166.099999999977</v>
      </c>
      <c r="N84" s="136">
        <f t="shared" ref="N84:N92" si="29">+H84*100/F84</f>
        <v>93.045925557489852</v>
      </c>
      <c r="O84" s="173">
        <v>330425.89</v>
      </c>
      <c r="P84" s="9"/>
    </row>
    <row r="85" spans="1:16" s="6" customFormat="1" ht="13.5" customHeight="1" x14ac:dyDescent="0.2">
      <c r="A85" s="25">
        <v>191</v>
      </c>
      <c r="B85" s="11" t="s">
        <v>286</v>
      </c>
      <c r="C85" s="17"/>
      <c r="D85" s="12">
        <v>17000</v>
      </c>
      <c r="E85" s="12">
        <f>SUM(C85:D85)</f>
        <v>17000</v>
      </c>
      <c r="F85" s="12">
        <v>17000</v>
      </c>
      <c r="G85" s="12">
        <v>0</v>
      </c>
      <c r="H85" s="14">
        <f>+P85+G85</f>
        <v>0</v>
      </c>
      <c r="I85" s="12">
        <v>0</v>
      </c>
      <c r="J85" s="12"/>
      <c r="K85" s="12">
        <f t="shared" si="18"/>
        <v>0</v>
      </c>
      <c r="L85" s="18"/>
      <c r="M85" s="18"/>
      <c r="N85" s="137"/>
      <c r="O85" s="172">
        <v>0</v>
      </c>
      <c r="P85" s="9"/>
    </row>
    <row r="86" spans="1:16" ht="12" customHeight="1" x14ac:dyDescent="0.2">
      <c r="A86" s="25">
        <v>192</v>
      </c>
      <c r="B86" s="11" t="s">
        <v>279</v>
      </c>
      <c r="C86" s="12"/>
      <c r="D86" s="12">
        <v>311000</v>
      </c>
      <c r="E86" s="12">
        <f t="shared" si="27"/>
        <v>311000</v>
      </c>
      <c r="F86" s="12">
        <v>311000</v>
      </c>
      <c r="G86" s="12">
        <v>298.08</v>
      </c>
      <c r="H86" s="14">
        <f>+O86+G86</f>
        <v>310763.23</v>
      </c>
      <c r="I86" s="12">
        <v>303746.21000000002</v>
      </c>
      <c r="J86" s="12">
        <v>303377.90999999997</v>
      </c>
      <c r="K86" s="12">
        <f t="shared" si="18"/>
        <v>7385.320000000007</v>
      </c>
      <c r="L86" s="14">
        <f>+F86-H86</f>
        <v>236.77000000001863</v>
      </c>
      <c r="M86" s="14">
        <f>+E86-H86</f>
        <v>236.77000000001863</v>
      </c>
      <c r="N86" s="137">
        <f t="shared" si="29"/>
        <v>99.923868167202571</v>
      </c>
      <c r="O86" s="172">
        <v>310465.14999999997</v>
      </c>
      <c r="P86" s="8"/>
    </row>
    <row r="87" spans="1:16" ht="12" customHeight="1" x14ac:dyDescent="0.2">
      <c r="A87" s="25">
        <v>193</v>
      </c>
      <c r="B87" s="11" t="s">
        <v>287</v>
      </c>
      <c r="C87" s="12"/>
      <c r="D87" s="12"/>
      <c r="E87" s="12">
        <f t="shared" si="27"/>
        <v>0</v>
      </c>
      <c r="F87" s="12"/>
      <c r="G87" s="12">
        <v>0</v>
      </c>
      <c r="H87" s="14">
        <f>+P87+G87</f>
        <v>0</v>
      </c>
      <c r="I87" s="12"/>
      <c r="J87" s="12"/>
      <c r="K87" s="12">
        <f t="shared" si="18"/>
        <v>0</v>
      </c>
      <c r="L87" s="14">
        <f>+F87-H87</f>
        <v>0</v>
      </c>
      <c r="M87" s="14">
        <f>+E87-H87</f>
        <v>0</v>
      </c>
      <c r="N87" s="137" t="s">
        <v>2</v>
      </c>
      <c r="O87" s="172">
        <v>0</v>
      </c>
      <c r="P87" s="8"/>
    </row>
    <row r="88" spans="1:16" ht="12" customHeight="1" x14ac:dyDescent="0.2">
      <c r="A88" s="25">
        <v>195</v>
      </c>
      <c r="B88" s="11" t="s">
        <v>288</v>
      </c>
      <c r="C88" s="12"/>
      <c r="D88" s="12">
        <v>4000</v>
      </c>
      <c r="E88" s="12">
        <f t="shared" si="27"/>
        <v>4000</v>
      </c>
      <c r="F88" s="12">
        <v>4000</v>
      </c>
      <c r="G88" s="12">
        <v>272</v>
      </c>
      <c r="H88" s="14">
        <f>+O88+G88</f>
        <v>1382</v>
      </c>
      <c r="I88" s="12">
        <v>1392</v>
      </c>
      <c r="J88" s="12">
        <v>1148</v>
      </c>
      <c r="K88" s="12">
        <f t="shared" si="18"/>
        <v>234</v>
      </c>
      <c r="L88" s="14"/>
      <c r="M88" s="14"/>
      <c r="N88" s="137">
        <f t="shared" si="29"/>
        <v>34.549999999999997</v>
      </c>
      <c r="O88" s="172">
        <v>1110</v>
      </c>
      <c r="P88" s="8"/>
    </row>
    <row r="89" spans="1:16" ht="12" customHeight="1" x14ac:dyDescent="0.2">
      <c r="A89" s="25">
        <v>196</v>
      </c>
      <c r="B89" s="11" t="s">
        <v>280</v>
      </c>
      <c r="C89" s="12"/>
      <c r="D89" s="12">
        <v>7500</v>
      </c>
      <c r="E89" s="12">
        <f>+C89+D89</f>
        <v>7500</v>
      </c>
      <c r="F89" s="12">
        <v>7500</v>
      </c>
      <c r="G89" s="12">
        <v>320.75</v>
      </c>
      <c r="H89" s="14">
        <f>+O89+G89</f>
        <v>5313.41</v>
      </c>
      <c r="I89" s="12">
        <v>5416.41</v>
      </c>
      <c r="J89" s="12">
        <v>5258</v>
      </c>
      <c r="K89" s="12">
        <f t="shared" si="18"/>
        <v>55.409999999999854</v>
      </c>
      <c r="L89" s="14">
        <f>+F89-H89</f>
        <v>2186.59</v>
      </c>
      <c r="M89" s="14">
        <f>+E89-H89</f>
        <v>2186.59</v>
      </c>
      <c r="N89" s="137">
        <f t="shared" si="29"/>
        <v>70.845466666666667</v>
      </c>
      <c r="O89" s="172">
        <v>4992.66</v>
      </c>
      <c r="P89" s="8"/>
    </row>
    <row r="90" spans="1:16" ht="12" customHeight="1" x14ac:dyDescent="0.2">
      <c r="A90" s="25">
        <v>197</v>
      </c>
      <c r="B90" s="11" t="s">
        <v>289</v>
      </c>
      <c r="C90" s="12"/>
      <c r="D90" s="12">
        <v>6040</v>
      </c>
      <c r="E90" s="12">
        <f>+C90+D90</f>
        <v>6040</v>
      </c>
      <c r="F90" s="12">
        <v>6040</v>
      </c>
      <c r="G90" s="12">
        <v>989.75</v>
      </c>
      <c r="H90" s="14">
        <f>O90+G90</f>
        <v>5388.3600000000006</v>
      </c>
      <c r="I90" s="12">
        <v>3455.61</v>
      </c>
      <c r="J90" s="12">
        <v>5153.76</v>
      </c>
      <c r="K90" s="12">
        <f t="shared" si="18"/>
        <v>234.60000000000036</v>
      </c>
      <c r="L90" s="14">
        <f>+F90-H90</f>
        <v>651.63999999999942</v>
      </c>
      <c r="M90" s="14">
        <f>+E90-H90</f>
        <v>651.63999999999942</v>
      </c>
      <c r="N90" s="137">
        <f t="shared" si="29"/>
        <v>89.211258278145692</v>
      </c>
      <c r="O90" s="172">
        <v>4398.6100000000006</v>
      </c>
      <c r="P90" s="8"/>
    </row>
    <row r="91" spans="1:16" ht="12" customHeight="1" x14ac:dyDescent="0.2">
      <c r="A91" s="25">
        <v>198</v>
      </c>
      <c r="B91" s="11" t="s">
        <v>304</v>
      </c>
      <c r="C91" s="148"/>
      <c r="D91" s="12">
        <v>10000</v>
      </c>
      <c r="E91" s="12">
        <f>+C91+D91</f>
        <v>10000</v>
      </c>
      <c r="F91" s="12">
        <v>10000</v>
      </c>
      <c r="G91" s="12">
        <v>4176.68</v>
      </c>
      <c r="H91" s="14">
        <f>O91+G91</f>
        <v>7176.68</v>
      </c>
      <c r="I91" s="12">
        <v>7176.68</v>
      </c>
      <c r="J91" s="12"/>
      <c r="K91" s="12">
        <f t="shared" si="18"/>
        <v>7176.68</v>
      </c>
      <c r="L91" s="14">
        <f>+F91-H91</f>
        <v>2823.3199999999997</v>
      </c>
      <c r="M91" s="14"/>
      <c r="N91" s="137">
        <f t="shared" si="29"/>
        <v>71.766800000000003</v>
      </c>
      <c r="O91" s="172">
        <v>3000</v>
      </c>
      <c r="P91" s="8"/>
    </row>
    <row r="92" spans="1:16" ht="13.5" customHeight="1" x14ac:dyDescent="0.2">
      <c r="A92" s="26">
        <v>199</v>
      </c>
      <c r="B92" s="41" t="s">
        <v>290</v>
      </c>
      <c r="C92" s="42"/>
      <c r="D92" s="12">
        <v>6350</v>
      </c>
      <c r="E92" s="12">
        <f>+C92+D92</f>
        <v>6350</v>
      </c>
      <c r="F92" s="12">
        <v>6350</v>
      </c>
      <c r="G92" s="12">
        <v>240.75</v>
      </c>
      <c r="H92" s="12">
        <f>O92+G92</f>
        <v>4338.8500000000004</v>
      </c>
      <c r="I92" s="12">
        <v>1556.85</v>
      </c>
      <c r="J92" s="12">
        <v>4017.85</v>
      </c>
      <c r="K92" s="12">
        <f t="shared" si="18"/>
        <v>321.00000000000045</v>
      </c>
      <c r="L92" s="12">
        <f>+F92-H92</f>
        <v>2011.1499999999996</v>
      </c>
      <c r="M92" s="14">
        <f>+E92-H92</f>
        <v>2011.1499999999996</v>
      </c>
      <c r="N92" s="137">
        <f t="shared" si="29"/>
        <v>68.328346456692927</v>
      </c>
      <c r="O92" s="172">
        <v>4098.1000000000004</v>
      </c>
      <c r="P92" s="8"/>
    </row>
    <row r="93" spans="1:16" ht="15" customHeight="1" thickBot="1" x14ac:dyDescent="0.25">
      <c r="A93" s="25"/>
      <c r="B93" s="43"/>
      <c r="C93" s="44"/>
      <c r="D93" s="44"/>
      <c r="E93" s="44"/>
      <c r="F93" s="44"/>
      <c r="G93" s="44"/>
      <c r="H93" s="45"/>
      <c r="I93" s="44"/>
      <c r="J93" s="44"/>
      <c r="K93" s="44"/>
      <c r="L93" s="45"/>
      <c r="M93" s="45"/>
      <c r="N93" s="137"/>
      <c r="O93" s="172"/>
      <c r="P93" s="8"/>
    </row>
    <row r="94" spans="1:16" ht="15.75" customHeight="1" thickBot="1" x14ac:dyDescent="0.25">
      <c r="A94" s="85" t="s">
        <v>112</v>
      </c>
      <c r="B94" s="85" t="s">
        <v>113</v>
      </c>
      <c r="C94" s="86">
        <f>+C95+C98+C104+C110+C114+C120+C128+C134+C143+C144</f>
        <v>997510</v>
      </c>
      <c r="D94" s="86">
        <f>+D95+D98+D104+D110+D114+D120+D128+D134+D143+D144</f>
        <v>584085</v>
      </c>
      <c r="E94" s="86">
        <f t="shared" ref="E94:E109" si="30">+C94+D94</f>
        <v>1581595</v>
      </c>
      <c r="F94" s="86">
        <f t="shared" ref="F94:K94" si="31">+F95+F98+F104+F110+F114+F120+F128+F134+F143+F144</f>
        <v>1472519</v>
      </c>
      <c r="G94" s="87">
        <f t="shared" si="31"/>
        <v>95482.73000000001</v>
      </c>
      <c r="H94" s="87">
        <f t="shared" si="31"/>
        <v>449395.77000000008</v>
      </c>
      <c r="I94" s="87">
        <f t="shared" si="31"/>
        <v>175264.63999999998</v>
      </c>
      <c r="J94" s="150">
        <f t="shared" si="31"/>
        <v>147132.90000000002</v>
      </c>
      <c r="K94" s="87">
        <f t="shared" si="31"/>
        <v>302262.87</v>
      </c>
      <c r="L94" s="88">
        <f>+F94-H94+1</f>
        <v>1023124.23</v>
      </c>
      <c r="M94" s="89">
        <f t="shared" ref="M94:M125" si="32">+E94-H94</f>
        <v>1132199.23</v>
      </c>
      <c r="N94" s="138">
        <f t="shared" ref="N94:N125" si="33">+H94*100/F94</f>
        <v>30.518843559913325</v>
      </c>
      <c r="O94" s="173">
        <v>357724.75</v>
      </c>
      <c r="P94" s="8"/>
    </row>
    <row r="95" spans="1:16" s="6" customFormat="1" ht="16.5" customHeight="1" x14ac:dyDescent="0.2">
      <c r="A95" s="27" t="s">
        <v>114</v>
      </c>
      <c r="B95" s="99" t="s">
        <v>115</v>
      </c>
      <c r="C95" s="100">
        <f>SUM(C96:C97)</f>
        <v>139175</v>
      </c>
      <c r="D95" s="152">
        <f>SUM(D96:D97)</f>
        <v>-16780</v>
      </c>
      <c r="E95" s="100">
        <f t="shared" si="30"/>
        <v>122395</v>
      </c>
      <c r="F95" s="100">
        <f>SUM(F96:F97)</f>
        <v>63295</v>
      </c>
      <c r="G95" s="46">
        <f>SUM(G96:G97)</f>
        <v>3587.86</v>
      </c>
      <c r="H95" s="47">
        <f>O95+G95</f>
        <v>6773.42</v>
      </c>
      <c r="I95" s="46">
        <f>SUM(I96:I97)</f>
        <v>5653.32</v>
      </c>
      <c r="J95" s="100">
        <f>SUM(J96:J97)</f>
        <v>4648.32</v>
      </c>
      <c r="K95" s="151">
        <f t="shared" ref="K95:K158" si="34">H95-J95</f>
        <v>2125.1000000000004</v>
      </c>
      <c r="L95" s="47">
        <f t="shared" ref="L95:L125" si="35">+F95-H95</f>
        <v>56521.58</v>
      </c>
      <c r="M95" s="101">
        <f t="shared" si="32"/>
        <v>115621.58</v>
      </c>
      <c r="N95" s="139">
        <f t="shared" si="33"/>
        <v>10.701350817600126</v>
      </c>
      <c r="O95" s="172">
        <v>3185.5600000000004</v>
      </c>
      <c r="P95" s="9"/>
    </row>
    <row r="96" spans="1:16" s="6" customFormat="1" ht="13.5" customHeight="1" x14ac:dyDescent="0.2">
      <c r="A96" s="28" t="s">
        <v>116</v>
      </c>
      <c r="B96" s="102" t="s">
        <v>117</v>
      </c>
      <c r="C96" s="52">
        <v>139075</v>
      </c>
      <c r="D96" s="13">
        <v>-20980</v>
      </c>
      <c r="E96" s="52">
        <f t="shared" si="30"/>
        <v>118095</v>
      </c>
      <c r="F96" s="103">
        <v>58995</v>
      </c>
      <c r="G96" s="48">
        <v>2933.61</v>
      </c>
      <c r="H96" s="14">
        <f>+O96+G96</f>
        <v>6114.18</v>
      </c>
      <c r="I96" s="48">
        <v>5648.33</v>
      </c>
      <c r="J96" s="52">
        <v>4643.33</v>
      </c>
      <c r="K96" s="12">
        <f t="shared" si="34"/>
        <v>1470.8500000000004</v>
      </c>
      <c r="L96" s="14">
        <f t="shared" si="35"/>
        <v>52880.82</v>
      </c>
      <c r="M96" s="75">
        <f t="shared" si="32"/>
        <v>111980.82</v>
      </c>
      <c r="N96" s="140">
        <f t="shared" si="33"/>
        <v>10.363895245359776</v>
      </c>
      <c r="O96" s="172">
        <v>3180.57</v>
      </c>
      <c r="P96" s="9"/>
    </row>
    <row r="97" spans="1:16" s="6" customFormat="1" ht="13.5" customHeight="1" x14ac:dyDescent="0.2">
      <c r="A97" s="25" t="s">
        <v>118</v>
      </c>
      <c r="B97" s="104" t="s">
        <v>119</v>
      </c>
      <c r="C97" s="52">
        <v>100</v>
      </c>
      <c r="D97" s="52">
        <v>4200</v>
      </c>
      <c r="E97" s="52">
        <f t="shared" si="30"/>
        <v>4300</v>
      </c>
      <c r="F97" s="49">
        <v>4300</v>
      </c>
      <c r="G97" s="50">
        <v>654.25</v>
      </c>
      <c r="H97" s="14">
        <f>+O97+G97</f>
        <v>659.24</v>
      </c>
      <c r="I97" s="50">
        <v>4.99</v>
      </c>
      <c r="J97" s="75">
        <v>4.99</v>
      </c>
      <c r="K97" s="12">
        <f t="shared" si="34"/>
        <v>654.25</v>
      </c>
      <c r="L97" s="14">
        <f t="shared" si="35"/>
        <v>3640.76</v>
      </c>
      <c r="M97" s="75">
        <f t="shared" si="32"/>
        <v>3640.76</v>
      </c>
      <c r="N97" s="140">
        <f t="shared" si="33"/>
        <v>15.331162790697675</v>
      </c>
      <c r="O97" s="172">
        <v>4.99</v>
      </c>
      <c r="P97" s="9"/>
    </row>
    <row r="98" spans="1:16" s="6" customFormat="1" x14ac:dyDescent="0.2">
      <c r="A98" s="29" t="s">
        <v>120</v>
      </c>
      <c r="B98" s="105" t="s">
        <v>121</v>
      </c>
      <c r="C98" s="70">
        <f>SUM(C99:C103)</f>
        <v>18955</v>
      </c>
      <c r="D98" s="152">
        <f>SUM(D99:D103)</f>
        <v>17550</v>
      </c>
      <c r="E98" s="70">
        <f t="shared" si="30"/>
        <v>36505</v>
      </c>
      <c r="F98" s="51">
        <f>SUM(F99:F103)</f>
        <v>36505</v>
      </c>
      <c r="G98" s="51">
        <f>SUM(G99:G103)</f>
        <v>6175.77</v>
      </c>
      <c r="H98" s="18">
        <f>+O98+G98</f>
        <v>8333.9500000000007</v>
      </c>
      <c r="I98" s="51">
        <f>SUM(I99:I103)</f>
        <v>2332.5300000000002</v>
      </c>
      <c r="J98" s="70">
        <f>SUM(J99:J103)</f>
        <v>1537.52</v>
      </c>
      <c r="K98" s="17">
        <f t="shared" si="34"/>
        <v>6796.43</v>
      </c>
      <c r="L98" s="18">
        <f t="shared" si="35"/>
        <v>28171.05</v>
      </c>
      <c r="M98" s="71">
        <f t="shared" si="32"/>
        <v>28171.05</v>
      </c>
      <c r="N98" s="140">
        <f t="shared" si="33"/>
        <v>22.829612381865502</v>
      </c>
      <c r="O98" s="172">
        <v>2158.1799999999998</v>
      </c>
      <c r="P98" s="9"/>
    </row>
    <row r="99" spans="1:16" s="6" customFormat="1" ht="12" customHeight="1" x14ac:dyDescent="0.2">
      <c r="A99" s="28" t="s">
        <v>122</v>
      </c>
      <c r="B99" s="102" t="s">
        <v>123</v>
      </c>
      <c r="C99" s="52">
        <v>500</v>
      </c>
      <c r="D99" s="52">
        <v>6100</v>
      </c>
      <c r="E99" s="52">
        <f t="shared" si="30"/>
        <v>6600</v>
      </c>
      <c r="F99" s="49">
        <v>6600</v>
      </c>
      <c r="G99" s="50">
        <v>0</v>
      </c>
      <c r="H99" s="14">
        <f>+O99+G99</f>
        <v>415.16500000000002</v>
      </c>
      <c r="I99" s="50">
        <v>415.16</v>
      </c>
      <c r="J99" s="75">
        <v>415.16</v>
      </c>
      <c r="K99" s="12">
        <f t="shared" si="34"/>
        <v>4.9999999999954525E-3</v>
      </c>
      <c r="L99" s="14">
        <f t="shared" si="35"/>
        <v>6184.835</v>
      </c>
      <c r="M99" s="75">
        <f t="shared" si="32"/>
        <v>6184.835</v>
      </c>
      <c r="N99" s="137">
        <f t="shared" ref="N99" si="36">+H99*100/F99</f>
        <v>6.2903787878787876</v>
      </c>
      <c r="O99" s="172">
        <v>415.16500000000002</v>
      </c>
      <c r="P99" s="9"/>
    </row>
    <row r="100" spans="1:16" s="6" customFormat="1" ht="12" customHeight="1" x14ac:dyDescent="0.2">
      <c r="A100" s="25" t="s">
        <v>124</v>
      </c>
      <c r="B100" s="104" t="s">
        <v>125</v>
      </c>
      <c r="C100" s="52">
        <v>396</v>
      </c>
      <c r="D100" s="52">
        <v>5500</v>
      </c>
      <c r="E100" s="52">
        <f t="shared" si="30"/>
        <v>5896</v>
      </c>
      <c r="F100" s="49">
        <v>5896</v>
      </c>
      <c r="G100" s="50">
        <v>767.13</v>
      </c>
      <c r="H100" s="14">
        <f>+O100+G100</f>
        <v>815.27</v>
      </c>
      <c r="I100" s="50">
        <v>222.49</v>
      </c>
      <c r="J100" s="75">
        <v>222.49</v>
      </c>
      <c r="K100" s="12">
        <f t="shared" si="34"/>
        <v>592.78</v>
      </c>
      <c r="L100" s="14">
        <f t="shared" si="35"/>
        <v>5080.7299999999996</v>
      </c>
      <c r="M100" s="75">
        <f t="shared" si="32"/>
        <v>5080.7299999999996</v>
      </c>
      <c r="N100" s="137">
        <f t="shared" ref="N100" si="37">+H100*100/F100</f>
        <v>13.827510176390774</v>
      </c>
      <c r="O100" s="172">
        <v>48.14</v>
      </c>
      <c r="P100" s="9"/>
    </row>
    <row r="101" spans="1:16" s="6" customFormat="1" ht="12" customHeight="1" x14ac:dyDescent="0.2">
      <c r="A101" s="25" t="s">
        <v>126</v>
      </c>
      <c r="B101" s="104" t="s">
        <v>127</v>
      </c>
      <c r="C101" s="52">
        <v>250</v>
      </c>
      <c r="D101" s="52">
        <v>4850</v>
      </c>
      <c r="E101" s="52">
        <f t="shared" si="30"/>
        <v>5100</v>
      </c>
      <c r="F101" s="49">
        <v>5100</v>
      </c>
      <c r="G101" s="50">
        <v>0</v>
      </c>
      <c r="H101" s="14">
        <f t="shared" ref="H101:H103" si="38">+P101+G101</f>
        <v>0</v>
      </c>
      <c r="I101" s="50">
        <v>0</v>
      </c>
      <c r="J101" s="75">
        <v>0</v>
      </c>
      <c r="K101" s="12">
        <f t="shared" si="34"/>
        <v>0</v>
      </c>
      <c r="L101" s="14">
        <f t="shared" si="35"/>
        <v>5100</v>
      </c>
      <c r="M101" s="75">
        <f t="shared" si="32"/>
        <v>5100</v>
      </c>
      <c r="N101" s="140"/>
      <c r="O101" s="172">
        <v>0</v>
      </c>
      <c r="P101" s="9"/>
    </row>
    <row r="102" spans="1:16" s="6" customFormat="1" ht="13.5" customHeight="1" x14ac:dyDescent="0.2">
      <c r="A102" s="25" t="s">
        <v>128</v>
      </c>
      <c r="B102" s="104" t="s">
        <v>129</v>
      </c>
      <c r="C102" s="52">
        <v>17409</v>
      </c>
      <c r="D102" s="13">
        <v>1100</v>
      </c>
      <c r="E102" s="52">
        <f t="shared" si="30"/>
        <v>18509</v>
      </c>
      <c r="F102" s="49">
        <v>18509</v>
      </c>
      <c r="G102" s="50">
        <v>5408.64</v>
      </c>
      <c r="H102" s="14">
        <f>+O102+G102</f>
        <v>7103.52</v>
      </c>
      <c r="I102" s="50">
        <v>1694.88</v>
      </c>
      <c r="J102" s="75">
        <v>899.87</v>
      </c>
      <c r="K102" s="12">
        <f t="shared" si="34"/>
        <v>6203.6500000000005</v>
      </c>
      <c r="L102" s="14">
        <f t="shared" si="35"/>
        <v>11405.48</v>
      </c>
      <c r="M102" s="75">
        <f t="shared" si="32"/>
        <v>11405.48</v>
      </c>
      <c r="N102" s="137">
        <f t="shared" ref="N102" si="39">+H102*100/F102</f>
        <v>38.378734669620187</v>
      </c>
      <c r="O102" s="172">
        <v>1694.88</v>
      </c>
      <c r="P102" s="9"/>
    </row>
    <row r="103" spans="1:16" s="6" customFormat="1" ht="13.5" customHeight="1" x14ac:dyDescent="0.2">
      <c r="A103" s="25" t="s">
        <v>130</v>
      </c>
      <c r="B103" s="104" t="s">
        <v>131</v>
      </c>
      <c r="C103" s="14">
        <v>400</v>
      </c>
      <c r="D103" s="52">
        <v>0</v>
      </c>
      <c r="E103" s="52">
        <f t="shared" si="30"/>
        <v>400</v>
      </c>
      <c r="F103" s="49">
        <v>400</v>
      </c>
      <c r="G103" s="50">
        <v>0</v>
      </c>
      <c r="H103" s="14">
        <f t="shared" si="38"/>
        <v>0</v>
      </c>
      <c r="I103" s="50">
        <v>0</v>
      </c>
      <c r="J103" s="75" t="s">
        <v>2</v>
      </c>
      <c r="K103" s="12" t="e">
        <f t="shared" si="34"/>
        <v>#VALUE!</v>
      </c>
      <c r="L103" s="14" t="s">
        <v>2</v>
      </c>
      <c r="M103" s="75">
        <f t="shared" si="32"/>
        <v>400</v>
      </c>
      <c r="N103" s="140"/>
      <c r="O103" s="172">
        <v>0</v>
      </c>
      <c r="P103" s="9"/>
    </row>
    <row r="104" spans="1:16" s="6" customFormat="1" ht="20.25" customHeight="1" x14ac:dyDescent="0.2">
      <c r="A104" s="30" t="s">
        <v>132</v>
      </c>
      <c r="B104" s="100" t="s">
        <v>133</v>
      </c>
      <c r="C104" s="100">
        <f>SUM(C105:C109)</f>
        <v>317434</v>
      </c>
      <c r="D104" s="152">
        <f>SUM(D105:D109)</f>
        <v>5725</v>
      </c>
      <c r="E104" s="100">
        <f t="shared" si="30"/>
        <v>323159</v>
      </c>
      <c r="F104" s="46">
        <f>SUM(F105:F109)</f>
        <v>274730</v>
      </c>
      <c r="G104" s="46">
        <f>SUM(G105:G109)</f>
        <v>3396</v>
      </c>
      <c r="H104" s="46">
        <f t="shared" ref="H104:H135" si="40">+O104+G104</f>
        <v>190897</v>
      </c>
      <c r="I104" s="46">
        <f>SUM(I105:I109)</f>
        <v>36902.42</v>
      </c>
      <c r="J104" s="100">
        <f>SUM(J105:J109)</f>
        <v>30783.87</v>
      </c>
      <c r="K104" s="151">
        <f t="shared" si="34"/>
        <v>160113.13</v>
      </c>
      <c r="L104" s="47">
        <f t="shared" si="35"/>
        <v>83833</v>
      </c>
      <c r="M104" s="101">
        <f t="shared" si="32"/>
        <v>132262</v>
      </c>
      <c r="N104" s="139">
        <f t="shared" si="33"/>
        <v>69.485312852618932</v>
      </c>
      <c r="O104" s="173">
        <v>187501</v>
      </c>
      <c r="P104" s="9"/>
    </row>
    <row r="105" spans="1:16" s="6" customFormat="1" ht="12" customHeight="1" x14ac:dyDescent="0.2">
      <c r="A105" s="28" t="s">
        <v>134</v>
      </c>
      <c r="B105" s="102" t="s">
        <v>135</v>
      </c>
      <c r="C105" s="52">
        <v>141838</v>
      </c>
      <c r="D105" s="52">
        <v>0</v>
      </c>
      <c r="E105" s="52">
        <f t="shared" si="30"/>
        <v>141838</v>
      </c>
      <c r="F105" s="49">
        <v>108409</v>
      </c>
      <c r="G105" s="50">
        <v>0</v>
      </c>
      <c r="H105" s="14">
        <f t="shared" si="40"/>
        <v>88933</v>
      </c>
      <c r="I105" s="50">
        <v>9500.49</v>
      </c>
      <c r="J105" s="75">
        <v>9500.49</v>
      </c>
      <c r="K105" s="12">
        <f t="shared" si="34"/>
        <v>79432.509999999995</v>
      </c>
      <c r="L105" s="14">
        <f t="shared" si="35"/>
        <v>19476</v>
      </c>
      <c r="M105" s="75">
        <f t="shared" si="32"/>
        <v>52905</v>
      </c>
      <c r="N105" s="137">
        <f t="shared" ref="N105:N106" si="41">+H105*100/F105</f>
        <v>82.034701915892597</v>
      </c>
      <c r="O105" s="172">
        <v>88933</v>
      </c>
      <c r="P105" s="9"/>
    </row>
    <row r="106" spans="1:16" s="6" customFormat="1" ht="12" customHeight="1" x14ac:dyDescent="0.2">
      <c r="A106" s="31">
        <v>222</v>
      </c>
      <c r="B106" s="102" t="s">
        <v>236</v>
      </c>
      <c r="C106" s="52">
        <v>90000</v>
      </c>
      <c r="D106" s="52">
        <v>8225</v>
      </c>
      <c r="E106" s="52">
        <f t="shared" si="30"/>
        <v>98225</v>
      </c>
      <c r="F106" s="103">
        <v>83225</v>
      </c>
      <c r="G106" s="48">
        <v>2491.6</v>
      </c>
      <c r="H106" s="14">
        <f t="shared" si="40"/>
        <v>26124.149999999998</v>
      </c>
      <c r="I106" s="48">
        <v>23149.34</v>
      </c>
      <c r="J106" s="75">
        <v>17640.5</v>
      </c>
      <c r="K106" s="12">
        <f t="shared" si="34"/>
        <v>8483.6499999999978</v>
      </c>
      <c r="L106" s="14">
        <v>11127.96</v>
      </c>
      <c r="M106" s="75">
        <f t="shared" si="32"/>
        <v>72100.850000000006</v>
      </c>
      <c r="N106" s="137">
        <f t="shared" si="41"/>
        <v>31.389786722739561</v>
      </c>
      <c r="O106" s="172">
        <v>23632.55</v>
      </c>
      <c r="P106" s="9"/>
    </row>
    <row r="107" spans="1:16" s="6" customFormat="1" ht="16.149999999999999" customHeight="1" x14ac:dyDescent="0.2">
      <c r="A107" s="25" t="s">
        <v>136</v>
      </c>
      <c r="B107" s="104" t="s">
        <v>137</v>
      </c>
      <c r="C107" s="52">
        <v>74096</v>
      </c>
      <c r="D107" s="52"/>
      <c r="E107" s="52">
        <f t="shared" si="30"/>
        <v>74096</v>
      </c>
      <c r="F107" s="49">
        <v>74096</v>
      </c>
      <c r="G107" s="50">
        <v>0</v>
      </c>
      <c r="H107" s="14">
        <f t="shared" si="40"/>
        <v>74000</v>
      </c>
      <c r="I107" s="50">
        <v>2611.88</v>
      </c>
      <c r="J107" s="75">
        <v>2611.88</v>
      </c>
      <c r="K107" s="12">
        <f t="shared" si="34"/>
        <v>71388.12</v>
      </c>
      <c r="L107" s="14">
        <f t="shared" si="35"/>
        <v>96</v>
      </c>
      <c r="M107" s="75">
        <f t="shared" si="32"/>
        <v>96</v>
      </c>
      <c r="N107" s="140">
        <f t="shared" si="33"/>
        <v>99.870438350248321</v>
      </c>
      <c r="O107" s="172">
        <v>74000</v>
      </c>
      <c r="P107" s="9"/>
    </row>
    <row r="108" spans="1:16" s="6" customFormat="1" ht="14.25" customHeight="1" x14ac:dyDescent="0.2">
      <c r="A108" s="25" t="s">
        <v>138</v>
      </c>
      <c r="B108" s="104" t="s">
        <v>139</v>
      </c>
      <c r="C108" s="52">
        <v>10500</v>
      </c>
      <c r="D108" s="13">
        <v>-4500</v>
      </c>
      <c r="E108" s="52">
        <f>SUM(C108:D108)</f>
        <v>6000</v>
      </c>
      <c r="F108" s="49">
        <v>6000</v>
      </c>
      <c r="G108" s="50">
        <v>740.53</v>
      </c>
      <c r="H108" s="14">
        <f t="shared" si="40"/>
        <v>1408.9</v>
      </c>
      <c r="I108" s="50">
        <v>1209.76</v>
      </c>
      <c r="J108" s="75">
        <v>656.92</v>
      </c>
      <c r="K108" s="12">
        <f t="shared" si="34"/>
        <v>751.98000000000013</v>
      </c>
      <c r="L108" s="14">
        <f t="shared" si="35"/>
        <v>4591.1000000000004</v>
      </c>
      <c r="M108" s="75">
        <f t="shared" si="32"/>
        <v>4591.1000000000004</v>
      </c>
      <c r="N108" s="140">
        <f t="shared" si="33"/>
        <v>23.481666666666666</v>
      </c>
      <c r="O108" s="172">
        <v>668.37000000000012</v>
      </c>
      <c r="P108" s="9"/>
    </row>
    <row r="109" spans="1:16" s="6" customFormat="1" ht="14.45" customHeight="1" x14ac:dyDescent="0.2">
      <c r="A109" s="25">
        <v>229</v>
      </c>
      <c r="B109" s="104" t="s">
        <v>140</v>
      </c>
      <c r="C109" s="52">
        <v>1000</v>
      </c>
      <c r="D109" s="52">
        <v>2000</v>
      </c>
      <c r="E109" s="52">
        <f t="shared" si="30"/>
        <v>3000</v>
      </c>
      <c r="F109" s="49">
        <v>3000</v>
      </c>
      <c r="G109" s="50">
        <v>163.87</v>
      </c>
      <c r="H109" s="14">
        <f t="shared" si="40"/>
        <v>430.95</v>
      </c>
      <c r="I109" s="50">
        <v>430.95</v>
      </c>
      <c r="J109" s="75">
        <v>374.08</v>
      </c>
      <c r="K109" s="12">
        <f t="shared" si="34"/>
        <v>56.870000000000005</v>
      </c>
      <c r="L109" s="14">
        <f t="shared" si="35"/>
        <v>2569.0500000000002</v>
      </c>
      <c r="M109" s="75">
        <f t="shared" si="32"/>
        <v>2569.0500000000002</v>
      </c>
      <c r="N109" s="140">
        <f t="shared" si="33"/>
        <v>14.365</v>
      </c>
      <c r="O109" s="172">
        <v>267.08</v>
      </c>
      <c r="P109" s="9"/>
    </row>
    <row r="110" spans="1:16" s="6" customFormat="1" ht="16.5" customHeight="1" x14ac:dyDescent="0.2">
      <c r="A110" s="30" t="s">
        <v>141</v>
      </c>
      <c r="B110" s="100" t="s">
        <v>142</v>
      </c>
      <c r="C110" s="100">
        <f>SUM(C111:C113)</f>
        <v>11102</v>
      </c>
      <c r="D110" s="152">
        <f>SUM(D111:D113)</f>
        <v>42470</v>
      </c>
      <c r="E110" s="100">
        <f t="shared" ref="E110:E119" si="42">+C110+D110</f>
        <v>53572</v>
      </c>
      <c r="F110" s="46">
        <f>SUM(F111:F113)</f>
        <v>53572</v>
      </c>
      <c r="G110" s="46">
        <f>SUM(G111:G113)</f>
        <v>1398.2</v>
      </c>
      <c r="H110" s="18">
        <f t="shared" si="40"/>
        <v>5839.4800000000005</v>
      </c>
      <c r="I110" s="46">
        <f>SUM(I111:I113)</f>
        <v>3951.71</v>
      </c>
      <c r="J110" s="100">
        <f>SUM(J111:J113)</f>
        <v>4458.04</v>
      </c>
      <c r="K110" s="17">
        <f t="shared" si="34"/>
        <v>1381.4400000000005</v>
      </c>
      <c r="L110" s="47">
        <f t="shared" si="35"/>
        <v>47732.52</v>
      </c>
      <c r="M110" s="101">
        <f t="shared" si="32"/>
        <v>47732.52</v>
      </c>
      <c r="N110" s="139">
        <f t="shared" si="33"/>
        <v>10.900246397371761</v>
      </c>
      <c r="O110" s="172">
        <v>4441.2800000000007</v>
      </c>
      <c r="P110" s="9"/>
    </row>
    <row r="111" spans="1:16" s="6" customFormat="1" ht="12.75" customHeight="1" x14ac:dyDescent="0.2">
      <c r="A111" s="28" t="s">
        <v>143</v>
      </c>
      <c r="B111" s="102" t="s">
        <v>144</v>
      </c>
      <c r="C111" s="52">
        <v>2551</v>
      </c>
      <c r="D111" s="13">
        <v>5270</v>
      </c>
      <c r="E111" s="52">
        <f t="shared" si="42"/>
        <v>7821</v>
      </c>
      <c r="F111" s="49">
        <v>7821</v>
      </c>
      <c r="G111" s="50">
        <v>699</v>
      </c>
      <c r="H111" s="14">
        <f t="shared" si="40"/>
        <v>1503.1100000000001</v>
      </c>
      <c r="I111" s="50">
        <v>804.11</v>
      </c>
      <c r="J111" s="75">
        <v>804.11</v>
      </c>
      <c r="K111" s="12">
        <f t="shared" si="34"/>
        <v>699.00000000000011</v>
      </c>
      <c r="L111" s="14">
        <f t="shared" si="35"/>
        <v>6317.8899999999994</v>
      </c>
      <c r="M111" s="75">
        <f t="shared" si="32"/>
        <v>6317.8899999999994</v>
      </c>
      <c r="N111" s="140">
        <f t="shared" si="33"/>
        <v>19.218897839151005</v>
      </c>
      <c r="O111" s="172">
        <v>804.11</v>
      </c>
      <c r="P111" s="9"/>
    </row>
    <row r="112" spans="1:16" s="6" customFormat="1" ht="12.75" customHeight="1" x14ac:dyDescent="0.2">
      <c r="A112" s="25" t="s">
        <v>145</v>
      </c>
      <c r="B112" s="104" t="s">
        <v>146</v>
      </c>
      <c r="C112" s="52">
        <v>5685</v>
      </c>
      <c r="D112" s="52">
        <v>34100</v>
      </c>
      <c r="E112" s="52">
        <f t="shared" si="42"/>
        <v>39785</v>
      </c>
      <c r="F112" s="49">
        <v>39785</v>
      </c>
      <c r="G112" s="50">
        <v>169.23</v>
      </c>
      <c r="H112" s="14">
        <f t="shared" si="40"/>
        <v>3065.96</v>
      </c>
      <c r="I112" s="50">
        <v>2167.16</v>
      </c>
      <c r="J112" s="75">
        <v>2913.49</v>
      </c>
      <c r="K112" s="12">
        <f t="shared" si="34"/>
        <v>152.47000000000025</v>
      </c>
      <c r="L112" s="14">
        <f t="shared" si="35"/>
        <v>36719.040000000001</v>
      </c>
      <c r="M112" s="75">
        <f t="shared" si="32"/>
        <v>36719.040000000001</v>
      </c>
      <c r="N112" s="140">
        <f t="shared" si="33"/>
        <v>7.7063214779439484</v>
      </c>
      <c r="O112" s="172">
        <v>2896.73</v>
      </c>
      <c r="P112" s="9"/>
    </row>
    <row r="113" spans="1:17" s="6" customFormat="1" ht="15" customHeight="1" x14ac:dyDescent="0.2">
      <c r="A113" s="25" t="s">
        <v>147</v>
      </c>
      <c r="B113" s="104" t="s">
        <v>148</v>
      </c>
      <c r="C113" s="52">
        <v>2866</v>
      </c>
      <c r="D113" s="13">
        <v>3100</v>
      </c>
      <c r="E113" s="52">
        <f t="shared" si="42"/>
        <v>5966</v>
      </c>
      <c r="F113" s="49">
        <v>5966</v>
      </c>
      <c r="G113" s="50">
        <v>529.97</v>
      </c>
      <c r="H113" s="14">
        <f t="shared" si="40"/>
        <v>1270.4100000000001</v>
      </c>
      <c r="I113" s="50">
        <v>980.44</v>
      </c>
      <c r="J113" s="75">
        <v>740.44</v>
      </c>
      <c r="K113" s="12">
        <f t="shared" si="34"/>
        <v>529.97</v>
      </c>
      <c r="L113" s="14">
        <f t="shared" si="35"/>
        <v>4695.59</v>
      </c>
      <c r="M113" s="75">
        <f t="shared" si="32"/>
        <v>4695.59</v>
      </c>
      <c r="N113" s="140">
        <f t="shared" si="33"/>
        <v>21.294166946027492</v>
      </c>
      <c r="O113" s="172">
        <v>740.44</v>
      </c>
      <c r="P113" s="9"/>
    </row>
    <row r="114" spans="1:17" s="6" customFormat="1" ht="20.25" customHeight="1" x14ac:dyDescent="0.2">
      <c r="A114" s="30" t="s">
        <v>149</v>
      </c>
      <c r="B114" s="100" t="s">
        <v>150</v>
      </c>
      <c r="C114" s="100">
        <f>SUM(C115:C119)</f>
        <v>42047</v>
      </c>
      <c r="D114" s="152">
        <f>SUM(D115:D119)</f>
        <v>58480</v>
      </c>
      <c r="E114" s="100">
        <f t="shared" si="42"/>
        <v>100527</v>
      </c>
      <c r="F114" s="46">
        <f>SUM(F115:F119)</f>
        <v>100527</v>
      </c>
      <c r="G114" s="46">
        <f>SUM(G115:G119)</f>
        <v>1079.0899999999999</v>
      </c>
      <c r="H114" s="47">
        <f t="shared" si="40"/>
        <v>9258.8100000000013</v>
      </c>
      <c r="I114" s="46">
        <f>SUM(I115:I119)</f>
        <v>6507.86</v>
      </c>
      <c r="J114" s="100">
        <f>SUM(J115:J119)</f>
        <v>3142.54</v>
      </c>
      <c r="K114" s="151">
        <f t="shared" si="34"/>
        <v>6116.2700000000013</v>
      </c>
      <c r="L114" s="47">
        <f t="shared" si="35"/>
        <v>91268.19</v>
      </c>
      <c r="M114" s="101">
        <f t="shared" si="32"/>
        <v>91268.19</v>
      </c>
      <c r="N114" s="139">
        <f t="shared" si="33"/>
        <v>9.2102718672595429</v>
      </c>
      <c r="O114" s="173">
        <v>8179.7200000000012</v>
      </c>
      <c r="P114" s="9"/>
    </row>
    <row r="115" spans="1:17" s="6" customFormat="1" ht="16.149999999999999" customHeight="1" x14ac:dyDescent="0.2">
      <c r="A115" s="25" t="s">
        <v>151</v>
      </c>
      <c r="B115" s="102" t="s">
        <v>152</v>
      </c>
      <c r="C115" s="52">
        <v>0</v>
      </c>
      <c r="D115" s="52">
        <v>4360</v>
      </c>
      <c r="E115" s="52">
        <f t="shared" si="42"/>
        <v>4360</v>
      </c>
      <c r="F115" s="49">
        <v>4360</v>
      </c>
      <c r="G115" s="50">
        <v>0</v>
      </c>
      <c r="H115" s="14">
        <f t="shared" si="40"/>
        <v>0</v>
      </c>
      <c r="I115" s="50">
        <v>0</v>
      </c>
      <c r="J115" s="75">
        <v>0</v>
      </c>
      <c r="K115" s="12">
        <f t="shared" si="34"/>
        <v>0</v>
      </c>
      <c r="L115" s="14">
        <f t="shared" si="35"/>
        <v>4360</v>
      </c>
      <c r="M115" s="75">
        <f t="shared" si="32"/>
        <v>4360</v>
      </c>
      <c r="N115" s="140" t="s">
        <v>2</v>
      </c>
      <c r="O115" s="172">
        <v>0</v>
      </c>
      <c r="P115" s="9"/>
    </row>
    <row r="116" spans="1:17" s="6" customFormat="1" ht="16.149999999999999" customHeight="1" x14ac:dyDescent="0.2">
      <c r="A116" s="25" t="s">
        <v>153</v>
      </c>
      <c r="B116" s="104" t="s">
        <v>154</v>
      </c>
      <c r="C116" s="52">
        <v>0</v>
      </c>
      <c r="D116" s="52">
        <v>16120</v>
      </c>
      <c r="E116" s="52">
        <f t="shared" si="42"/>
        <v>16120</v>
      </c>
      <c r="F116" s="49">
        <v>16120</v>
      </c>
      <c r="G116" s="50">
        <v>15.52</v>
      </c>
      <c r="H116" s="14">
        <f t="shared" si="40"/>
        <v>908.16</v>
      </c>
      <c r="I116" s="50">
        <v>908.16</v>
      </c>
      <c r="J116" s="75">
        <v>82.38</v>
      </c>
      <c r="K116" s="12">
        <f t="shared" si="34"/>
        <v>825.78</v>
      </c>
      <c r="L116" s="14">
        <f t="shared" si="35"/>
        <v>15211.84</v>
      </c>
      <c r="M116" s="75">
        <f t="shared" si="32"/>
        <v>15211.84</v>
      </c>
      <c r="N116" s="140">
        <f t="shared" si="33"/>
        <v>5.633746898263027</v>
      </c>
      <c r="O116" s="172">
        <v>892.64</v>
      </c>
      <c r="P116" s="9"/>
    </row>
    <row r="117" spans="1:17" s="6" customFormat="1" ht="17.25" customHeight="1" x14ac:dyDescent="0.2">
      <c r="A117" s="25" t="s">
        <v>155</v>
      </c>
      <c r="B117" s="104" t="s">
        <v>156</v>
      </c>
      <c r="C117" s="52">
        <v>17690</v>
      </c>
      <c r="D117" s="13">
        <v>24650</v>
      </c>
      <c r="E117" s="52">
        <f t="shared" ref="E117" si="43">+C117+D117</f>
        <v>42340</v>
      </c>
      <c r="F117" s="49">
        <v>42340</v>
      </c>
      <c r="G117" s="50">
        <v>201.19</v>
      </c>
      <c r="H117" s="14">
        <f t="shared" si="40"/>
        <v>4107.2299999999996</v>
      </c>
      <c r="I117" s="50">
        <v>1982.87</v>
      </c>
      <c r="J117" s="75">
        <v>2551.46</v>
      </c>
      <c r="K117" s="12">
        <f t="shared" ref="K117" si="44">H117-J117</f>
        <v>1555.7699999999995</v>
      </c>
      <c r="L117" s="14">
        <f t="shared" ref="L117" si="45">+F117-H117</f>
        <v>38232.770000000004</v>
      </c>
      <c r="M117" s="75">
        <f t="shared" ref="M117" si="46">+E117-H117</f>
        <v>38232.770000000004</v>
      </c>
      <c r="N117" s="140">
        <f t="shared" ref="N117" si="47">+H117*100/F117</f>
        <v>9.700590458195558</v>
      </c>
      <c r="O117" s="172">
        <v>3906.04</v>
      </c>
      <c r="P117" s="9"/>
    </row>
    <row r="118" spans="1:17" s="6" customFormat="1" ht="16.5" customHeight="1" x14ac:dyDescent="0.2">
      <c r="A118" s="25" t="s">
        <v>157</v>
      </c>
      <c r="B118" s="104" t="s">
        <v>158</v>
      </c>
      <c r="C118" s="52">
        <v>0</v>
      </c>
      <c r="D118" s="52">
        <v>5600</v>
      </c>
      <c r="E118" s="52">
        <f t="shared" si="42"/>
        <v>5600</v>
      </c>
      <c r="F118" s="49">
        <v>5600</v>
      </c>
      <c r="G118" s="50">
        <v>0</v>
      </c>
      <c r="H118" s="14">
        <f t="shared" si="40"/>
        <v>97.45</v>
      </c>
      <c r="I118" s="50">
        <v>97.45</v>
      </c>
      <c r="J118" s="75">
        <v>97.45</v>
      </c>
      <c r="K118" s="12">
        <f t="shared" si="34"/>
        <v>0</v>
      </c>
      <c r="L118" s="14">
        <f t="shared" si="35"/>
        <v>5502.55</v>
      </c>
      <c r="M118" s="75">
        <f t="shared" si="32"/>
        <v>5502.55</v>
      </c>
      <c r="N118" s="140" t="s">
        <v>2</v>
      </c>
      <c r="O118" s="172">
        <v>97.45</v>
      </c>
      <c r="P118" s="9"/>
    </row>
    <row r="119" spans="1:17" s="6" customFormat="1" ht="16.5" customHeight="1" x14ac:dyDescent="0.2">
      <c r="A119" s="25" t="s">
        <v>159</v>
      </c>
      <c r="B119" s="104" t="s">
        <v>160</v>
      </c>
      <c r="C119" s="52">
        <v>24357</v>
      </c>
      <c r="D119" s="13">
        <v>7750</v>
      </c>
      <c r="E119" s="52">
        <f t="shared" si="42"/>
        <v>32107</v>
      </c>
      <c r="F119" s="103">
        <v>32107</v>
      </c>
      <c r="G119" s="48">
        <v>862.38</v>
      </c>
      <c r="H119" s="14">
        <f t="shared" si="40"/>
        <v>4145.97</v>
      </c>
      <c r="I119" s="48">
        <v>3519.38</v>
      </c>
      <c r="J119" s="75">
        <v>411.25</v>
      </c>
      <c r="K119" s="12">
        <f t="shared" si="34"/>
        <v>3734.7200000000003</v>
      </c>
      <c r="L119" s="14">
        <f t="shared" si="35"/>
        <v>27961.03</v>
      </c>
      <c r="M119" s="75">
        <f t="shared" si="32"/>
        <v>27961.03</v>
      </c>
      <c r="N119" s="140">
        <f t="shared" si="33"/>
        <v>12.912978478213473</v>
      </c>
      <c r="O119" s="172">
        <v>3283.59</v>
      </c>
      <c r="P119" s="9"/>
    </row>
    <row r="120" spans="1:17" s="6" customFormat="1" ht="20.25" customHeight="1" x14ac:dyDescent="0.2">
      <c r="A120" s="30" t="s">
        <v>161</v>
      </c>
      <c r="B120" s="100" t="s">
        <v>162</v>
      </c>
      <c r="C120" s="100">
        <f>SUM(C121:C127)</f>
        <v>64794</v>
      </c>
      <c r="D120" s="152">
        <f>SUM(D121:D127)</f>
        <v>120050</v>
      </c>
      <c r="E120" s="100">
        <f t="shared" ref="E120:E143" si="48">+C120+D120</f>
        <v>184844</v>
      </c>
      <c r="F120" s="46">
        <f>SUM(F121:F127)</f>
        <v>184844</v>
      </c>
      <c r="G120" s="46">
        <f>SUM(G121:G127)</f>
        <v>13811.6</v>
      </c>
      <c r="H120" s="100">
        <f>SUM(H121:H127)</f>
        <v>20802.379999999997</v>
      </c>
      <c r="I120" s="46">
        <f>SUM(I121:I127)</f>
        <v>13039.82</v>
      </c>
      <c r="J120" s="100">
        <f>SUM(J121:J127)</f>
        <v>8262.98</v>
      </c>
      <c r="K120" s="151">
        <f t="shared" si="34"/>
        <v>12539.399999999998</v>
      </c>
      <c r="L120" s="47">
        <f t="shared" si="35"/>
        <v>164041.62</v>
      </c>
      <c r="M120" s="101">
        <f t="shared" si="32"/>
        <v>164041.62</v>
      </c>
      <c r="N120" s="139">
        <f t="shared" si="33"/>
        <v>11.254019605721581</v>
      </c>
      <c r="O120" s="173">
        <v>7005.97</v>
      </c>
      <c r="P120" s="9"/>
      <c r="Q120" s="2" t="s">
        <v>2</v>
      </c>
    </row>
    <row r="121" spans="1:17" s="6" customFormat="1" ht="14.25" customHeight="1" x14ac:dyDescent="0.2">
      <c r="A121" s="25" t="s">
        <v>163</v>
      </c>
      <c r="B121" s="104" t="s">
        <v>164</v>
      </c>
      <c r="C121" s="52">
        <v>6350</v>
      </c>
      <c r="D121" s="13">
        <v>10400</v>
      </c>
      <c r="E121" s="52">
        <v>10250</v>
      </c>
      <c r="F121" s="103">
        <v>16750</v>
      </c>
      <c r="G121" s="50">
        <v>6366.1</v>
      </c>
      <c r="H121" s="14">
        <f t="shared" si="40"/>
        <v>6668.06</v>
      </c>
      <c r="I121" s="50">
        <v>1403.66</v>
      </c>
      <c r="J121" s="75">
        <v>350.46</v>
      </c>
      <c r="K121" s="12">
        <f t="shared" si="34"/>
        <v>6317.6</v>
      </c>
      <c r="L121" s="14">
        <f t="shared" si="35"/>
        <v>10081.939999999999</v>
      </c>
      <c r="M121" s="75">
        <f t="shared" si="32"/>
        <v>3581.9399999999996</v>
      </c>
      <c r="N121" s="140">
        <f t="shared" si="33"/>
        <v>39.809313432835822</v>
      </c>
      <c r="O121" s="172">
        <v>301.96000000000004</v>
      </c>
      <c r="P121" s="9"/>
    </row>
    <row r="122" spans="1:17" s="6" customFormat="1" ht="16.5" customHeight="1" x14ac:dyDescent="0.2">
      <c r="A122" s="25" t="s">
        <v>165</v>
      </c>
      <c r="B122" s="104" t="s">
        <v>166</v>
      </c>
      <c r="C122" s="52">
        <v>2500</v>
      </c>
      <c r="D122" s="52">
        <v>13850</v>
      </c>
      <c r="E122" s="52">
        <f t="shared" si="48"/>
        <v>16350</v>
      </c>
      <c r="F122" s="103">
        <v>16350</v>
      </c>
      <c r="G122" s="50">
        <v>18.190000000000001</v>
      </c>
      <c r="H122" s="14">
        <f t="shared" si="40"/>
        <v>433.32000000000005</v>
      </c>
      <c r="I122" s="50">
        <v>433.32</v>
      </c>
      <c r="J122" s="75">
        <v>415.13</v>
      </c>
      <c r="K122" s="12">
        <f t="shared" si="34"/>
        <v>18.190000000000055</v>
      </c>
      <c r="L122" s="14">
        <f t="shared" si="35"/>
        <v>15916.68</v>
      </c>
      <c r="M122" s="75">
        <f t="shared" si="32"/>
        <v>15916.68</v>
      </c>
      <c r="N122" s="140">
        <f t="shared" si="33"/>
        <v>2.6502752293577987</v>
      </c>
      <c r="O122" s="172">
        <v>415.13000000000005</v>
      </c>
      <c r="P122" s="9"/>
    </row>
    <row r="123" spans="1:17" s="6" customFormat="1" ht="12.75" customHeight="1" x14ac:dyDescent="0.2">
      <c r="A123" s="25">
        <v>254</v>
      </c>
      <c r="B123" s="104" t="s">
        <v>167</v>
      </c>
      <c r="C123" s="52">
        <v>4903</v>
      </c>
      <c r="D123" s="13">
        <v>16400</v>
      </c>
      <c r="E123" s="52">
        <f t="shared" si="48"/>
        <v>21303</v>
      </c>
      <c r="F123" s="52">
        <v>21303</v>
      </c>
      <c r="G123" s="103">
        <v>1053.79</v>
      </c>
      <c r="H123" s="14">
        <f t="shared" si="40"/>
        <v>1947.19</v>
      </c>
      <c r="I123" s="103">
        <v>1947.5</v>
      </c>
      <c r="J123" s="75">
        <v>984.82</v>
      </c>
      <c r="K123" s="12">
        <f t="shared" si="34"/>
        <v>962.37</v>
      </c>
      <c r="L123" s="14">
        <f t="shared" si="35"/>
        <v>19355.810000000001</v>
      </c>
      <c r="M123" s="75">
        <f t="shared" si="32"/>
        <v>19355.810000000001</v>
      </c>
      <c r="N123" s="140">
        <f t="shared" si="33"/>
        <v>9.140449701919918</v>
      </c>
      <c r="O123" s="172">
        <v>893.4</v>
      </c>
      <c r="P123" s="9"/>
    </row>
    <row r="124" spans="1:17" s="6" customFormat="1" ht="18" customHeight="1" x14ac:dyDescent="0.2">
      <c r="A124" s="25" t="s">
        <v>168</v>
      </c>
      <c r="B124" s="104" t="s">
        <v>169</v>
      </c>
      <c r="C124" s="52">
        <v>25636</v>
      </c>
      <c r="D124" s="13">
        <v>36760</v>
      </c>
      <c r="E124" s="52">
        <f t="shared" si="48"/>
        <v>62396</v>
      </c>
      <c r="F124" s="52">
        <v>62396</v>
      </c>
      <c r="G124" s="49">
        <v>3172.99</v>
      </c>
      <c r="H124" s="14">
        <f t="shared" si="40"/>
        <v>5816.78</v>
      </c>
      <c r="I124" s="49">
        <v>3709.51</v>
      </c>
      <c r="J124" s="75">
        <v>3383.17</v>
      </c>
      <c r="K124" s="12">
        <f t="shared" si="34"/>
        <v>2433.6099999999997</v>
      </c>
      <c r="L124" s="14">
        <f t="shared" si="35"/>
        <v>56579.22</v>
      </c>
      <c r="M124" s="75">
        <f t="shared" si="32"/>
        <v>56579.22</v>
      </c>
      <c r="N124" s="140">
        <f t="shared" si="33"/>
        <v>9.3223604077184437</v>
      </c>
      <c r="O124" s="172">
        <f>2659.11-15.32</f>
        <v>2643.79</v>
      </c>
      <c r="P124" s="9"/>
    </row>
    <row r="125" spans="1:17" s="6" customFormat="1" ht="17.25" customHeight="1" x14ac:dyDescent="0.2">
      <c r="A125" s="25" t="s">
        <v>170</v>
      </c>
      <c r="B125" s="104" t="s">
        <v>171</v>
      </c>
      <c r="C125" s="52">
        <v>4688</v>
      </c>
      <c r="D125" s="13">
        <v>25600</v>
      </c>
      <c r="E125" s="52">
        <f t="shared" si="48"/>
        <v>30288</v>
      </c>
      <c r="F125" s="52">
        <v>30288</v>
      </c>
      <c r="G125" s="49">
        <v>733.93</v>
      </c>
      <c r="H125" s="14">
        <f t="shared" si="40"/>
        <v>2431.8199999999997</v>
      </c>
      <c r="I125" s="49">
        <v>2047.95</v>
      </c>
      <c r="J125" s="75">
        <v>1774.82</v>
      </c>
      <c r="K125" s="12">
        <f t="shared" si="34"/>
        <v>656.99999999999977</v>
      </c>
      <c r="L125" s="14">
        <f t="shared" si="35"/>
        <v>27856.18</v>
      </c>
      <c r="M125" s="75">
        <f t="shared" si="32"/>
        <v>27856.18</v>
      </c>
      <c r="N125" s="140">
        <f t="shared" si="33"/>
        <v>8.0289883782356046</v>
      </c>
      <c r="O125" s="172">
        <v>1697.8899999999999</v>
      </c>
      <c r="P125" s="9"/>
    </row>
    <row r="126" spans="1:17" s="6" customFormat="1" ht="17.25" customHeight="1" x14ac:dyDescent="0.2">
      <c r="A126" s="25">
        <v>257</v>
      </c>
      <c r="B126" s="104" t="s">
        <v>172</v>
      </c>
      <c r="C126" s="75">
        <v>5817</v>
      </c>
      <c r="D126" s="75">
        <v>4200</v>
      </c>
      <c r="E126" s="52">
        <f t="shared" si="48"/>
        <v>10017</v>
      </c>
      <c r="F126" s="52">
        <v>10017</v>
      </c>
      <c r="G126" s="49">
        <v>1001.41</v>
      </c>
      <c r="H126" s="14">
        <f t="shared" si="40"/>
        <v>1001.41</v>
      </c>
      <c r="I126" s="49">
        <v>1001.41</v>
      </c>
      <c r="J126" s="75">
        <v>38.409999999999997</v>
      </c>
      <c r="K126" s="12">
        <f t="shared" si="34"/>
        <v>963</v>
      </c>
      <c r="L126" s="14">
        <v>0</v>
      </c>
      <c r="M126" s="75">
        <f t="shared" ref="M126:M157" si="49">+E126-H126</f>
        <v>9015.59</v>
      </c>
      <c r="N126" s="140">
        <f t="shared" ref="N126:N153" si="50">+H126*100/F126</f>
        <v>9.9971049216332233</v>
      </c>
      <c r="O126" s="172">
        <v>0</v>
      </c>
      <c r="P126" s="9"/>
    </row>
    <row r="127" spans="1:17" s="6" customFormat="1" ht="17.25" customHeight="1" x14ac:dyDescent="0.2">
      <c r="A127" s="25" t="s">
        <v>173</v>
      </c>
      <c r="B127" s="104" t="s">
        <v>174</v>
      </c>
      <c r="C127" s="52">
        <v>14900</v>
      </c>
      <c r="D127" s="13">
        <v>12840</v>
      </c>
      <c r="E127" s="52">
        <f t="shared" si="48"/>
        <v>27740</v>
      </c>
      <c r="F127" s="52">
        <v>27740</v>
      </c>
      <c r="G127" s="52">
        <v>1465.19</v>
      </c>
      <c r="H127" s="14">
        <f t="shared" si="40"/>
        <v>2503.8000000000002</v>
      </c>
      <c r="I127" s="52">
        <v>2496.4699999999998</v>
      </c>
      <c r="J127" s="75">
        <v>1316.17</v>
      </c>
      <c r="K127" s="12">
        <f t="shared" si="34"/>
        <v>1187.6300000000001</v>
      </c>
      <c r="L127" s="14">
        <f t="shared" ref="L127:L158" si="51">+F127-H127</f>
        <v>25236.2</v>
      </c>
      <c r="M127" s="75">
        <f t="shared" si="49"/>
        <v>25236.2</v>
      </c>
      <c r="N127" s="140">
        <f t="shared" si="50"/>
        <v>9.0259552992069221</v>
      </c>
      <c r="O127" s="172">
        <v>1038.6100000000001</v>
      </c>
      <c r="P127" s="9"/>
    </row>
    <row r="128" spans="1:17" s="6" customFormat="1" ht="15" customHeight="1" x14ac:dyDescent="0.2">
      <c r="A128" s="30" t="s">
        <v>175</v>
      </c>
      <c r="B128" s="100" t="s">
        <v>176</v>
      </c>
      <c r="C128" s="100">
        <f>SUM(C129:C133)</f>
        <v>65769</v>
      </c>
      <c r="D128" s="152">
        <f>SUM(D129:D133)</f>
        <v>89670</v>
      </c>
      <c r="E128" s="106">
        <f t="shared" si="48"/>
        <v>155439</v>
      </c>
      <c r="F128" s="53">
        <f>SUM(F129:F133)</f>
        <v>155439</v>
      </c>
      <c r="G128" s="54">
        <f>SUM(G129:G133)</f>
        <v>11322.55</v>
      </c>
      <c r="H128" s="18">
        <f t="shared" si="40"/>
        <v>22223.43</v>
      </c>
      <c r="I128" s="54">
        <f>SUM(I129:I133)</f>
        <v>14323.64</v>
      </c>
      <c r="J128" s="100">
        <f>SUM(J129:J133)</f>
        <v>11725.439999999999</v>
      </c>
      <c r="K128" s="151">
        <f>H128-J128</f>
        <v>10497.990000000002</v>
      </c>
      <c r="L128" s="47">
        <f t="shared" si="51"/>
        <v>133215.57</v>
      </c>
      <c r="M128" s="101">
        <f t="shared" si="49"/>
        <v>133215.57</v>
      </c>
      <c r="N128" s="139">
        <f t="shared" si="50"/>
        <v>14.297203404550981</v>
      </c>
      <c r="O128" s="173">
        <f>14654.88-3754</f>
        <v>10900.88</v>
      </c>
      <c r="P128" s="9"/>
    </row>
    <row r="129" spans="1:16" s="6" customFormat="1" ht="13.5" customHeight="1" x14ac:dyDescent="0.2">
      <c r="A129" s="31">
        <v>261</v>
      </c>
      <c r="B129" s="102" t="s">
        <v>177</v>
      </c>
      <c r="C129" s="52">
        <v>0</v>
      </c>
      <c r="D129" s="75">
        <v>5700</v>
      </c>
      <c r="E129" s="103">
        <f t="shared" si="48"/>
        <v>5700</v>
      </c>
      <c r="F129" s="55">
        <v>5700</v>
      </c>
      <c r="G129" s="56">
        <v>3754.63</v>
      </c>
      <c r="H129" s="14">
        <f t="shared" si="40"/>
        <v>3754.63</v>
      </c>
      <c r="I129" s="56">
        <v>3754.63</v>
      </c>
      <c r="J129" s="75">
        <v>3754.63</v>
      </c>
      <c r="K129" s="12">
        <f t="shared" si="34"/>
        <v>0</v>
      </c>
      <c r="L129" s="14">
        <f t="shared" si="51"/>
        <v>1945.37</v>
      </c>
      <c r="M129" s="75">
        <f t="shared" si="49"/>
        <v>1945.37</v>
      </c>
      <c r="N129" s="140"/>
      <c r="O129" s="172">
        <v>0</v>
      </c>
      <c r="P129" s="9"/>
    </row>
    <row r="130" spans="1:16" s="6" customFormat="1" ht="13.5" customHeight="1" x14ac:dyDescent="0.2">
      <c r="A130" s="25" t="s">
        <v>178</v>
      </c>
      <c r="B130" s="104" t="s">
        <v>310</v>
      </c>
      <c r="C130" s="52">
        <v>12481</v>
      </c>
      <c r="D130" s="13">
        <v>21350</v>
      </c>
      <c r="E130" s="103">
        <f t="shared" si="48"/>
        <v>33831</v>
      </c>
      <c r="F130" s="57">
        <v>33831</v>
      </c>
      <c r="G130" s="58">
        <v>204.65</v>
      </c>
      <c r="H130" s="14">
        <f t="shared" si="40"/>
        <v>2742.47</v>
      </c>
      <c r="I130" s="58">
        <v>2267.61</v>
      </c>
      <c r="J130" s="75">
        <v>2243.35</v>
      </c>
      <c r="K130" s="12">
        <f t="shared" si="34"/>
        <v>499.11999999999989</v>
      </c>
      <c r="L130" s="14">
        <f t="shared" si="51"/>
        <v>31088.53</v>
      </c>
      <c r="M130" s="75">
        <f t="shared" si="49"/>
        <v>31088.53</v>
      </c>
      <c r="N130" s="140">
        <f t="shared" si="50"/>
        <v>8.1063817209068603</v>
      </c>
      <c r="O130" s="172">
        <v>2537.8199999999997</v>
      </c>
      <c r="P130" s="9"/>
    </row>
    <row r="131" spans="1:16" s="6" customFormat="1" ht="17.25" customHeight="1" x14ac:dyDescent="0.2">
      <c r="A131" s="25">
        <v>263</v>
      </c>
      <c r="B131" s="104" t="s">
        <v>263</v>
      </c>
      <c r="C131" s="52">
        <v>14301</v>
      </c>
      <c r="D131" s="13">
        <v>1800</v>
      </c>
      <c r="E131" s="103">
        <f t="shared" si="48"/>
        <v>16101</v>
      </c>
      <c r="F131" s="55">
        <v>16101</v>
      </c>
      <c r="G131" s="56">
        <v>168.42</v>
      </c>
      <c r="H131" s="14">
        <f t="shared" si="40"/>
        <v>608.02</v>
      </c>
      <c r="I131" s="56">
        <v>270.97000000000003</v>
      </c>
      <c r="J131" s="75">
        <v>201.74</v>
      </c>
      <c r="K131" s="12">
        <f t="shared" si="34"/>
        <v>406.28</v>
      </c>
      <c r="L131" s="14">
        <f t="shared" si="51"/>
        <v>15492.98</v>
      </c>
      <c r="M131" s="75">
        <f t="shared" si="49"/>
        <v>15492.98</v>
      </c>
      <c r="N131" s="140">
        <f t="shared" si="50"/>
        <v>3.776287187131234</v>
      </c>
      <c r="O131" s="172">
        <v>439.6</v>
      </c>
      <c r="P131" s="9"/>
    </row>
    <row r="132" spans="1:16" s="6" customFormat="1" ht="17.25" customHeight="1" x14ac:dyDescent="0.2">
      <c r="A132" s="25" t="s">
        <v>179</v>
      </c>
      <c r="B132" s="107" t="s">
        <v>272</v>
      </c>
      <c r="C132" s="108">
        <v>17494</v>
      </c>
      <c r="D132" s="13">
        <v>31270</v>
      </c>
      <c r="E132" s="103">
        <f>+C132+D132</f>
        <v>48764</v>
      </c>
      <c r="F132" s="55">
        <v>48764</v>
      </c>
      <c r="G132" s="56">
        <v>5003.1499999999996</v>
      </c>
      <c r="H132" s="14">
        <f t="shared" si="40"/>
        <v>8711.0400000000009</v>
      </c>
      <c r="I132" s="56">
        <v>6270.37</v>
      </c>
      <c r="J132" s="75">
        <v>4210.26</v>
      </c>
      <c r="K132" s="12">
        <f t="shared" si="34"/>
        <v>4500.7800000000007</v>
      </c>
      <c r="L132" s="14">
        <f t="shared" si="51"/>
        <v>40052.959999999999</v>
      </c>
      <c r="M132" s="75">
        <f t="shared" si="49"/>
        <v>40052.959999999999</v>
      </c>
      <c r="N132" s="140">
        <f t="shared" si="50"/>
        <v>17.863669920433107</v>
      </c>
      <c r="O132" s="172">
        <v>3707.8900000000003</v>
      </c>
      <c r="P132" s="9"/>
    </row>
    <row r="133" spans="1:16" s="6" customFormat="1" ht="15.75" customHeight="1" x14ac:dyDescent="0.2">
      <c r="A133" s="25" t="s">
        <v>180</v>
      </c>
      <c r="B133" s="107" t="s">
        <v>181</v>
      </c>
      <c r="C133" s="108">
        <v>21493</v>
      </c>
      <c r="D133" s="13">
        <v>29550</v>
      </c>
      <c r="E133" s="103">
        <f t="shared" si="48"/>
        <v>51043</v>
      </c>
      <c r="F133" s="55">
        <v>51043</v>
      </c>
      <c r="G133" s="56">
        <v>2191.6999999999998</v>
      </c>
      <c r="H133" s="14">
        <f t="shared" si="40"/>
        <v>6406.01</v>
      </c>
      <c r="I133" s="56">
        <v>1760.06</v>
      </c>
      <c r="J133" s="75">
        <v>1315.46</v>
      </c>
      <c r="K133" s="12">
        <f t="shared" si="34"/>
        <v>5090.55</v>
      </c>
      <c r="L133" s="14">
        <f t="shared" si="51"/>
        <v>44636.99</v>
      </c>
      <c r="M133" s="75">
        <f t="shared" si="49"/>
        <v>44636.99</v>
      </c>
      <c r="N133" s="140">
        <f t="shared" si="50"/>
        <v>12.55022236153831</v>
      </c>
      <c r="O133" s="172">
        <v>4214.3100000000004</v>
      </c>
      <c r="P133" s="9"/>
    </row>
    <row r="134" spans="1:16" s="6" customFormat="1" ht="20.25" customHeight="1" x14ac:dyDescent="0.2">
      <c r="A134" s="30" t="s">
        <v>182</v>
      </c>
      <c r="B134" s="109" t="s">
        <v>183</v>
      </c>
      <c r="C134" s="110">
        <f>SUM(C135:C142)</f>
        <v>183914</v>
      </c>
      <c r="D134" s="152">
        <f>SUM(D135:D142)</f>
        <v>234920</v>
      </c>
      <c r="E134" s="106">
        <f t="shared" si="48"/>
        <v>418834</v>
      </c>
      <c r="F134" s="53">
        <f>SUM(F135:F142)</f>
        <v>417287</v>
      </c>
      <c r="G134" s="53">
        <f>SUM(G135:G142)</f>
        <v>30367.99</v>
      </c>
      <c r="H134" s="47">
        <f t="shared" si="40"/>
        <v>102792.33</v>
      </c>
      <c r="I134" s="53">
        <f>SUM(I135:I142)</f>
        <v>72388.12</v>
      </c>
      <c r="J134" s="53">
        <f>SUM(J135:J142)</f>
        <v>20381.579999999998</v>
      </c>
      <c r="K134" s="151">
        <f>H134-J134</f>
        <v>82410.75</v>
      </c>
      <c r="L134" s="47">
        <f t="shared" si="51"/>
        <v>314494.67</v>
      </c>
      <c r="M134" s="101">
        <f t="shared" si="49"/>
        <v>316041.67</v>
      </c>
      <c r="N134" s="139">
        <f t="shared" si="50"/>
        <v>24.633484867728924</v>
      </c>
      <c r="O134" s="173">
        <f>72437.08-12.74</f>
        <v>72424.34</v>
      </c>
      <c r="P134" s="9"/>
    </row>
    <row r="135" spans="1:16" s="6" customFormat="1" ht="12.75" customHeight="1" x14ac:dyDescent="0.2">
      <c r="A135" s="25" t="s">
        <v>184</v>
      </c>
      <c r="B135" s="107" t="s">
        <v>185</v>
      </c>
      <c r="C135" s="108">
        <v>68894</v>
      </c>
      <c r="D135" s="13">
        <v>-23800</v>
      </c>
      <c r="E135" s="103">
        <f t="shared" si="48"/>
        <v>45094</v>
      </c>
      <c r="F135" s="55">
        <v>45094</v>
      </c>
      <c r="G135" s="56">
        <v>1407.83</v>
      </c>
      <c r="H135" s="14">
        <f t="shared" si="40"/>
        <v>28592.28</v>
      </c>
      <c r="I135" s="56">
        <v>23954.98</v>
      </c>
      <c r="J135" s="75">
        <v>13414.77</v>
      </c>
      <c r="K135" s="12">
        <f t="shared" si="34"/>
        <v>15177.509999999998</v>
      </c>
      <c r="L135" s="14">
        <f t="shared" si="51"/>
        <v>16501.72</v>
      </c>
      <c r="M135" s="75">
        <f t="shared" si="49"/>
        <v>16501.72</v>
      </c>
      <c r="N135" s="140">
        <f t="shared" si="50"/>
        <v>63.40595201135406</v>
      </c>
      <c r="O135" s="172">
        <v>27184.45</v>
      </c>
      <c r="P135" s="9"/>
    </row>
    <row r="136" spans="1:16" s="6" customFormat="1" ht="16.5" customHeight="1" x14ac:dyDescent="0.2">
      <c r="A136" s="25" t="s">
        <v>186</v>
      </c>
      <c r="B136" s="104" t="s">
        <v>187</v>
      </c>
      <c r="C136" s="52">
        <v>1000</v>
      </c>
      <c r="D136" s="52">
        <v>2000</v>
      </c>
      <c r="E136" s="103">
        <f t="shared" si="48"/>
        <v>3000</v>
      </c>
      <c r="F136" s="55">
        <v>3000</v>
      </c>
      <c r="G136" s="56">
        <v>0</v>
      </c>
      <c r="H136" s="14">
        <f t="shared" ref="H136:H153" si="52">+O136+G136</f>
        <v>0</v>
      </c>
      <c r="I136" s="56"/>
      <c r="J136" s="75">
        <v>0</v>
      </c>
      <c r="K136" s="12">
        <f t="shared" si="34"/>
        <v>0</v>
      </c>
      <c r="L136" s="14">
        <f t="shared" si="51"/>
        <v>3000</v>
      </c>
      <c r="M136" s="75">
        <f t="shared" si="49"/>
        <v>3000</v>
      </c>
      <c r="N136" s="140">
        <f t="shared" si="50"/>
        <v>0</v>
      </c>
      <c r="O136" s="172">
        <v>0</v>
      </c>
      <c r="P136" s="9"/>
    </row>
    <row r="137" spans="1:16" s="6" customFormat="1" ht="13.5" customHeight="1" x14ac:dyDescent="0.2">
      <c r="A137" s="25" t="s">
        <v>188</v>
      </c>
      <c r="B137" s="104" t="s">
        <v>189</v>
      </c>
      <c r="C137" s="52">
        <v>28632</v>
      </c>
      <c r="D137" s="13">
        <v>20400</v>
      </c>
      <c r="E137" s="103">
        <f t="shared" si="48"/>
        <v>49032</v>
      </c>
      <c r="F137" s="55">
        <v>49032</v>
      </c>
      <c r="G137" s="56">
        <v>8676.18</v>
      </c>
      <c r="H137" s="14">
        <f t="shared" si="52"/>
        <v>37583.130000000005</v>
      </c>
      <c r="I137" s="56">
        <v>32349.52</v>
      </c>
      <c r="J137" s="75">
        <v>2329.27</v>
      </c>
      <c r="K137" s="12">
        <f t="shared" si="34"/>
        <v>35253.860000000008</v>
      </c>
      <c r="L137" s="14">
        <f t="shared" si="51"/>
        <v>11448.869999999995</v>
      </c>
      <c r="M137" s="75">
        <f t="shared" si="49"/>
        <v>11448.869999999995</v>
      </c>
      <c r="N137" s="140">
        <f t="shared" si="50"/>
        <v>76.650208027410685</v>
      </c>
      <c r="O137" s="172">
        <v>28906.95</v>
      </c>
      <c r="P137" s="9"/>
    </row>
    <row r="138" spans="1:16" s="6" customFormat="1" ht="16.5" customHeight="1" x14ac:dyDescent="0.2">
      <c r="A138" s="25" t="s">
        <v>190</v>
      </c>
      <c r="B138" s="104" t="s">
        <v>191</v>
      </c>
      <c r="C138" s="52">
        <v>13180</v>
      </c>
      <c r="D138" s="13">
        <v>26500</v>
      </c>
      <c r="E138" s="103">
        <f t="shared" si="48"/>
        <v>39680</v>
      </c>
      <c r="F138" s="55">
        <v>39680</v>
      </c>
      <c r="G138" s="56">
        <v>1169.3499999999999</v>
      </c>
      <c r="H138" s="14">
        <f t="shared" si="52"/>
        <v>4181.75</v>
      </c>
      <c r="I138" s="56">
        <v>917.34</v>
      </c>
      <c r="J138" s="75">
        <v>826.39</v>
      </c>
      <c r="K138" s="12">
        <f t="shared" si="34"/>
        <v>3355.36</v>
      </c>
      <c r="L138" s="14">
        <f t="shared" si="51"/>
        <v>35498.25</v>
      </c>
      <c r="M138" s="75">
        <f t="shared" si="49"/>
        <v>35498.25</v>
      </c>
      <c r="N138" s="140">
        <f t="shared" si="50"/>
        <v>10.538684475806452</v>
      </c>
      <c r="O138" s="172">
        <v>3012.4</v>
      </c>
      <c r="P138" s="9"/>
    </row>
    <row r="139" spans="1:16" s="6" customFormat="1" ht="12.75" customHeight="1" x14ac:dyDescent="0.2">
      <c r="A139" s="25" t="s">
        <v>192</v>
      </c>
      <c r="B139" s="104" t="s">
        <v>193</v>
      </c>
      <c r="C139" s="52">
        <v>45850</v>
      </c>
      <c r="D139" s="13">
        <v>121900</v>
      </c>
      <c r="E139" s="103">
        <f t="shared" si="48"/>
        <v>167750</v>
      </c>
      <c r="F139" s="55">
        <v>166203</v>
      </c>
      <c r="G139" s="56">
        <v>15804.9</v>
      </c>
      <c r="H139" s="14">
        <f t="shared" si="52"/>
        <v>18260.43</v>
      </c>
      <c r="I139" s="56">
        <v>3774.02</v>
      </c>
      <c r="J139" s="75">
        <v>2624.62</v>
      </c>
      <c r="K139" s="12">
        <f t="shared" si="34"/>
        <v>15635.810000000001</v>
      </c>
      <c r="L139" s="14">
        <f t="shared" si="51"/>
        <v>147942.57</v>
      </c>
      <c r="M139" s="75">
        <f t="shared" si="49"/>
        <v>149489.57</v>
      </c>
      <c r="N139" s="140">
        <f t="shared" si="50"/>
        <v>10.986823342538944</v>
      </c>
      <c r="O139" s="172">
        <v>2455.5300000000002</v>
      </c>
      <c r="P139" s="9"/>
    </row>
    <row r="140" spans="1:16" s="6" customFormat="1" ht="15" customHeight="1" x14ac:dyDescent="0.2">
      <c r="A140" s="25">
        <v>277</v>
      </c>
      <c r="B140" s="104" t="s">
        <v>194</v>
      </c>
      <c r="C140" s="52">
        <v>0</v>
      </c>
      <c r="D140" s="75">
        <v>2200</v>
      </c>
      <c r="E140" s="103">
        <f>+C140+D140</f>
        <v>2200</v>
      </c>
      <c r="F140" s="55">
        <v>2200</v>
      </c>
      <c r="G140" s="56">
        <v>0</v>
      </c>
      <c r="H140" s="14">
        <f t="shared" si="52"/>
        <v>0</v>
      </c>
      <c r="I140" s="56">
        <v>0</v>
      </c>
      <c r="J140" s="75">
        <v>0</v>
      </c>
      <c r="K140" s="12">
        <f t="shared" si="34"/>
        <v>0</v>
      </c>
      <c r="L140" s="14">
        <f t="shared" si="51"/>
        <v>2200</v>
      </c>
      <c r="M140" s="75">
        <f t="shared" si="49"/>
        <v>2200</v>
      </c>
      <c r="N140" s="140"/>
      <c r="O140" s="172">
        <v>0</v>
      </c>
      <c r="P140" s="9"/>
    </row>
    <row r="141" spans="1:16" s="6" customFormat="1" ht="15" customHeight="1" x14ac:dyDescent="0.2">
      <c r="A141" s="25">
        <v>278</v>
      </c>
      <c r="B141" s="104" t="s">
        <v>195</v>
      </c>
      <c r="C141" s="52">
        <v>0</v>
      </c>
      <c r="D141" s="75">
        <v>200</v>
      </c>
      <c r="E141" s="103">
        <f t="shared" si="48"/>
        <v>200</v>
      </c>
      <c r="F141" s="55">
        <v>200</v>
      </c>
      <c r="G141" s="56"/>
      <c r="H141" s="14">
        <f t="shared" si="52"/>
        <v>0</v>
      </c>
      <c r="I141" s="56"/>
      <c r="J141" s="75">
        <v>0</v>
      </c>
      <c r="K141" s="12">
        <f t="shared" si="34"/>
        <v>0</v>
      </c>
      <c r="L141" s="14">
        <f t="shared" si="51"/>
        <v>200</v>
      </c>
      <c r="M141" s="75">
        <f t="shared" si="49"/>
        <v>200</v>
      </c>
      <c r="N141" s="140"/>
      <c r="O141" s="172">
        <v>0</v>
      </c>
      <c r="P141" s="9"/>
    </row>
    <row r="142" spans="1:16" s="6" customFormat="1" ht="13.5" customHeight="1" x14ac:dyDescent="0.2">
      <c r="A142" s="25" t="s">
        <v>196</v>
      </c>
      <c r="B142" s="104" t="s">
        <v>197</v>
      </c>
      <c r="C142" s="52">
        <v>26358</v>
      </c>
      <c r="D142" s="13">
        <v>85520</v>
      </c>
      <c r="E142" s="103">
        <f t="shared" si="48"/>
        <v>111878</v>
      </c>
      <c r="F142" s="55">
        <v>111878</v>
      </c>
      <c r="G142" s="56">
        <v>3309.73</v>
      </c>
      <c r="H142" s="14">
        <f t="shared" si="52"/>
        <v>14174.51</v>
      </c>
      <c r="I142" s="56">
        <v>11392.26</v>
      </c>
      <c r="J142" s="75">
        <v>1186.53</v>
      </c>
      <c r="K142" s="12">
        <f t="shared" si="34"/>
        <v>12987.98</v>
      </c>
      <c r="L142" s="14">
        <f t="shared" si="51"/>
        <v>97703.49</v>
      </c>
      <c r="M142" s="75">
        <f t="shared" si="49"/>
        <v>97703.49</v>
      </c>
      <c r="N142" s="140">
        <f t="shared" si="50"/>
        <v>12.669613328804591</v>
      </c>
      <c r="O142" s="172">
        <f>10877.52-12.74</f>
        <v>10864.78</v>
      </c>
      <c r="P142" s="9"/>
    </row>
    <row r="143" spans="1:16" s="6" customFormat="1" ht="16.5" customHeight="1" x14ac:dyDescent="0.2">
      <c r="A143" s="30" t="s">
        <v>198</v>
      </c>
      <c r="B143" s="100" t="s">
        <v>199</v>
      </c>
      <c r="C143" s="100">
        <v>154320</v>
      </c>
      <c r="D143" s="152">
        <v>-89250</v>
      </c>
      <c r="E143" s="106">
        <f t="shared" si="48"/>
        <v>65070</v>
      </c>
      <c r="F143" s="59">
        <v>65070</v>
      </c>
      <c r="G143" s="53">
        <v>3509.97</v>
      </c>
      <c r="H143" s="18">
        <f t="shared" si="52"/>
        <v>16525.2</v>
      </c>
      <c r="I143" s="53">
        <v>11346.23</v>
      </c>
      <c r="J143" s="101">
        <v>7463.6</v>
      </c>
      <c r="K143" s="151">
        <f t="shared" si="34"/>
        <v>9061.6</v>
      </c>
      <c r="L143" s="47">
        <f t="shared" si="51"/>
        <v>48544.800000000003</v>
      </c>
      <c r="M143" s="101">
        <f t="shared" si="49"/>
        <v>48544.800000000003</v>
      </c>
      <c r="N143" s="139">
        <f t="shared" si="50"/>
        <v>25.396035039188565</v>
      </c>
      <c r="O143" s="173">
        <f>13045.23-30</f>
        <v>13015.23</v>
      </c>
      <c r="P143" s="9"/>
    </row>
    <row r="144" spans="1:16" s="6" customFormat="1" ht="14.25" customHeight="1" x14ac:dyDescent="0.2">
      <c r="A144" s="32">
        <v>290</v>
      </c>
      <c r="B144" s="60" t="s">
        <v>200</v>
      </c>
      <c r="C144" s="61">
        <f>SUM(C145:C152)</f>
        <v>0</v>
      </c>
      <c r="D144" s="61">
        <f>SUM(D145:D153)</f>
        <v>121250</v>
      </c>
      <c r="E144" s="61">
        <f t="shared" ref="E144:E153" si="53">+C144+D144</f>
        <v>121250</v>
      </c>
      <c r="F144" s="61">
        <f>SUM(F145:F153)</f>
        <v>121250</v>
      </c>
      <c r="G144" s="61">
        <f>SUM(G145:G153)</f>
        <v>20833.7</v>
      </c>
      <c r="H144" s="18">
        <f t="shared" si="52"/>
        <v>65949.77</v>
      </c>
      <c r="I144" s="61">
        <f>SUM(I145:I153)</f>
        <v>8818.99</v>
      </c>
      <c r="J144" s="61">
        <f>SUM(J145:J153)</f>
        <v>54729.009999999995</v>
      </c>
      <c r="K144" s="151">
        <f t="shared" si="34"/>
        <v>11220.760000000009</v>
      </c>
      <c r="L144" s="18">
        <f t="shared" si="51"/>
        <v>55300.229999999996</v>
      </c>
      <c r="M144" s="62">
        <f t="shared" si="49"/>
        <v>55300.229999999996</v>
      </c>
      <c r="N144" s="139">
        <f t="shared" si="50"/>
        <v>54.391562886597939</v>
      </c>
      <c r="O144" s="173">
        <v>45116.07</v>
      </c>
      <c r="P144" s="9"/>
    </row>
    <row r="145" spans="1:16" ht="16.5" customHeight="1" x14ac:dyDescent="0.2">
      <c r="A145" s="25">
        <v>291</v>
      </c>
      <c r="B145" s="63" t="s">
        <v>201</v>
      </c>
      <c r="C145" s="61"/>
      <c r="D145" s="64">
        <v>8900</v>
      </c>
      <c r="E145" s="64">
        <f t="shared" si="53"/>
        <v>8900</v>
      </c>
      <c r="F145" s="64">
        <v>8900</v>
      </c>
      <c r="G145" s="65">
        <v>1532.3</v>
      </c>
      <c r="H145" s="65">
        <f t="shared" si="52"/>
        <v>4652.3</v>
      </c>
      <c r="I145" s="65">
        <v>4438.3</v>
      </c>
      <c r="J145" s="65">
        <v>4545.3</v>
      </c>
      <c r="K145" s="12">
        <f t="shared" si="34"/>
        <v>107</v>
      </c>
      <c r="L145" s="14">
        <f t="shared" si="51"/>
        <v>4247.7</v>
      </c>
      <c r="M145" s="65">
        <f t="shared" si="49"/>
        <v>4247.7</v>
      </c>
      <c r="N145" s="140">
        <f t="shared" si="50"/>
        <v>52.273033707865167</v>
      </c>
      <c r="O145" s="172">
        <v>3120</v>
      </c>
      <c r="P145" s="8"/>
    </row>
    <row r="146" spans="1:16" ht="18.75" customHeight="1" x14ac:dyDescent="0.2">
      <c r="A146" s="33">
        <v>292</v>
      </c>
      <c r="B146" s="63" t="s">
        <v>265</v>
      </c>
      <c r="C146" s="66"/>
      <c r="D146" s="64">
        <v>13600</v>
      </c>
      <c r="E146" s="64">
        <f t="shared" si="53"/>
        <v>13600</v>
      </c>
      <c r="F146" s="64">
        <v>13600</v>
      </c>
      <c r="G146" s="65">
        <v>0</v>
      </c>
      <c r="H146" s="65">
        <f t="shared" si="52"/>
        <v>13536.630000000001</v>
      </c>
      <c r="I146" s="65">
        <v>34.72</v>
      </c>
      <c r="J146" s="65">
        <v>6356.5</v>
      </c>
      <c r="K146" s="12">
        <f t="shared" si="34"/>
        <v>7180.130000000001</v>
      </c>
      <c r="L146" s="14">
        <f t="shared" si="51"/>
        <v>63.369999999998981</v>
      </c>
      <c r="M146" s="65">
        <f t="shared" si="49"/>
        <v>63.369999999998981</v>
      </c>
      <c r="N146" s="140">
        <f t="shared" si="50"/>
        <v>99.534044117647056</v>
      </c>
      <c r="O146" s="172">
        <v>13536.630000000001</v>
      </c>
      <c r="P146" s="8"/>
    </row>
    <row r="147" spans="1:16" ht="21" customHeight="1" x14ac:dyDescent="0.2">
      <c r="A147" s="25">
        <v>293</v>
      </c>
      <c r="B147" s="63" t="s">
        <v>202</v>
      </c>
      <c r="C147" s="64"/>
      <c r="D147" s="64">
        <v>44000</v>
      </c>
      <c r="E147" s="64">
        <f t="shared" si="53"/>
        <v>44000</v>
      </c>
      <c r="F147" s="64">
        <v>44000</v>
      </c>
      <c r="G147" s="65">
        <v>0</v>
      </c>
      <c r="H147" s="65">
        <f t="shared" si="52"/>
        <v>850.84</v>
      </c>
      <c r="I147" s="65">
        <v>229.69</v>
      </c>
      <c r="J147" s="65"/>
      <c r="K147" s="12">
        <f t="shared" si="34"/>
        <v>850.84</v>
      </c>
      <c r="L147" s="14">
        <f t="shared" si="51"/>
        <v>43149.16</v>
      </c>
      <c r="M147" s="65">
        <f t="shared" si="49"/>
        <v>43149.16</v>
      </c>
      <c r="N147" s="140">
        <f t="shared" si="50"/>
        <v>1.9337272727272727</v>
      </c>
      <c r="O147" s="172">
        <v>850.84</v>
      </c>
      <c r="P147" s="8"/>
    </row>
    <row r="148" spans="1:16" ht="21" customHeight="1" x14ac:dyDescent="0.2">
      <c r="A148" s="25">
        <v>294</v>
      </c>
      <c r="B148" s="63" t="s">
        <v>293</v>
      </c>
      <c r="C148" s="64"/>
      <c r="D148" s="64">
        <v>4000</v>
      </c>
      <c r="E148" s="64">
        <f t="shared" si="53"/>
        <v>4000</v>
      </c>
      <c r="F148" s="65">
        <v>4000</v>
      </c>
      <c r="G148" s="65">
        <v>0</v>
      </c>
      <c r="H148" s="65">
        <f t="shared" si="52"/>
        <v>3189.51</v>
      </c>
      <c r="I148" s="65"/>
      <c r="J148" s="65">
        <v>3190.51</v>
      </c>
      <c r="K148" s="12">
        <f t="shared" si="34"/>
        <v>-1</v>
      </c>
      <c r="L148" s="14">
        <f t="shared" si="51"/>
        <v>810.48999999999978</v>
      </c>
      <c r="M148" s="65">
        <f t="shared" si="49"/>
        <v>810.48999999999978</v>
      </c>
      <c r="N148" s="140">
        <f t="shared" si="50"/>
        <v>79.737750000000005</v>
      </c>
      <c r="O148" s="172">
        <v>3189.51</v>
      </c>
      <c r="P148" s="8"/>
    </row>
    <row r="149" spans="1:16" ht="19.5" customHeight="1" x14ac:dyDescent="0.2">
      <c r="A149" s="31">
        <v>295</v>
      </c>
      <c r="B149" s="67" t="s">
        <v>270</v>
      </c>
      <c r="C149" s="61"/>
      <c r="D149" s="64">
        <v>8630</v>
      </c>
      <c r="E149" s="64">
        <f t="shared" si="53"/>
        <v>8630</v>
      </c>
      <c r="F149" s="65">
        <v>8630</v>
      </c>
      <c r="G149" s="65">
        <v>6127.95</v>
      </c>
      <c r="H149" s="65">
        <f t="shared" si="52"/>
        <v>7922.91</v>
      </c>
      <c r="I149" s="65">
        <v>221.82</v>
      </c>
      <c r="J149" s="65">
        <v>7922.91</v>
      </c>
      <c r="K149" s="12">
        <f t="shared" si="34"/>
        <v>0</v>
      </c>
      <c r="L149" s="14">
        <f t="shared" si="51"/>
        <v>707.09000000000015</v>
      </c>
      <c r="M149" s="65">
        <f t="shared" si="49"/>
        <v>707.09000000000015</v>
      </c>
      <c r="N149" s="140">
        <f t="shared" si="50"/>
        <v>91.806604866743911</v>
      </c>
      <c r="O149" s="172">
        <v>1794.96</v>
      </c>
      <c r="P149" s="8"/>
    </row>
    <row r="150" spans="1:16" ht="17.25" customHeight="1" x14ac:dyDescent="0.2">
      <c r="A150" s="25">
        <v>296</v>
      </c>
      <c r="B150" s="63" t="s">
        <v>266</v>
      </c>
      <c r="C150" s="64"/>
      <c r="D150" s="64">
        <v>11700</v>
      </c>
      <c r="E150" s="64">
        <f t="shared" si="53"/>
        <v>11700</v>
      </c>
      <c r="F150" s="65">
        <v>11700</v>
      </c>
      <c r="G150" s="65">
        <v>2966.45</v>
      </c>
      <c r="H150" s="65">
        <f t="shared" si="52"/>
        <v>6216.5599999999995</v>
      </c>
      <c r="I150" s="65">
        <v>1058.48</v>
      </c>
      <c r="J150" s="65">
        <v>3250.11</v>
      </c>
      <c r="K150" s="12">
        <f t="shared" si="34"/>
        <v>2966.4499999999994</v>
      </c>
      <c r="L150" s="14">
        <f t="shared" si="51"/>
        <v>5483.4400000000005</v>
      </c>
      <c r="M150" s="65">
        <f t="shared" si="49"/>
        <v>5483.4400000000005</v>
      </c>
      <c r="N150" s="140">
        <f t="shared" si="50"/>
        <v>53.132991452991455</v>
      </c>
      <c r="O150" s="172">
        <v>3250.11</v>
      </c>
      <c r="P150" s="8"/>
    </row>
    <row r="151" spans="1:16" ht="16.5" customHeight="1" x14ac:dyDescent="0.2">
      <c r="A151" s="31">
        <v>297</v>
      </c>
      <c r="B151" s="67" t="s">
        <v>203</v>
      </c>
      <c r="C151" s="61"/>
      <c r="D151" s="64">
        <v>6320</v>
      </c>
      <c r="E151" s="64">
        <f t="shared" si="53"/>
        <v>6320</v>
      </c>
      <c r="F151" s="65">
        <v>6320</v>
      </c>
      <c r="G151" s="65">
        <v>5945.03</v>
      </c>
      <c r="H151" s="65">
        <f t="shared" si="52"/>
        <v>6124.2599999999993</v>
      </c>
      <c r="I151" s="65">
        <v>2159.7199999999998</v>
      </c>
      <c r="J151" s="65">
        <v>6118.96</v>
      </c>
      <c r="K151" s="12">
        <f t="shared" si="34"/>
        <v>5.2999999999992724</v>
      </c>
      <c r="L151" s="14">
        <f t="shared" si="51"/>
        <v>195.74000000000069</v>
      </c>
      <c r="M151" s="65">
        <f t="shared" si="49"/>
        <v>195.74000000000069</v>
      </c>
      <c r="N151" s="140">
        <f t="shared" si="50"/>
        <v>96.902848101265803</v>
      </c>
      <c r="O151" s="172">
        <v>179.23</v>
      </c>
      <c r="P151" s="8"/>
    </row>
    <row r="152" spans="1:16" ht="14.25" customHeight="1" x14ac:dyDescent="0.2">
      <c r="A152" s="31">
        <v>298</v>
      </c>
      <c r="B152" s="67" t="s">
        <v>204</v>
      </c>
      <c r="C152" s="61"/>
      <c r="D152" s="64">
        <v>10900</v>
      </c>
      <c r="E152" s="64">
        <f t="shared" si="53"/>
        <v>10900</v>
      </c>
      <c r="F152" s="65">
        <v>10900</v>
      </c>
      <c r="G152" s="65">
        <v>4207.43</v>
      </c>
      <c r="H152" s="65">
        <f t="shared" si="52"/>
        <v>10393.060000000001</v>
      </c>
      <c r="I152" s="65">
        <v>288.31</v>
      </c>
      <c r="J152" s="65">
        <v>10336.56</v>
      </c>
      <c r="K152" s="12">
        <f t="shared" si="34"/>
        <v>56.500000000001819</v>
      </c>
      <c r="L152" s="14">
        <f t="shared" si="51"/>
        <v>506.93999999999869</v>
      </c>
      <c r="M152" s="65">
        <f t="shared" si="49"/>
        <v>506.93999999999869</v>
      </c>
      <c r="N152" s="140">
        <f t="shared" si="50"/>
        <v>95.349174311926618</v>
      </c>
      <c r="O152" s="172">
        <v>6185.63</v>
      </c>
      <c r="P152" s="8"/>
    </row>
    <row r="153" spans="1:16" ht="17.25" customHeight="1" x14ac:dyDescent="0.2">
      <c r="A153" s="34">
        <v>299</v>
      </c>
      <c r="B153" s="67" t="s">
        <v>256</v>
      </c>
      <c r="C153" s="61"/>
      <c r="D153" s="64">
        <v>13200</v>
      </c>
      <c r="E153" s="64">
        <f t="shared" si="53"/>
        <v>13200</v>
      </c>
      <c r="F153" s="65">
        <v>13200</v>
      </c>
      <c r="G153" s="65">
        <v>54.54</v>
      </c>
      <c r="H153" s="65">
        <f t="shared" si="52"/>
        <v>13062.7</v>
      </c>
      <c r="I153" s="65">
        <v>387.95</v>
      </c>
      <c r="J153" s="65">
        <v>13008.16</v>
      </c>
      <c r="K153" s="12">
        <f t="shared" si="34"/>
        <v>54.540000000000873</v>
      </c>
      <c r="L153" s="14">
        <f t="shared" si="51"/>
        <v>137.29999999999927</v>
      </c>
      <c r="M153" s="65">
        <f t="shared" si="49"/>
        <v>137.29999999999927</v>
      </c>
      <c r="N153" s="140">
        <f t="shared" si="50"/>
        <v>98.959848484848479</v>
      </c>
      <c r="O153" s="172">
        <v>13008.16</v>
      </c>
      <c r="P153" s="8"/>
    </row>
    <row r="154" spans="1:16" ht="0.6" customHeight="1" thickBot="1" x14ac:dyDescent="0.25">
      <c r="A154" s="90" t="s">
        <v>205</v>
      </c>
      <c r="B154" s="91" t="s">
        <v>206</v>
      </c>
      <c r="C154" s="92">
        <f>+C155+C165+C173+C174+C175+C169+C170+C172</f>
        <v>0</v>
      </c>
      <c r="D154" s="92">
        <f>D155+D165+D169+D170+D172+D174+D173+D175+D176</f>
        <v>0</v>
      </c>
      <c r="E154" s="92">
        <f>SUM(C154:D154)</f>
        <v>0</v>
      </c>
      <c r="F154" s="92">
        <f>F155+F165+F169+F170+F172+F174+F173+F175+F176</f>
        <v>0</v>
      </c>
      <c r="G154" s="92">
        <f>G155+G165+G169+G170+G172+G173+G174+G175+G176</f>
        <v>0</v>
      </c>
      <c r="H154" s="93">
        <f>P154+G154</f>
        <v>0</v>
      </c>
      <c r="I154" s="92">
        <f>I155+I165+I169+I170+I172+I173+I174+I175+I176</f>
        <v>0</v>
      </c>
      <c r="J154" s="92">
        <f>J155+J165+J169+J170+J173+J174+J175+J176</f>
        <v>0</v>
      </c>
      <c r="K154" s="92">
        <f>K155+K165+K169+K170+K173+K174+K175+K176</f>
        <v>0</v>
      </c>
      <c r="L154" s="94">
        <f t="shared" si="51"/>
        <v>0</v>
      </c>
      <c r="M154" s="93">
        <f t="shared" si="49"/>
        <v>0</v>
      </c>
      <c r="N154" s="142" t="s">
        <v>2</v>
      </c>
      <c r="O154" s="172">
        <v>0</v>
      </c>
      <c r="P154" s="8"/>
    </row>
    <row r="155" spans="1:16" ht="18" hidden="1" customHeight="1" x14ac:dyDescent="0.2">
      <c r="A155" s="32">
        <v>300</v>
      </c>
      <c r="B155" s="68" t="s">
        <v>207</v>
      </c>
      <c r="C155" s="62">
        <f>SUM(C156:C162)</f>
        <v>0</v>
      </c>
      <c r="D155" s="62">
        <f>SUM(D156:D163)</f>
        <v>0</v>
      </c>
      <c r="E155" s="61">
        <f t="shared" ref="E155" si="54">+C155+D155</f>
        <v>0</v>
      </c>
      <c r="F155" s="62">
        <f>SUM(F156:F163)</f>
        <v>0</v>
      </c>
      <c r="G155" s="62"/>
      <c r="H155" s="62">
        <f>+P155+G155</f>
        <v>0</v>
      </c>
      <c r="I155" s="62"/>
      <c r="J155" s="62"/>
      <c r="K155" s="17">
        <f t="shared" si="34"/>
        <v>0</v>
      </c>
      <c r="L155" s="18">
        <f t="shared" si="51"/>
        <v>0</v>
      </c>
      <c r="M155" s="62">
        <f t="shared" si="49"/>
        <v>0</v>
      </c>
      <c r="N155" s="143"/>
      <c r="O155" s="172">
        <v>0</v>
      </c>
      <c r="P155" s="8"/>
    </row>
    <row r="156" spans="1:16" ht="16.899999999999999" hidden="1" customHeight="1" x14ac:dyDescent="0.2">
      <c r="A156" s="31">
        <v>301</v>
      </c>
      <c r="B156" s="63" t="s">
        <v>300</v>
      </c>
      <c r="C156" s="64"/>
      <c r="D156" s="64"/>
      <c r="E156" s="64"/>
      <c r="F156" s="65"/>
      <c r="G156" s="65"/>
      <c r="H156" s="65">
        <f>+P156+G156</f>
        <v>0</v>
      </c>
      <c r="I156" s="65"/>
      <c r="J156" s="65"/>
      <c r="K156" s="12">
        <f t="shared" si="34"/>
        <v>0</v>
      </c>
      <c r="L156" s="14">
        <f t="shared" si="51"/>
        <v>0</v>
      </c>
      <c r="M156" s="65">
        <f t="shared" si="49"/>
        <v>0</v>
      </c>
      <c r="N156" s="143"/>
      <c r="O156" s="172">
        <v>0</v>
      </c>
      <c r="P156" s="8"/>
    </row>
    <row r="157" spans="1:16" ht="16.899999999999999" hidden="1" customHeight="1" x14ac:dyDescent="0.2">
      <c r="A157" s="31">
        <v>302</v>
      </c>
      <c r="B157" s="63" t="s">
        <v>302</v>
      </c>
      <c r="C157" s="64"/>
      <c r="D157" s="64"/>
      <c r="E157" s="64"/>
      <c r="F157" s="65"/>
      <c r="G157" s="65"/>
      <c r="H157" s="65">
        <f>+P157+G157</f>
        <v>0</v>
      </c>
      <c r="I157" s="65"/>
      <c r="J157" s="65"/>
      <c r="K157" s="12">
        <f t="shared" si="34"/>
        <v>0</v>
      </c>
      <c r="L157" s="14">
        <f t="shared" si="51"/>
        <v>0</v>
      </c>
      <c r="M157" s="65">
        <f t="shared" si="49"/>
        <v>0</v>
      </c>
      <c r="N157" s="143"/>
      <c r="O157" s="172">
        <v>0</v>
      </c>
      <c r="P157" s="8"/>
    </row>
    <row r="158" spans="1:16" ht="16.899999999999999" hidden="1" customHeight="1" x14ac:dyDescent="0.2">
      <c r="A158" s="31">
        <v>303</v>
      </c>
      <c r="B158" s="63" t="s">
        <v>299</v>
      </c>
      <c r="C158" s="64"/>
      <c r="D158" s="64"/>
      <c r="E158" s="64"/>
      <c r="F158" s="65"/>
      <c r="G158" s="65"/>
      <c r="H158" s="65">
        <f t="shared" ref="H158:H175" si="55">+P158+G158</f>
        <v>0</v>
      </c>
      <c r="I158" s="65"/>
      <c r="J158" s="65"/>
      <c r="K158" s="12">
        <f t="shared" si="34"/>
        <v>0</v>
      </c>
      <c r="L158" s="14">
        <f t="shared" si="51"/>
        <v>0</v>
      </c>
      <c r="M158" s="65">
        <f t="shared" ref="M158:M207" si="56">+E158-H158</f>
        <v>0</v>
      </c>
      <c r="N158" s="143"/>
      <c r="O158" s="172">
        <v>0</v>
      </c>
      <c r="P158" s="8"/>
    </row>
    <row r="159" spans="1:16" ht="12.6" hidden="1" customHeight="1" x14ac:dyDescent="0.2">
      <c r="A159" s="31">
        <v>304</v>
      </c>
      <c r="B159" s="63" t="s">
        <v>294</v>
      </c>
      <c r="C159" s="64"/>
      <c r="D159" s="64"/>
      <c r="E159" s="64"/>
      <c r="F159" s="65"/>
      <c r="G159" s="65"/>
      <c r="H159" s="65">
        <f t="shared" si="55"/>
        <v>0</v>
      </c>
      <c r="I159" s="65"/>
      <c r="J159" s="65"/>
      <c r="K159" s="12">
        <f t="shared" ref="K159:K206" si="57">H159-J159</f>
        <v>0</v>
      </c>
      <c r="L159" s="14">
        <f t="shared" ref="L159:L192" si="58">+F159-H159</f>
        <v>0</v>
      </c>
      <c r="M159" s="65">
        <f t="shared" si="56"/>
        <v>0</v>
      </c>
      <c r="N159" s="143"/>
      <c r="O159" s="172">
        <v>0</v>
      </c>
      <c r="P159" s="8"/>
    </row>
    <row r="160" spans="1:16" ht="0.6" hidden="1" customHeight="1" x14ac:dyDescent="0.2">
      <c r="A160" s="31">
        <v>305</v>
      </c>
      <c r="B160" s="63" t="s">
        <v>264</v>
      </c>
      <c r="C160" s="64">
        <v>0</v>
      </c>
      <c r="D160" s="64"/>
      <c r="E160" s="64"/>
      <c r="F160" s="65"/>
      <c r="G160" s="65"/>
      <c r="H160" s="65">
        <f t="shared" si="55"/>
        <v>0</v>
      </c>
      <c r="I160" s="65"/>
      <c r="J160" s="65"/>
      <c r="K160" s="12">
        <f t="shared" si="57"/>
        <v>0</v>
      </c>
      <c r="L160" s="14">
        <f t="shared" si="58"/>
        <v>0</v>
      </c>
      <c r="M160" s="65">
        <f t="shared" si="56"/>
        <v>0</v>
      </c>
      <c r="N160" s="143"/>
      <c r="O160" s="172">
        <v>0</v>
      </c>
      <c r="P160" s="8"/>
    </row>
    <row r="161" spans="1:16" ht="15" hidden="1" customHeight="1" x14ac:dyDescent="0.2">
      <c r="A161" s="31">
        <v>307</v>
      </c>
      <c r="B161" s="63" t="s">
        <v>285</v>
      </c>
      <c r="C161" s="64"/>
      <c r="D161" s="64"/>
      <c r="E161" s="64"/>
      <c r="F161" s="65"/>
      <c r="G161" s="65"/>
      <c r="H161" s="65">
        <f t="shared" si="55"/>
        <v>0</v>
      </c>
      <c r="I161" s="65"/>
      <c r="J161" s="65"/>
      <c r="K161" s="12">
        <f t="shared" si="57"/>
        <v>0</v>
      </c>
      <c r="L161" s="14">
        <f t="shared" si="58"/>
        <v>0</v>
      </c>
      <c r="M161" s="65">
        <f t="shared" si="56"/>
        <v>0</v>
      </c>
      <c r="N161" s="143"/>
      <c r="O161" s="172">
        <v>0</v>
      </c>
      <c r="P161" s="8"/>
    </row>
    <row r="162" spans="1:16" ht="15" hidden="1" customHeight="1" x14ac:dyDescent="0.2">
      <c r="A162" s="31">
        <v>308</v>
      </c>
      <c r="B162" s="63" t="s">
        <v>251</v>
      </c>
      <c r="C162" s="64"/>
      <c r="D162" s="64"/>
      <c r="E162" s="64"/>
      <c r="F162" s="65"/>
      <c r="G162" s="65"/>
      <c r="H162" s="65">
        <f t="shared" si="55"/>
        <v>0</v>
      </c>
      <c r="I162" s="65"/>
      <c r="J162" s="65"/>
      <c r="K162" s="12">
        <f t="shared" si="57"/>
        <v>0</v>
      </c>
      <c r="L162" s="14">
        <f t="shared" si="58"/>
        <v>0</v>
      </c>
      <c r="M162" s="65">
        <f t="shared" si="56"/>
        <v>0</v>
      </c>
      <c r="N162" s="143"/>
      <c r="O162" s="172">
        <v>0</v>
      </c>
      <c r="P162" s="8"/>
    </row>
    <row r="163" spans="1:16" ht="14.45" hidden="1" customHeight="1" x14ac:dyDescent="0.2">
      <c r="A163" s="31">
        <v>309</v>
      </c>
      <c r="B163" s="63" t="s">
        <v>212</v>
      </c>
      <c r="C163" s="64"/>
      <c r="D163" s="64"/>
      <c r="E163" s="64"/>
      <c r="F163" s="65"/>
      <c r="G163" s="65"/>
      <c r="H163" s="65">
        <f t="shared" si="55"/>
        <v>0</v>
      </c>
      <c r="I163" s="65"/>
      <c r="J163" s="65"/>
      <c r="K163" s="12">
        <f t="shared" si="57"/>
        <v>0</v>
      </c>
      <c r="L163" s="14">
        <f t="shared" si="58"/>
        <v>0</v>
      </c>
      <c r="M163" s="65">
        <f t="shared" si="56"/>
        <v>0</v>
      </c>
      <c r="N163" s="143"/>
      <c r="O163" s="172">
        <v>0</v>
      </c>
      <c r="P163" s="8"/>
    </row>
    <row r="164" spans="1:16" ht="0.6" hidden="1" customHeight="1" x14ac:dyDescent="0.2">
      <c r="A164" s="31"/>
      <c r="B164" s="63"/>
      <c r="C164" s="64"/>
      <c r="D164" s="64"/>
      <c r="E164" s="64"/>
      <c r="F164" s="65"/>
      <c r="G164" s="65"/>
      <c r="H164" s="65"/>
      <c r="I164" s="65"/>
      <c r="J164" s="65"/>
      <c r="K164" s="12">
        <f t="shared" si="57"/>
        <v>0</v>
      </c>
      <c r="L164" s="14"/>
      <c r="M164" s="65"/>
      <c r="N164" s="143"/>
      <c r="O164" s="172"/>
      <c r="P164" s="8"/>
    </row>
    <row r="165" spans="1:16" ht="12.6" hidden="1" customHeight="1" x14ac:dyDescent="0.2">
      <c r="A165" s="32">
        <v>310</v>
      </c>
      <c r="B165" s="68" t="s">
        <v>208</v>
      </c>
      <c r="C165" s="61">
        <f>+C166+C167+C168</f>
        <v>0</v>
      </c>
      <c r="D165" s="61"/>
      <c r="E165" s="61"/>
      <c r="F165" s="61"/>
      <c r="G165" s="61"/>
      <c r="H165" s="62">
        <f t="shared" si="55"/>
        <v>0</v>
      </c>
      <c r="I165" s="61"/>
      <c r="J165" s="61"/>
      <c r="K165" s="12">
        <f t="shared" si="57"/>
        <v>0</v>
      </c>
      <c r="L165" s="14">
        <f t="shared" si="58"/>
        <v>0</v>
      </c>
      <c r="M165" s="62">
        <f t="shared" si="56"/>
        <v>0</v>
      </c>
      <c r="N165" s="143"/>
      <c r="O165" s="172">
        <v>0</v>
      </c>
      <c r="P165" s="8"/>
    </row>
    <row r="166" spans="1:16" ht="13.5" hidden="1" customHeight="1" x14ac:dyDescent="0.2">
      <c r="A166" s="31">
        <v>313</v>
      </c>
      <c r="B166" s="63" t="s">
        <v>258</v>
      </c>
      <c r="C166" s="64"/>
      <c r="D166" s="64"/>
      <c r="E166" s="64"/>
      <c r="F166" s="64"/>
      <c r="G166" s="65"/>
      <c r="H166" s="65">
        <f t="shared" si="55"/>
        <v>0</v>
      </c>
      <c r="I166" s="65"/>
      <c r="J166" s="65"/>
      <c r="K166" s="12">
        <f t="shared" si="57"/>
        <v>0</v>
      </c>
      <c r="L166" s="14">
        <f t="shared" si="58"/>
        <v>0</v>
      </c>
      <c r="M166" s="65">
        <f t="shared" si="56"/>
        <v>0</v>
      </c>
      <c r="N166" s="143"/>
      <c r="O166" s="172">
        <v>0</v>
      </c>
      <c r="P166" s="8"/>
    </row>
    <row r="167" spans="1:16" ht="15" hidden="1" customHeight="1" x14ac:dyDescent="0.2">
      <c r="A167" s="31">
        <v>314</v>
      </c>
      <c r="B167" s="63" t="s">
        <v>259</v>
      </c>
      <c r="C167" s="64">
        <v>0</v>
      </c>
      <c r="D167" s="64"/>
      <c r="E167" s="64"/>
      <c r="F167" s="64"/>
      <c r="G167" s="65"/>
      <c r="H167" s="65">
        <f t="shared" si="55"/>
        <v>0</v>
      </c>
      <c r="I167" s="65"/>
      <c r="J167" s="65"/>
      <c r="K167" s="12">
        <f t="shared" si="57"/>
        <v>0</v>
      </c>
      <c r="L167" s="14">
        <f t="shared" si="58"/>
        <v>0</v>
      </c>
      <c r="M167" s="65">
        <f t="shared" si="56"/>
        <v>0</v>
      </c>
      <c r="N167" s="143"/>
      <c r="O167" s="172">
        <v>0</v>
      </c>
      <c r="P167" s="8"/>
    </row>
    <row r="168" spans="1:16" ht="15" hidden="1" customHeight="1" x14ac:dyDescent="0.2">
      <c r="A168" s="31">
        <v>319</v>
      </c>
      <c r="B168" s="63" t="s">
        <v>243</v>
      </c>
      <c r="C168" s="64"/>
      <c r="D168" s="64"/>
      <c r="E168" s="64"/>
      <c r="F168" s="64"/>
      <c r="G168" s="65"/>
      <c r="H168" s="65">
        <f t="shared" si="55"/>
        <v>0</v>
      </c>
      <c r="I168" s="65"/>
      <c r="J168" s="65"/>
      <c r="K168" s="12">
        <f t="shared" si="57"/>
        <v>0</v>
      </c>
      <c r="L168" s="14">
        <f t="shared" si="58"/>
        <v>0</v>
      </c>
      <c r="M168" s="65">
        <f t="shared" si="56"/>
        <v>0</v>
      </c>
      <c r="N168" s="143"/>
      <c r="O168" s="172">
        <v>0</v>
      </c>
      <c r="P168" s="8"/>
    </row>
    <row r="169" spans="1:16" ht="13.9" hidden="1" customHeight="1" x14ac:dyDescent="0.2">
      <c r="A169" s="32">
        <v>320</v>
      </c>
      <c r="B169" s="60" t="s">
        <v>209</v>
      </c>
      <c r="C169" s="61">
        <v>0</v>
      </c>
      <c r="D169" s="61"/>
      <c r="E169" s="61"/>
      <c r="F169" s="62"/>
      <c r="G169" s="62"/>
      <c r="H169" s="62">
        <f t="shared" si="55"/>
        <v>0</v>
      </c>
      <c r="I169" s="62"/>
      <c r="J169" s="62"/>
      <c r="K169" s="12">
        <f t="shared" si="57"/>
        <v>0</v>
      </c>
      <c r="L169" s="18">
        <f t="shared" si="58"/>
        <v>0</v>
      </c>
      <c r="M169" s="62">
        <f t="shared" si="56"/>
        <v>0</v>
      </c>
      <c r="N169" s="143"/>
      <c r="O169" s="172">
        <v>0</v>
      </c>
      <c r="P169" s="8"/>
    </row>
    <row r="170" spans="1:16" ht="15.6" hidden="1" customHeight="1" x14ac:dyDescent="0.2">
      <c r="A170" s="32">
        <v>330</v>
      </c>
      <c r="B170" s="60" t="s">
        <v>295</v>
      </c>
      <c r="C170" s="61">
        <v>0</v>
      </c>
      <c r="D170" s="61"/>
      <c r="E170" s="61"/>
      <c r="F170" s="62"/>
      <c r="G170" s="62"/>
      <c r="H170" s="62">
        <f t="shared" si="55"/>
        <v>0</v>
      </c>
      <c r="I170" s="62"/>
      <c r="J170" s="62"/>
      <c r="K170" s="17">
        <f t="shared" si="57"/>
        <v>0</v>
      </c>
      <c r="L170" s="18">
        <f t="shared" si="58"/>
        <v>0</v>
      </c>
      <c r="M170" s="62">
        <f t="shared" si="56"/>
        <v>0</v>
      </c>
      <c r="N170" s="143"/>
      <c r="O170" s="172">
        <v>0</v>
      </c>
      <c r="P170" s="8"/>
    </row>
    <row r="171" spans="1:16" ht="15.6" hidden="1" customHeight="1" x14ac:dyDescent="0.2">
      <c r="A171" s="31">
        <v>332</v>
      </c>
      <c r="B171" s="67" t="s">
        <v>210</v>
      </c>
      <c r="C171" s="61"/>
      <c r="D171" s="64"/>
      <c r="E171" s="64"/>
      <c r="F171" s="65"/>
      <c r="G171" s="62"/>
      <c r="H171" s="65">
        <f t="shared" si="55"/>
        <v>0</v>
      </c>
      <c r="I171" s="62"/>
      <c r="J171" s="153"/>
      <c r="K171" s="12">
        <f t="shared" si="57"/>
        <v>0</v>
      </c>
      <c r="L171" s="14">
        <f t="shared" si="58"/>
        <v>0</v>
      </c>
      <c r="M171" s="65">
        <f t="shared" si="56"/>
        <v>0</v>
      </c>
      <c r="N171" s="144"/>
      <c r="O171" s="172">
        <v>0</v>
      </c>
      <c r="P171" s="8"/>
    </row>
    <row r="172" spans="1:16" ht="13.9" hidden="1" customHeight="1" x14ac:dyDescent="0.2">
      <c r="A172" s="32">
        <v>340</v>
      </c>
      <c r="B172" s="60" t="s">
        <v>60</v>
      </c>
      <c r="C172" s="61">
        <v>0</v>
      </c>
      <c r="D172" s="61"/>
      <c r="E172" s="61"/>
      <c r="F172" s="62"/>
      <c r="G172" s="62"/>
      <c r="H172" s="62">
        <f t="shared" si="55"/>
        <v>0</v>
      </c>
      <c r="I172" s="62"/>
      <c r="J172" s="153"/>
      <c r="K172" s="17">
        <f t="shared" si="57"/>
        <v>0</v>
      </c>
      <c r="L172" s="18">
        <f t="shared" si="58"/>
        <v>0</v>
      </c>
      <c r="M172" s="62">
        <f t="shared" si="56"/>
        <v>0</v>
      </c>
      <c r="N172" s="143"/>
      <c r="O172" s="172">
        <v>0</v>
      </c>
      <c r="P172" s="8"/>
    </row>
    <row r="173" spans="1:16" ht="13.9" hidden="1" customHeight="1" x14ac:dyDescent="0.2">
      <c r="A173" s="32">
        <v>350</v>
      </c>
      <c r="B173" s="60" t="s">
        <v>211</v>
      </c>
      <c r="C173" s="61">
        <v>0</v>
      </c>
      <c r="D173" s="61"/>
      <c r="E173" s="61"/>
      <c r="F173" s="62"/>
      <c r="G173" s="62"/>
      <c r="H173" s="62">
        <f t="shared" si="55"/>
        <v>0</v>
      </c>
      <c r="I173" s="62"/>
      <c r="J173" s="153"/>
      <c r="K173" s="17">
        <f t="shared" si="57"/>
        <v>0</v>
      </c>
      <c r="L173" s="18">
        <f t="shared" si="58"/>
        <v>0</v>
      </c>
      <c r="M173" s="62">
        <f t="shared" si="56"/>
        <v>0</v>
      </c>
      <c r="N173" s="143"/>
      <c r="O173" s="172">
        <v>0</v>
      </c>
      <c r="P173" s="8"/>
    </row>
    <row r="174" spans="1:16" ht="13.15" hidden="1" customHeight="1" x14ac:dyDescent="0.2">
      <c r="A174" s="32">
        <v>370</v>
      </c>
      <c r="B174" s="60" t="s">
        <v>212</v>
      </c>
      <c r="C174" s="61">
        <v>0</v>
      </c>
      <c r="D174" s="61"/>
      <c r="E174" s="61"/>
      <c r="F174" s="62"/>
      <c r="G174" s="62"/>
      <c r="H174" s="62">
        <f t="shared" si="55"/>
        <v>0</v>
      </c>
      <c r="I174" s="62"/>
      <c r="J174" s="153"/>
      <c r="K174" s="17">
        <f t="shared" si="57"/>
        <v>0</v>
      </c>
      <c r="L174" s="18">
        <f t="shared" si="58"/>
        <v>0</v>
      </c>
      <c r="M174" s="62">
        <f t="shared" si="56"/>
        <v>0</v>
      </c>
      <c r="N174" s="143"/>
      <c r="O174" s="172">
        <v>0</v>
      </c>
      <c r="P174" s="8"/>
    </row>
    <row r="175" spans="1:16" ht="13.15" hidden="1" customHeight="1" x14ac:dyDescent="0.2">
      <c r="A175" s="32">
        <v>380</v>
      </c>
      <c r="B175" s="60" t="s">
        <v>213</v>
      </c>
      <c r="C175" s="61"/>
      <c r="D175" s="61"/>
      <c r="E175" s="61"/>
      <c r="F175" s="62"/>
      <c r="G175" s="62"/>
      <c r="H175" s="62">
        <f t="shared" si="55"/>
        <v>0</v>
      </c>
      <c r="I175" s="62"/>
      <c r="J175" s="153"/>
      <c r="K175" s="17">
        <f t="shared" si="57"/>
        <v>0</v>
      </c>
      <c r="L175" s="18">
        <f t="shared" si="58"/>
        <v>0</v>
      </c>
      <c r="M175" s="62">
        <f t="shared" si="56"/>
        <v>0</v>
      </c>
      <c r="N175" s="143"/>
      <c r="O175" s="172">
        <v>0</v>
      </c>
      <c r="P175" s="8"/>
    </row>
    <row r="176" spans="1:16" ht="12.6" hidden="1" customHeight="1" x14ac:dyDescent="0.2">
      <c r="A176" s="32">
        <v>390</v>
      </c>
      <c r="B176" s="60" t="s">
        <v>262</v>
      </c>
      <c r="C176" s="69"/>
      <c r="D176" s="70"/>
      <c r="E176" s="70"/>
      <c r="F176" s="71"/>
      <c r="G176" s="71"/>
      <c r="H176" s="72">
        <f>SUM(H177:H181)</f>
        <v>0</v>
      </c>
      <c r="I176" s="71"/>
      <c r="J176" s="153"/>
      <c r="K176" s="17">
        <f t="shared" si="57"/>
        <v>0</v>
      </c>
      <c r="L176" s="18">
        <f t="shared" si="58"/>
        <v>0</v>
      </c>
      <c r="M176" s="73">
        <f t="shared" si="56"/>
        <v>0</v>
      </c>
      <c r="N176" s="143"/>
      <c r="O176" s="172">
        <v>0</v>
      </c>
      <c r="P176" s="8"/>
    </row>
    <row r="177" spans="1:19" ht="12.6" hidden="1" customHeight="1" x14ac:dyDescent="0.2">
      <c r="A177" s="32">
        <v>391</v>
      </c>
      <c r="B177" s="67" t="s">
        <v>262</v>
      </c>
      <c r="C177" s="74"/>
      <c r="D177" s="52"/>
      <c r="E177" s="52"/>
      <c r="F177" s="75"/>
      <c r="G177" s="75"/>
      <c r="H177" s="76">
        <f>+P177+G177</f>
        <v>0</v>
      </c>
      <c r="I177" s="75"/>
      <c r="J177" s="154"/>
      <c r="K177" s="12">
        <f t="shared" si="57"/>
        <v>0</v>
      </c>
      <c r="L177" s="14">
        <f t="shared" si="58"/>
        <v>0</v>
      </c>
      <c r="M177" s="77">
        <f t="shared" si="56"/>
        <v>0</v>
      </c>
      <c r="N177" s="144"/>
      <c r="O177" s="172">
        <v>0</v>
      </c>
      <c r="P177" s="8"/>
    </row>
    <row r="178" spans="1:19" ht="12.6" hidden="1" customHeight="1" x14ac:dyDescent="0.2">
      <c r="A178" s="32">
        <v>393</v>
      </c>
      <c r="B178" s="67" t="s">
        <v>296</v>
      </c>
      <c r="C178" s="74"/>
      <c r="D178" s="52"/>
      <c r="E178" s="52"/>
      <c r="F178" s="75"/>
      <c r="G178" s="75"/>
      <c r="H178" s="76">
        <f>+P178+G178</f>
        <v>0</v>
      </c>
      <c r="I178" s="75"/>
      <c r="J178" s="154"/>
      <c r="K178" s="12">
        <f t="shared" si="57"/>
        <v>0</v>
      </c>
      <c r="L178" s="14">
        <f t="shared" si="58"/>
        <v>0</v>
      </c>
      <c r="M178" s="77">
        <f t="shared" si="56"/>
        <v>0</v>
      </c>
      <c r="N178" s="144"/>
      <c r="O178" s="172">
        <v>0</v>
      </c>
      <c r="P178" s="8"/>
    </row>
    <row r="179" spans="1:19" ht="12.6" hidden="1" customHeight="1" x14ac:dyDescent="0.2">
      <c r="A179" s="32">
        <v>396</v>
      </c>
      <c r="B179" s="67" t="s">
        <v>262</v>
      </c>
      <c r="C179" s="74"/>
      <c r="D179" s="52"/>
      <c r="E179" s="52"/>
      <c r="F179" s="75"/>
      <c r="G179" s="75"/>
      <c r="H179" s="76">
        <f>+P179+G179</f>
        <v>0</v>
      </c>
      <c r="I179" s="75"/>
      <c r="J179" s="154"/>
      <c r="K179" s="12">
        <f t="shared" si="57"/>
        <v>0</v>
      </c>
      <c r="L179" s="14">
        <f t="shared" si="58"/>
        <v>0</v>
      </c>
      <c r="M179" s="77">
        <f t="shared" si="56"/>
        <v>0</v>
      </c>
      <c r="N179" s="144"/>
      <c r="O179" s="172">
        <v>0</v>
      </c>
      <c r="P179" s="8"/>
    </row>
    <row r="180" spans="1:19" ht="12.6" hidden="1" customHeight="1" x14ac:dyDescent="0.2">
      <c r="A180" s="32">
        <v>398</v>
      </c>
      <c r="B180" s="67" t="s">
        <v>262</v>
      </c>
      <c r="C180" s="74"/>
      <c r="D180" s="52"/>
      <c r="E180" s="52"/>
      <c r="F180" s="75"/>
      <c r="G180" s="75"/>
      <c r="H180" s="76">
        <f>+P180+G180</f>
        <v>0</v>
      </c>
      <c r="I180" s="75"/>
      <c r="J180" s="154"/>
      <c r="K180" s="12">
        <f t="shared" si="57"/>
        <v>0</v>
      </c>
      <c r="L180" s="14">
        <f t="shared" si="58"/>
        <v>0</v>
      </c>
      <c r="M180" s="77">
        <f t="shared" si="56"/>
        <v>0</v>
      </c>
      <c r="N180" s="144"/>
      <c r="O180" s="172">
        <v>0</v>
      </c>
      <c r="P180" s="8"/>
    </row>
    <row r="181" spans="1:19" ht="12.6" hidden="1" customHeight="1" x14ac:dyDescent="0.2">
      <c r="A181" s="32">
        <v>399</v>
      </c>
      <c r="B181" s="67" t="s">
        <v>291</v>
      </c>
      <c r="C181" s="74"/>
      <c r="D181" s="78"/>
      <c r="E181" s="78"/>
      <c r="F181" s="79"/>
      <c r="G181" s="79">
        <v>0</v>
      </c>
      <c r="H181" s="65">
        <f>+P181+G181</f>
        <v>0</v>
      </c>
      <c r="I181" s="79">
        <v>0</v>
      </c>
      <c r="J181" s="155"/>
      <c r="K181" s="12">
        <f t="shared" si="57"/>
        <v>0</v>
      </c>
      <c r="L181" s="14">
        <f t="shared" si="58"/>
        <v>0</v>
      </c>
      <c r="M181" s="77">
        <f t="shared" si="56"/>
        <v>0</v>
      </c>
      <c r="N181" s="144" t="s">
        <v>2</v>
      </c>
      <c r="O181" s="172">
        <v>0</v>
      </c>
      <c r="P181" s="8"/>
    </row>
    <row r="182" spans="1:19" ht="15" customHeight="1" x14ac:dyDescent="0.2">
      <c r="A182" s="95">
        <v>4</v>
      </c>
      <c r="B182" s="111" t="s">
        <v>214</v>
      </c>
      <c r="C182" s="111">
        <f>SUM(C183)</f>
        <v>1143898</v>
      </c>
      <c r="D182" s="111">
        <f>+D183+D185</f>
        <v>87475</v>
      </c>
      <c r="E182" s="111">
        <f t="shared" ref="E182:E189" si="59">+C182+D182</f>
        <v>1231373</v>
      </c>
      <c r="F182" s="112">
        <f>+F183+F185</f>
        <v>1031365</v>
      </c>
      <c r="G182" s="113">
        <f>+G183+G185</f>
        <v>61413.42</v>
      </c>
      <c r="H182" s="114">
        <f>O182+G182</f>
        <v>402747.57</v>
      </c>
      <c r="I182" s="113">
        <f>+I183+I185</f>
        <v>201104.93</v>
      </c>
      <c r="J182" s="115">
        <f>+J183+J185</f>
        <v>130756.07</v>
      </c>
      <c r="K182" s="149">
        <f>K183+K185</f>
        <v>271991.5</v>
      </c>
      <c r="L182" s="116">
        <f t="shared" si="58"/>
        <v>628617.42999999993</v>
      </c>
      <c r="M182" s="114">
        <f t="shared" si="56"/>
        <v>828625.42999999993</v>
      </c>
      <c r="N182" s="145">
        <f t="shared" ref="N182:N205" si="60">+H182*100/F182</f>
        <v>39.049955156515878</v>
      </c>
      <c r="O182" s="173">
        <v>341334.15</v>
      </c>
      <c r="P182" s="8"/>
    </row>
    <row r="183" spans="1:19" x14ac:dyDescent="0.2">
      <c r="A183" s="32">
        <v>430</v>
      </c>
      <c r="B183" s="105" t="s">
        <v>215</v>
      </c>
      <c r="C183" s="70">
        <f>SUM(C184)</f>
        <v>1143898</v>
      </c>
      <c r="D183" s="105">
        <f>SUM(D184)</f>
        <v>83975</v>
      </c>
      <c r="E183" s="70">
        <f t="shared" si="59"/>
        <v>1227873</v>
      </c>
      <c r="F183" s="117">
        <f>+F184</f>
        <v>1027865</v>
      </c>
      <c r="G183" s="118">
        <f>+G184</f>
        <v>61173.42</v>
      </c>
      <c r="H183" s="18">
        <f>+O183+G183</f>
        <v>401109.72</v>
      </c>
      <c r="I183" s="118">
        <f>+I184</f>
        <v>201104.93</v>
      </c>
      <c r="J183" s="70">
        <f>SUM(J184)</f>
        <v>129118.22</v>
      </c>
      <c r="K183" s="17">
        <f t="shared" si="57"/>
        <v>271991.5</v>
      </c>
      <c r="L183" s="18">
        <f t="shared" si="58"/>
        <v>626755.28</v>
      </c>
      <c r="M183" s="71">
        <f t="shared" si="56"/>
        <v>826763.28</v>
      </c>
      <c r="N183" s="141">
        <f t="shared" si="60"/>
        <v>39.023579944837117</v>
      </c>
      <c r="O183" s="172">
        <v>339936.3</v>
      </c>
      <c r="P183" s="8"/>
    </row>
    <row r="184" spans="1:19" ht="13.5" customHeight="1" x14ac:dyDescent="0.2">
      <c r="A184" s="31">
        <v>439</v>
      </c>
      <c r="B184" s="102" t="s">
        <v>216</v>
      </c>
      <c r="C184" s="52">
        <v>1143898</v>
      </c>
      <c r="D184" s="52">
        <v>83975</v>
      </c>
      <c r="E184" s="52">
        <f t="shared" si="59"/>
        <v>1227873</v>
      </c>
      <c r="F184" s="103">
        <v>1027865</v>
      </c>
      <c r="G184" s="119">
        <v>61173.42</v>
      </c>
      <c r="H184" s="14">
        <f>+O184+G184</f>
        <v>401109.72</v>
      </c>
      <c r="I184" s="119">
        <v>201104.93</v>
      </c>
      <c r="J184" s="52">
        <v>129118.22</v>
      </c>
      <c r="K184" s="12">
        <f t="shared" si="57"/>
        <v>271991.5</v>
      </c>
      <c r="L184" s="14">
        <f t="shared" si="58"/>
        <v>626755.28</v>
      </c>
      <c r="M184" s="75">
        <f t="shared" si="56"/>
        <v>826763.28</v>
      </c>
      <c r="N184" s="140">
        <f t="shared" si="60"/>
        <v>39.023579944837117</v>
      </c>
      <c r="O184" s="172">
        <v>339936.3</v>
      </c>
      <c r="P184" s="8"/>
    </row>
    <row r="185" spans="1:19" ht="13.5" customHeight="1" x14ac:dyDescent="0.2">
      <c r="A185" s="32">
        <v>490</v>
      </c>
      <c r="B185" s="105" t="s">
        <v>217</v>
      </c>
      <c r="C185" s="52">
        <f>SUM(C186)</f>
        <v>0</v>
      </c>
      <c r="D185" s="70">
        <f>+D186</f>
        <v>3500</v>
      </c>
      <c r="E185" s="70">
        <f t="shared" si="59"/>
        <v>3500</v>
      </c>
      <c r="F185" s="117">
        <f>+F186</f>
        <v>3500</v>
      </c>
      <c r="G185" s="51">
        <f>+G186</f>
        <v>240</v>
      </c>
      <c r="H185" s="70">
        <f>+H186</f>
        <v>1637.85</v>
      </c>
      <c r="I185" s="51">
        <f>+I186</f>
        <v>0</v>
      </c>
      <c r="J185" s="70">
        <f>J186</f>
        <v>1637.85</v>
      </c>
      <c r="K185" s="17">
        <f t="shared" si="57"/>
        <v>0</v>
      </c>
      <c r="L185" s="18">
        <f t="shared" si="58"/>
        <v>1862.15</v>
      </c>
      <c r="M185" s="71">
        <f t="shared" si="56"/>
        <v>1862.15</v>
      </c>
      <c r="N185" s="141">
        <f>+N186</f>
        <v>46.795714285714283</v>
      </c>
      <c r="O185" s="172">
        <v>1397.85</v>
      </c>
      <c r="P185" s="8"/>
    </row>
    <row r="186" spans="1:19" ht="14.45" customHeight="1" x14ac:dyDescent="0.2">
      <c r="A186" s="31">
        <v>494</v>
      </c>
      <c r="B186" s="102" t="s">
        <v>218</v>
      </c>
      <c r="C186" s="52"/>
      <c r="D186" s="52">
        <v>3500</v>
      </c>
      <c r="E186" s="52">
        <f t="shared" si="59"/>
        <v>3500</v>
      </c>
      <c r="F186" s="49">
        <v>3500</v>
      </c>
      <c r="G186" s="120">
        <v>240</v>
      </c>
      <c r="H186" s="14">
        <f>+O186+G186</f>
        <v>1637.85</v>
      </c>
      <c r="I186" s="120">
        <v>0</v>
      </c>
      <c r="J186" s="75">
        <v>1637.85</v>
      </c>
      <c r="K186" s="12">
        <f t="shared" si="57"/>
        <v>0</v>
      </c>
      <c r="L186" s="14">
        <f t="shared" si="58"/>
        <v>1862.15</v>
      </c>
      <c r="M186" s="75">
        <f t="shared" si="56"/>
        <v>1862.15</v>
      </c>
      <c r="N186" s="140">
        <f t="shared" ref="N186" si="61">+H186*100/F186</f>
        <v>46.795714285714283</v>
      </c>
      <c r="O186" s="172">
        <v>1397.85</v>
      </c>
      <c r="P186" s="8"/>
    </row>
    <row r="187" spans="1:19" ht="15.75" customHeight="1" x14ac:dyDescent="0.2">
      <c r="A187" s="96" t="s">
        <v>219</v>
      </c>
      <c r="B187" s="121" t="s">
        <v>273</v>
      </c>
      <c r="C187" s="115">
        <f>C188+C190+C196+C199+C203</f>
        <v>4209105</v>
      </c>
      <c r="D187" s="115">
        <f>+D188+D190+D199+D196+D203</f>
        <v>212790</v>
      </c>
      <c r="E187" s="122">
        <f t="shared" si="59"/>
        <v>4421895</v>
      </c>
      <c r="F187" s="115">
        <f>+F188+F190+F196+F199+F203</f>
        <v>2677185</v>
      </c>
      <c r="G187" s="123">
        <f>+G188+G190+G199+G196+G203</f>
        <v>24793.15</v>
      </c>
      <c r="H187" s="115">
        <f>O187+G187</f>
        <v>589923.67000000004</v>
      </c>
      <c r="I187" s="123">
        <f>+I188+I190+I199+I196+I203</f>
        <v>1033178.61</v>
      </c>
      <c r="J187" s="115">
        <f>+J188+J190+J199+J196+J203</f>
        <v>561167.15999999992</v>
      </c>
      <c r="K187" s="123">
        <f>+K188+K190+K199+K196+K203</f>
        <v>28756.510000000002</v>
      </c>
      <c r="L187" s="116">
        <f t="shared" si="58"/>
        <v>2087261.33</v>
      </c>
      <c r="M187" s="114">
        <f t="shared" si="56"/>
        <v>3831971.33</v>
      </c>
      <c r="N187" s="145">
        <f t="shared" si="60"/>
        <v>22.035222444470595</v>
      </c>
      <c r="O187" s="173">
        <v>565130.52</v>
      </c>
      <c r="P187" s="157"/>
      <c r="R187" s="1"/>
    </row>
    <row r="188" spans="1:19" s="6" customFormat="1" x14ac:dyDescent="0.2">
      <c r="A188" s="24" t="s">
        <v>220</v>
      </c>
      <c r="B188" s="124" t="s">
        <v>221</v>
      </c>
      <c r="C188" s="70">
        <f>SUM(C189)</f>
        <v>118164</v>
      </c>
      <c r="D188" s="70">
        <f>SUM(D189)</f>
        <v>0</v>
      </c>
      <c r="E188" s="70">
        <f t="shared" si="59"/>
        <v>118164</v>
      </c>
      <c r="F188" s="117">
        <f>+F189</f>
        <v>42000</v>
      </c>
      <c r="G188" s="118">
        <f>+G189</f>
        <v>3777.62</v>
      </c>
      <c r="H188" s="71">
        <f>SUM(H189)</f>
        <v>18888.099999999999</v>
      </c>
      <c r="I188" s="118">
        <f>+I189</f>
        <v>18888.099999999999</v>
      </c>
      <c r="J188" s="70">
        <f>+J189</f>
        <v>18888.099999999999</v>
      </c>
      <c r="K188" s="12">
        <f t="shared" si="57"/>
        <v>0</v>
      </c>
      <c r="L188" s="18">
        <f t="shared" si="58"/>
        <v>23111.9</v>
      </c>
      <c r="M188" s="71">
        <f t="shared" si="56"/>
        <v>99275.9</v>
      </c>
      <c r="N188" s="141">
        <f t="shared" si="60"/>
        <v>44.971666666666664</v>
      </c>
      <c r="O188" s="173">
        <v>15110.48</v>
      </c>
      <c r="P188" s="9"/>
    </row>
    <row r="189" spans="1:19" s="6" customFormat="1" ht="13.5" customHeight="1" x14ac:dyDescent="0.2">
      <c r="A189" s="25" t="s">
        <v>222</v>
      </c>
      <c r="B189" s="104" t="s">
        <v>284</v>
      </c>
      <c r="C189" s="52">
        <v>118164</v>
      </c>
      <c r="D189" s="52"/>
      <c r="E189" s="52">
        <f t="shared" si="59"/>
        <v>118164</v>
      </c>
      <c r="F189" s="103">
        <v>42000</v>
      </c>
      <c r="G189" s="119">
        <v>3777.62</v>
      </c>
      <c r="H189" s="14">
        <f>+O189+G189</f>
        <v>18888.099999999999</v>
      </c>
      <c r="I189" s="119">
        <v>18888.099999999999</v>
      </c>
      <c r="J189" s="52">
        <v>18888.099999999999</v>
      </c>
      <c r="K189" s="12">
        <f t="shared" si="57"/>
        <v>0</v>
      </c>
      <c r="L189" s="14">
        <f t="shared" si="58"/>
        <v>23111.9</v>
      </c>
      <c r="M189" s="75">
        <f t="shared" si="56"/>
        <v>99275.9</v>
      </c>
      <c r="N189" s="140">
        <f t="shared" si="60"/>
        <v>44.971666666666664</v>
      </c>
      <c r="O189" s="172">
        <v>15110.48</v>
      </c>
      <c r="P189" s="9"/>
    </row>
    <row r="190" spans="1:19" s="6" customFormat="1" x14ac:dyDescent="0.2">
      <c r="A190" s="29" t="s">
        <v>223</v>
      </c>
      <c r="B190" s="105" t="s">
        <v>91</v>
      </c>
      <c r="C190" s="70">
        <f>SUM(C191:C195)</f>
        <v>3997848</v>
      </c>
      <c r="D190" s="70">
        <f>SUM(D191:D195)</f>
        <v>199000</v>
      </c>
      <c r="E190" s="70">
        <f>SUM(C190:D190)</f>
        <v>4196848</v>
      </c>
      <c r="F190" s="117">
        <f>+F191+F192+F194+F195</f>
        <v>2553302</v>
      </c>
      <c r="G190" s="118">
        <f>SUM(G191:G195)</f>
        <v>12743.5</v>
      </c>
      <c r="H190" s="18">
        <f>+O190+G190</f>
        <v>535677.59000000008</v>
      </c>
      <c r="I190" s="118">
        <f>SUM(I191:I195)</f>
        <v>980532.53</v>
      </c>
      <c r="J190" s="70">
        <f>SUM(J191:J195)</f>
        <v>535677.59</v>
      </c>
      <c r="K190" s="12">
        <f t="shared" si="57"/>
        <v>0</v>
      </c>
      <c r="L190" s="18">
        <f t="shared" si="58"/>
        <v>2017624.41</v>
      </c>
      <c r="M190" s="71">
        <f t="shared" si="56"/>
        <v>3661170.41</v>
      </c>
      <c r="N190" s="141">
        <f t="shared" si="60"/>
        <v>20.97979753276346</v>
      </c>
      <c r="O190" s="172">
        <v>522934.09</v>
      </c>
      <c r="P190" s="9"/>
      <c r="S190" s="2"/>
    </row>
    <row r="191" spans="1:19" s="6" customFormat="1" ht="14.25" customHeight="1" x14ac:dyDescent="0.2">
      <c r="A191" s="31">
        <v>611</v>
      </c>
      <c r="B191" s="102" t="s">
        <v>246</v>
      </c>
      <c r="C191" s="52">
        <v>1800</v>
      </c>
      <c r="D191" s="52"/>
      <c r="E191" s="52">
        <f>SUM(C191:D191)</f>
        <v>1800</v>
      </c>
      <c r="F191" s="49">
        <v>1800</v>
      </c>
      <c r="G191" s="120">
        <v>0</v>
      </c>
      <c r="H191" s="14">
        <f>+P191+G191</f>
        <v>0</v>
      </c>
      <c r="I191" s="120">
        <v>0</v>
      </c>
      <c r="J191" s="75">
        <v>0</v>
      </c>
      <c r="K191" s="12">
        <f t="shared" si="57"/>
        <v>0</v>
      </c>
      <c r="L191" s="14">
        <f t="shared" si="58"/>
        <v>1800</v>
      </c>
      <c r="M191" s="75">
        <f t="shared" si="56"/>
        <v>1800</v>
      </c>
      <c r="N191" s="140"/>
      <c r="O191" s="172">
        <v>0</v>
      </c>
      <c r="P191" s="9"/>
    </row>
    <row r="192" spans="1:19" s="6" customFormat="1" ht="13.5" customHeight="1" x14ac:dyDescent="0.2">
      <c r="A192" s="31">
        <v>612</v>
      </c>
      <c r="B192" s="102" t="s">
        <v>267</v>
      </c>
      <c r="C192" s="52">
        <v>452502</v>
      </c>
      <c r="D192" s="52">
        <v>199000</v>
      </c>
      <c r="E192" s="52">
        <f>SUM(C192:D192)</f>
        <v>651502</v>
      </c>
      <c r="F192" s="49">
        <v>651502</v>
      </c>
      <c r="G192" s="120">
        <v>0</v>
      </c>
      <c r="H192" s="14">
        <f>+O192+G192</f>
        <v>444854.94</v>
      </c>
      <c r="I192" s="120">
        <v>889709.88</v>
      </c>
      <c r="J192" s="75">
        <v>444854.94</v>
      </c>
      <c r="K192" s="12">
        <f t="shared" si="57"/>
        <v>0</v>
      </c>
      <c r="L192" s="14">
        <f t="shared" si="58"/>
        <v>206647.06</v>
      </c>
      <c r="M192" s="75">
        <f t="shared" si="56"/>
        <v>206647.06</v>
      </c>
      <c r="N192" s="140">
        <f t="shared" si="60"/>
        <v>68.281438890440853</v>
      </c>
      <c r="O192" s="172">
        <v>444854.94</v>
      </c>
      <c r="P192" s="9"/>
    </row>
    <row r="193" spans="1:16" s="6" customFormat="1" ht="12" hidden="1" customHeight="1" x14ac:dyDescent="0.2">
      <c r="A193" s="31">
        <v>613</v>
      </c>
      <c r="B193" s="102" t="s">
        <v>255</v>
      </c>
      <c r="C193" s="52">
        <v>0</v>
      </c>
      <c r="D193" s="52"/>
      <c r="E193" s="52">
        <f t="shared" ref="E193:E201" si="62">+C193+D193</f>
        <v>0</v>
      </c>
      <c r="F193" s="49"/>
      <c r="G193" s="120"/>
      <c r="H193" s="14">
        <f t="shared" ref="H193:H204" si="63">+P193+G193</f>
        <v>0</v>
      </c>
      <c r="I193" s="120"/>
      <c r="J193" s="75"/>
      <c r="K193" s="12">
        <f t="shared" si="57"/>
        <v>0</v>
      </c>
      <c r="L193" s="14">
        <f t="shared" ref="L193:L204" si="64">+F193-H193</f>
        <v>0</v>
      </c>
      <c r="M193" s="75">
        <f t="shared" si="56"/>
        <v>0</v>
      </c>
      <c r="N193" s="140" t="e">
        <f t="shared" si="60"/>
        <v>#DIV/0!</v>
      </c>
      <c r="O193" s="172">
        <v>0</v>
      </c>
      <c r="P193" s="9"/>
    </row>
    <row r="194" spans="1:16" s="6" customFormat="1" ht="12.75" customHeight="1" x14ac:dyDescent="0.2">
      <c r="A194" s="31">
        <v>614</v>
      </c>
      <c r="B194" s="102" t="s">
        <v>254</v>
      </c>
      <c r="C194" s="52">
        <v>3500000</v>
      </c>
      <c r="D194" s="52"/>
      <c r="E194" s="52">
        <f>SUM(C194:D194)</f>
        <v>3500000</v>
      </c>
      <c r="F194" s="49">
        <v>1900000</v>
      </c>
      <c r="G194" s="120">
        <v>12743.5</v>
      </c>
      <c r="H194" s="14">
        <f>+O194+G194</f>
        <v>90822.65</v>
      </c>
      <c r="I194" s="120">
        <v>90822.65</v>
      </c>
      <c r="J194" s="75">
        <v>90822.65</v>
      </c>
      <c r="K194" s="12">
        <f t="shared" si="57"/>
        <v>0</v>
      </c>
      <c r="L194" s="14">
        <f t="shared" si="64"/>
        <v>1809177.35</v>
      </c>
      <c r="M194" s="75">
        <f t="shared" si="56"/>
        <v>3409177.35</v>
      </c>
      <c r="N194" s="140">
        <f t="shared" si="60"/>
        <v>4.7801394736842102</v>
      </c>
      <c r="O194" s="172">
        <v>78079.149999999994</v>
      </c>
      <c r="P194" s="9"/>
    </row>
    <row r="195" spans="1:16" s="6" customFormat="1" ht="13.5" customHeight="1" x14ac:dyDescent="0.2">
      <c r="A195" s="31">
        <v>619</v>
      </c>
      <c r="B195" s="102" t="s">
        <v>252</v>
      </c>
      <c r="C195" s="52">
        <v>43546</v>
      </c>
      <c r="D195" s="52"/>
      <c r="E195" s="52">
        <f t="shared" si="62"/>
        <v>43546</v>
      </c>
      <c r="F195" s="49">
        <v>0</v>
      </c>
      <c r="G195" s="120">
        <v>0</v>
      </c>
      <c r="H195" s="14">
        <f t="shared" si="63"/>
        <v>0</v>
      </c>
      <c r="I195" s="120">
        <v>0</v>
      </c>
      <c r="J195" s="75">
        <v>0</v>
      </c>
      <c r="K195" s="12">
        <f t="shared" si="57"/>
        <v>0</v>
      </c>
      <c r="L195" s="14">
        <f t="shared" si="64"/>
        <v>0</v>
      </c>
      <c r="M195" s="75">
        <f t="shared" si="56"/>
        <v>43546</v>
      </c>
      <c r="N195" s="140" t="s">
        <v>2</v>
      </c>
      <c r="O195" s="172">
        <v>0</v>
      </c>
      <c r="P195" s="9"/>
    </row>
    <row r="196" spans="1:16" s="6" customFormat="1" ht="13.5" customHeight="1" x14ac:dyDescent="0.2">
      <c r="A196" s="32">
        <v>620</v>
      </c>
      <c r="B196" s="105" t="s">
        <v>224</v>
      </c>
      <c r="C196" s="70">
        <f>+C197+C198</f>
        <v>77093</v>
      </c>
      <c r="D196" s="70">
        <f>SUM(D198)</f>
        <v>-19000</v>
      </c>
      <c r="E196" s="70">
        <f t="shared" si="62"/>
        <v>58093</v>
      </c>
      <c r="F196" s="117">
        <f>+F197+F198</f>
        <v>33093</v>
      </c>
      <c r="G196" s="118">
        <f>+G198+G197</f>
        <v>455.52</v>
      </c>
      <c r="H196" s="18">
        <f>+O196+G196</f>
        <v>2701.47</v>
      </c>
      <c r="I196" s="118">
        <f>+I198+I197</f>
        <v>2701.47</v>
      </c>
      <c r="J196" s="70">
        <f>+J198+J197</f>
        <v>2701.47</v>
      </c>
      <c r="K196" s="12">
        <f t="shared" si="57"/>
        <v>0</v>
      </c>
      <c r="L196" s="18">
        <f t="shared" si="64"/>
        <v>30391.53</v>
      </c>
      <c r="M196" s="71">
        <f t="shared" si="56"/>
        <v>55391.53</v>
      </c>
      <c r="N196" s="140">
        <f t="shared" si="60"/>
        <v>8.1632671561961736</v>
      </c>
      <c r="O196" s="173">
        <v>2245.9499999999998</v>
      </c>
      <c r="P196" s="9"/>
    </row>
    <row r="197" spans="1:16" s="6" customFormat="1" ht="13.5" customHeight="1" x14ac:dyDescent="0.2">
      <c r="A197" s="31" t="s">
        <v>244</v>
      </c>
      <c r="B197" s="102" t="s">
        <v>245</v>
      </c>
      <c r="C197" s="52">
        <v>0</v>
      </c>
      <c r="D197" s="52"/>
      <c r="E197" s="52">
        <f t="shared" si="62"/>
        <v>0</v>
      </c>
      <c r="F197" s="49">
        <v>0</v>
      </c>
      <c r="G197" s="120">
        <v>0</v>
      </c>
      <c r="H197" s="14">
        <f t="shared" si="63"/>
        <v>0</v>
      </c>
      <c r="I197" s="120">
        <v>0</v>
      </c>
      <c r="J197" s="75">
        <v>0</v>
      </c>
      <c r="K197" s="12">
        <f t="shared" si="57"/>
        <v>0</v>
      </c>
      <c r="L197" s="14">
        <f t="shared" si="64"/>
        <v>0</v>
      </c>
      <c r="M197" s="75">
        <f t="shared" si="56"/>
        <v>0</v>
      </c>
      <c r="N197" s="140" t="s">
        <v>8</v>
      </c>
      <c r="O197" s="172">
        <v>0</v>
      </c>
      <c r="P197" s="9"/>
    </row>
    <row r="198" spans="1:16" s="6" customFormat="1" ht="12" customHeight="1" x14ac:dyDescent="0.2">
      <c r="A198" s="31">
        <v>624</v>
      </c>
      <c r="B198" s="102" t="s">
        <v>225</v>
      </c>
      <c r="C198" s="52">
        <v>77093</v>
      </c>
      <c r="D198" s="52">
        <v>-19000</v>
      </c>
      <c r="E198" s="52">
        <f t="shared" si="62"/>
        <v>58093</v>
      </c>
      <c r="F198" s="103">
        <v>33093</v>
      </c>
      <c r="G198" s="119">
        <v>455.52</v>
      </c>
      <c r="H198" s="14">
        <f t="shared" ref="H198:H203" si="65">+O198+G198</f>
        <v>2701.47</v>
      </c>
      <c r="I198" s="119">
        <v>2701.47</v>
      </c>
      <c r="J198" s="52">
        <v>2701.47</v>
      </c>
      <c r="K198" s="12">
        <f t="shared" si="57"/>
        <v>0</v>
      </c>
      <c r="L198" s="14">
        <f t="shared" si="64"/>
        <v>30391.53</v>
      </c>
      <c r="M198" s="75">
        <f t="shared" si="56"/>
        <v>55391.53</v>
      </c>
      <c r="N198" s="140">
        <f t="shared" si="60"/>
        <v>8.1632671561961736</v>
      </c>
      <c r="O198" s="172">
        <v>2245.9499999999998</v>
      </c>
      <c r="P198" s="9"/>
    </row>
    <row r="199" spans="1:16" s="6" customFormat="1" x14ac:dyDescent="0.2">
      <c r="A199" s="24" t="s">
        <v>226</v>
      </c>
      <c r="B199" s="124" t="s">
        <v>227</v>
      </c>
      <c r="C199" s="70">
        <f>SUM(C200:C202)</f>
        <v>16000</v>
      </c>
      <c r="D199" s="70">
        <f>SUM(D200:D202)</f>
        <v>15500</v>
      </c>
      <c r="E199" s="70">
        <f t="shared" si="62"/>
        <v>31500</v>
      </c>
      <c r="F199" s="125">
        <f>SUM(F200:F202)</f>
        <v>31500</v>
      </c>
      <c r="G199" s="126">
        <f>SUM(G200:G202)</f>
        <v>2430</v>
      </c>
      <c r="H199" s="18">
        <f t="shared" si="65"/>
        <v>21480</v>
      </c>
      <c r="I199" s="184">
        <f>SUM(I200:I202)</f>
        <v>21480</v>
      </c>
      <c r="J199" s="125">
        <f>SUM(J200:J202)</f>
        <v>3900</v>
      </c>
      <c r="K199" s="12">
        <f t="shared" si="57"/>
        <v>17580</v>
      </c>
      <c r="L199" s="18">
        <f t="shared" si="64"/>
        <v>10020</v>
      </c>
      <c r="M199" s="71">
        <f t="shared" si="56"/>
        <v>10020</v>
      </c>
      <c r="N199" s="140">
        <f t="shared" si="60"/>
        <v>68.19047619047619</v>
      </c>
      <c r="O199" s="172">
        <v>19050</v>
      </c>
      <c r="P199" s="9"/>
    </row>
    <row r="200" spans="1:16" s="6" customFormat="1" ht="13.5" customHeight="1" x14ac:dyDescent="0.2">
      <c r="A200" s="25">
        <v>662</v>
      </c>
      <c r="B200" s="104" t="s">
        <v>228</v>
      </c>
      <c r="C200" s="52">
        <v>10000</v>
      </c>
      <c r="D200" s="52">
        <v>7000</v>
      </c>
      <c r="E200" s="52">
        <f t="shared" si="62"/>
        <v>17000</v>
      </c>
      <c r="F200" s="49">
        <v>17000</v>
      </c>
      <c r="G200" s="120">
        <v>0</v>
      </c>
      <c r="H200" s="14">
        <f t="shared" si="65"/>
        <v>16500</v>
      </c>
      <c r="I200" s="120">
        <v>16500</v>
      </c>
      <c r="J200" s="75">
        <v>3000</v>
      </c>
      <c r="K200" s="12">
        <f t="shared" si="57"/>
        <v>13500</v>
      </c>
      <c r="L200" s="14">
        <f t="shared" si="64"/>
        <v>500</v>
      </c>
      <c r="M200" s="75">
        <f t="shared" si="56"/>
        <v>500</v>
      </c>
      <c r="N200" s="140">
        <f t="shared" si="60"/>
        <v>97.058823529411768</v>
      </c>
      <c r="O200" s="172">
        <v>16500</v>
      </c>
      <c r="P200" s="9"/>
    </row>
    <row r="201" spans="1:16" s="6" customFormat="1" ht="12.75" customHeight="1" x14ac:dyDescent="0.2">
      <c r="A201" s="25" t="s">
        <v>229</v>
      </c>
      <c r="B201" s="104" t="s">
        <v>230</v>
      </c>
      <c r="C201" s="52">
        <v>0</v>
      </c>
      <c r="D201" s="52">
        <v>6500</v>
      </c>
      <c r="E201" s="52">
        <f t="shared" si="62"/>
        <v>6500</v>
      </c>
      <c r="F201" s="49">
        <v>6500</v>
      </c>
      <c r="G201" s="120">
        <v>2430</v>
      </c>
      <c r="H201" s="14">
        <f t="shared" si="65"/>
        <v>4080</v>
      </c>
      <c r="I201" s="120">
        <v>4080</v>
      </c>
      <c r="J201" s="75">
        <v>0</v>
      </c>
      <c r="K201" s="12">
        <f t="shared" si="57"/>
        <v>4080</v>
      </c>
      <c r="L201" s="14" t="s">
        <v>2</v>
      </c>
      <c r="M201" s="75">
        <f t="shared" si="56"/>
        <v>2420</v>
      </c>
      <c r="N201" s="140" t="s">
        <v>2</v>
      </c>
      <c r="O201" s="172">
        <v>1650</v>
      </c>
      <c r="P201" s="9"/>
    </row>
    <row r="202" spans="1:16" s="6" customFormat="1" ht="12.75" customHeight="1" x14ac:dyDescent="0.2">
      <c r="A202" s="25" t="s">
        <v>231</v>
      </c>
      <c r="B202" s="104" t="s">
        <v>232</v>
      </c>
      <c r="C202" s="52">
        <v>6000</v>
      </c>
      <c r="D202" s="52">
        <v>2000</v>
      </c>
      <c r="E202" s="52">
        <f>+C202+D202</f>
        <v>8000</v>
      </c>
      <c r="F202" s="49">
        <v>8000</v>
      </c>
      <c r="G202" s="120">
        <v>0</v>
      </c>
      <c r="H202" s="14">
        <f t="shared" si="65"/>
        <v>900</v>
      </c>
      <c r="I202" s="120">
        <v>900</v>
      </c>
      <c r="J202" s="75">
        <v>900</v>
      </c>
      <c r="K202" s="12">
        <f t="shared" si="57"/>
        <v>0</v>
      </c>
      <c r="L202" s="14">
        <f t="shared" si="64"/>
        <v>7100</v>
      </c>
      <c r="M202" s="75">
        <f t="shared" si="56"/>
        <v>7100</v>
      </c>
      <c r="N202" s="140">
        <f t="shared" si="60"/>
        <v>11.25</v>
      </c>
      <c r="O202" s="172">
        <v>900</v>
      </c>
      <c r="P202" s="9"/>
    </row>
    <row r="203" spans="1:16" s="6" customFormat="1" ht="13.5" customHeight="1" x14ac:dyDescent="0.2">
      <c r="A203" s="36">
        <v>690</v>
      </c>
      <c r="B203" s="71" t="s">
        <v>249</v>
      </c>
      <c r="C203" s="71">
        <f>+C204</f>
        <v>0</v>
      </c>
      <c r="D203" s="71">
        <f>SUM(D205:D206)</f>
        <v>17290</v>
      </c>
      <c r="E203" s="70">
        <f>+C203+D203</f>
        <v>17290</v>
      </c>
      <c r="F203" s="125">
        <f>SUM(F205:F206)</f>
        <v>17290</v>
      </c>
      <c r="G203" s="126">
        <f>SUM(G204:G206)</f>
        <v>5386.51</v>
      </c>
      <c r="H203" s="71">
        <f t="shared" si="65"/>
        <v>11176.51</v>
      </c>
      <c r="I203" s="126">
        <f>SUM(I204:I206)</f>
        <v>9576.51</v>
      </c>
      <c r="J203" s="71">
        <f>+J204</f>
        <v>0</v>
      </c>
      <c r="K203" s="12">
        <f t="shared" si="57"/>
        <v>11176.51</v>
      </c>
      <c r="L203" s="18">
        <f t="shared" si="64"/>
        <v>6113.49</v>
      </c>
      <c r="M203" s="71">
        <f t="shared" si="56"/>
        <v>6113.49</v>
      </c>
      <c r="N203" s="140">
        <f t="shared" si="60"/>
        <v>64.641469057258533</v>
      </c>
      <c r="O203" s="172">
        <v>5790</v>
      </c>
      <c r="P203" s="9"/>
    </row>
    <row r="204" spans="1:16" ht="16.899999999999999" customHeight="1" x14ac:dyDescent="0.2">
      <c r="A204" s="34">
        <v>692</v>
      </c>
      <c r="B204" s="127" t="s">
        <v>305</v>
      </c>
      <c r="C204" s="75"/>
      <c r="D204" s="75"/>
      <c r="E204" s="52">
        <f>+C204+D204</f>
        <v>0</v>
      </c>
      <c r="F204" s="49">
        <v>0</v>
      </c>
      <c r="G204" s="120">
        <v>0</v>
      </c>
      <c r="H204" s="75">
        <f t="shared" si="63"/>
        <v>0</v>
      </c>
      <c r="I204" s="120">
        <v>0</v>
      </c>
      <c r="J204" s="75">
        <v>0</v>
      </c>
      <c r="K204" s="12">
        <f t="shared" si="57"/>
        <v>0</v>
      </c>
      <c r="L204" s="14">
        <f t="shared" si="64"/>
        <v>0</v>
      </c>
      <c r="M204" s="75">
        <f t="shared" si="56"/>
        <v>0</v>
      </c>
      <c r="N204" s="140" t="s">
        <v>2</v>
      </c>
      <c r="O204" s="172">
        <v>0</v>
      </c>
      <c r="P204" s="8"/>
    </row>
    <row r="205" spans="1:16" ht="16.899999999999999" customHeight="1" x14ac:dyDescent="0.2">
      <c r="A205" s="34">
        <v>693</v>
      </c>
      <c r="B205" s="127" t="s">
        <v>311</v>
      </c>
      <c r="C205" s="75"/>
      <c r="D205" s="75">
        <v>7640</v>
      </c>
      <c r="E205" s="52">
        <f>SUM(C205:D205)</f>
        <v>7640</v>
      </c>
      <c r="F205" s="49">
        <v>7640</v>
      </c>
      <c r="G205" s="170">
        <v>0</v>
      </c>
      <c r="H205" s="14">
        <f>+O205+G205</f>
        <v>5440</v>
      </c>
      <c r="I205" s="170">
        <v>3840</v>
      </c>
      <c r="J205" s="75"/>
      <c r="K205" s="12"/>
      <c r="L205" s="14">
        <f>+F205-H205</f>
        <v>2200</v>
      </c>
      <c r="M205" s="75">
        <f t="shared" si="56"/>
        <v>2200</v>
      </c>
      <c r="N205" s="140">
        <f t="shared" si="60"/>
        <v>71.204188481675388</v>
      </c>
      <c r="O205" s="172">
        <v>5440</v>
      </c>
      <c r="P205" s="8"/>
    </row>
    <row r="206" spans="1:16" ht="17.25" customHeight="1" thickBot="1" x14ac:dyDescent="0.25">
      <c r="A206" s="34">
        <v>697</v>
      </c>
      <c r="B206" s="127" t="s">
        <v>257</v>
      </c>
      <c r="C206" s="75"/>
      <c r="D206" s="75">
        <v>9650</v>
      </c>
      <c r="E206" s="52">
        <f>+C206+D206</f>
        <v>9650</v>
      </c>
      <c r="F206" s="49">
        <v>9650</v>
      </c>
      <c r="G206" s="120">
        <v>5386.51</v>
      </c>
      <c r="H206" s="14">
        <f>+O206+G206</f>
        <v>5736.51</v>
      </c>
      <c r="I206" s="120">
        <v>5736.51</v>
      </c>
      <c r="J206" s="75"/>
      <c r="K206" s="12">
        <f t="shared" si="57"/>
        <v>5736.51</v>
      </c>
      <c r="L206" s="14">
        <f>+F206-H206</f>
        <v>3913.49</v>
      </c>
      <c r="M206" s="71">
        <f t="shared" si="56"/>
        <v>3913.49</v>
      </c>
      <c r="N206" s="140" t="s">
        <v>2</v>
      </c>
      <c r="O206" s="172">
        <v>350</v>
      </c>
      <c r="P206" s="8"/>
    </row>
    <row r="207" spans="1:16" ht="28.9" customHeight="1" thickBot="1" x14ac:dyDescent="0.25">
      <c r="A207" s="35" t="s">
        <v>2</v>
      </c>
      <c r="B207" s="128" t="s">
        <v>233</v>
      </c>
      <c r="C207" s="129">
        <f>+C187+C182+C154+C94+C40+C12</f>
        <v>111760510</v>
      </c>
      <c r="D207" s="129">
        <f>+D187+D182+D154+D94+D40+D12</f>
        <v>2546866</v>
      </c>
      <c r="E207" s="129">
        <f>+E187+E182+E154+E94+E40+E12</f>
        <v>114307376</v>
      </c>
      <c r="F207" s="129">
        <f>+F187+F182+F154+F94+F40+F12</f>
        <v>58511185</v>
      </c>
      <c r="G207" s="130">
        <f>+G187+G182+G154+G94+G40+G12</f>
        <v>8067720.8799999999</v>
      </c>
      <c r="H207" s="129">
        <f>+H187+H182+H154+H94+H40+H12+1</f>
        <v>36595338.379999995</v>
      </c>
      <c r="I207" s="130">
        <f>+I187+I182+I154+I94+I40+I12</f>
        <v>36036388.979999997</v>
      </c>
      <c r="J207" s="129">
        <f>+J187+J182+J154+J94+J40+J12+1</f>
        <v>34534464.450000003</v>
      </c>
      <c r="K207" s="130">
        <f>+K187+K182+K154+K94+K40+K12</f>
        <v>2060873.3999999971</v>
      </c>
      <c r="L207" s="131">
        <f>+F207-H207</f>
        <v>21915846.620000005</v>
      </c>
      <c r="M207" s="132">
        <f t="shared" si="56"/>
        <v>77712037.620000005</v>
      </c>
      <c r="N207" s="146">
        <f>+H207*100/F207</f>
        <v>62.544175750328755</v>
      </c>
      <c r="O207" s="173">
        <f>28531428.21</f>
        <v>28531428.210000001</v>
      </c>
      <c r="P207" s="8"/>
    </row>
    <row r="208" spans="1:16" x14ac:dyDescent="0.2">
      <c r="F208" s="3" t="s">
        <v>2</v>
      </c>
      <c r="J208" s="3" t="s">
        <v>2</v>
      </c>
    </row>
    <row r="209" spans="2:11" x14ac:dyDescent="0.2">
      <c r="B209" s="179" t="s">
        <v>313</v>
      </c>
      <c r="F209" s="5" t="s">
        <v>2</v>
      </c>
      <c r="G209" s="134"/>
      <c r="J209" s="5" t="s">
        <v>2</v>
      </c>
    </row>
    <row r="210" spans="2:11" x14ac:dyDescent="0.2">
      <c r="J210" s="7" t="s">
        <v>2</v>
      </c>
      <c r="K210" s="7"/>
    </row>
    <row r="212" spans="2:11" x14ac:dyDescent="0.2">
      <c r="E212" s="5" t="s">
        <v>2</v>
      </c>
    </row>
  </sheetData>
  <mergeCells count="14">
    <mergeCell ref="A2:N2"/>
    <mergeCell ref="A3:N3"/>
    <mergeCell ref="A4:N4"/>
    <mergeCell ref="A5:N5"/>
    <mergeCell ref="C8:F9"/>
    <mergeCell ref="J8:J10"/>
    <mergeCell ref="L8:M9"/>
    <mergeCell ref="N8:N10"/>
    <mergeCell ref="D10:D11"/>
    <mergeCell ref="B8:B11"/>
    <mergeCell ref="A8:A11"/>
    <mergeCell ref="K8:K10"/>
    <mergeCell ref="C10:C11"/>
    <mergeCell ref="G8:I9"/>
  </mergeCells>
  <pageMargins left="0.51181102362204722" right="0.11811023622047245" top="0.55118110236220474" bottom="0.55118110236220474" header="0.31496062992125984" footer="0.31496062992125984"/>
  <pageSetup scale="8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func</vt:lpstr>
      <vt:lpstr>func!Títulos_a_imprimir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CASTILLO</dc:creator>
  <cp:lastModifiedBy>JAIME YOUNG</cp:lastModifiedBy>
  <cp:lastPrinted>2023-06-12T20:06:41Z</cp:lastPrinted>
  <dcterms:created xsi:type="dcterms:W3CDTF">2010-01-07T20:52:23Z</dcterms:created>
  <dcterms:modified xsi:type="dcterms:W3CDTF">2023-06-15T14:14:24Z</dcterms:modified>
</cp:coreProperties>
</file>