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AGOSTO\PAGINA WEB\"/>
    </mc:Choice>
  </mc:AlternateContent>
  <xr:revisionPtr revIDLastSave="0" documentId="8_{78593CE6-4ABD-4CA4-AEDB-3ED99FE1FB25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RESUMEN" sheetId="61" r:id="rId1"/>
    <sheet name="BALANCE" sheetId="8" r:id="rId2"/>
    <sheet name="INGRESOS" sheetId="9" r:id="rId3"/>
    <sheet name="FINANCIAMIENTO" sheetId="10" r:id="rId4"/>
    <sheet name="FLUJO INGRESOS GASTO" sheetId="11" r:id="rId5"/>
    <sheet name="BALANCE GASTOS" sheetId="12" r:id="rId6"/>
    <sheet name="FUNCIONAMIENTO" sheetId="64" r:id="rId7"/>
    <sheet name="ESTRUCTURA PROG" sheetId="15" r:id="rId8"/>
    <sheet name="PROYECTOS" sheetId="69" r:id="rId9"/>
  </sheets>
  <externalReferences>
    <externalReference r:id="rId10"/>
  </externalReferences>
  <definedNames>
    <definedName name="a">"$#REF!.$CP$1"</definedName>
    <definedName name="_xlnm.Print_Area" localSheetId="1">BALANCE!$A$1:$I$53</definedName>
    <definedName name="_xlnm.Print_Area" localSheetId="5">'BALANCE GASTOS'!$A$5:$K$59</definedName>
    <definedName name="_xlnm.Print_Area" localSheetId="7">'ESTRUCTURA PROG'!$A$3:$M$32</definedName>
    <definedName name="_xlnm.Print_Area" localSheetId="3">FINANCIAMIENTO!$A$1:$F$32</definedName>
    <definedName name="_xlnm.Print_Area" localSheetId="4">'FLUJO INGRESOS GASTO'!$A$3:$H$57</definedName>
    <definedName name="_xlnm.Print_Area" localSheetId="6">FUNCIONAMIENTO!$A$3:$L$57</definedName>
    <definedName name="_xlnm.Print_Area" localSheetId="2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BALANCE!$B$3:$I$48</definedName>
    <definedName name="Excel_BuiltIn_Print_Area_7_1">BALANCE!$B$3:$I$42</definedName>
    <definedName name="Excel_BuiltIn_Print_Area_7_1_1">BALANCE!$B$3:$I$48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'BALANCE GASTOS'!$3:$4</definedName>
    <definedName name="Excel_BuiltIn_Print_Titles_12_1">"$#REF!.$A$1:$B$65535;$#REF!.$A$1:$IV$7"</definedName>
    <definedName name="Excel_BuiltIn_Print_Titles_7">BALANCE!$3:$4</definedName>
    <definedName name="Excel_BuiltIn_Print_Titles_7_1">"$cuadro_A_1.$#REF!$#REF!:$#REF!$#REF!"</definedName>
    <definedName name="Excel_BuiltIn_Print_Titles_8_1">[1]INGRESOS!$A$1:$IV$5</definedName>
    <definedName name="_xlnm.Print_Titles" localSheetId="1">BALANCE!$3:$4</definedName>
    <definedName name="_xlnm.Print_Titles" localSheetId="5">'BALANCE GASTOS'!$1:$4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1" l="1"/>
  <c r="E23" i="8" l="1"/>
  <c r="D23" i="8"/>
  <c r="E39" i="8"/>
  <c r="D39" i="8"/>
  <c r="E19" i="69" l="1"/>
  <c r="K24" i="9"/>
  <c r="E25" i="8"/>
  <c r="E30" i="8"/>
  <c r="E27" i="8"/>
  <c r="E26" i="8"/>
  <c r="E19" i="8"/>
  <c r="E18" i="8"/>
  <c r="E41" i="69" l="1"/>
  <c r="J42" i="69"/>
  <c r="Q19" i="69"/>
  <c r="G19" i="69"/>
  <c r="J27" i="69"/>
  <c r="I24" i="69"/>
  <c r="J22" i="69"/>
  <c r="D19" i="69"/>
  <c r="D41" i="69"/>
  <c r="D9" i="69"/>
  <c r="D52" i="69" s="1"/>
  <c r="Q9" i="69"/>
  <c r="I10" i="69" l="1"/>
  <c r="J10" i="69" s="1"/>
  <c r="N29" i="15"/>
  <c r="N27" i="15"/>
  <c r="N17" i="15"/>
  <c r="N15" i="15"/>
  <c r="N13" i="15"/>
  <c r="L41" i="69" l="1"/>
  <c r="H51" i="69" l="1"/>
  <c r="H50" i="69"/>
  <c r="H49" i="69"/>
  <c r="H48" i="69"/>
  <c r="H47" i="69"/>
  <c r="H46" i="69"/>
  <c r="H45" i="69"/>
  <c r="H44" i="69"/>
  <c r="H43" i="69"/>
  <c r="H42" i="69"/>
  <c r="H41" i="69" s="1"/>
  <c r="H40" i="69"/>
  <c r="H39" i="69"/>
  <c r="H38" i="69"/>
  <c r="H37" i="69"/>
  <c r="H36" i="69"/>
  <c r="H35" i="69"/>
  <c r="H34" i="69"/>
  <c r="H33" i="69"/>
  <c r="H32" i="69"/>
  <c r="H31" i="69"/>
  <c r="H30" i="69"/>
  <c r="H29" i="69"/>
  <c r="H28" i="69"/>
  <c r="H27" i="69"/>
  <c r="H26" i="69"/>
  <c r="H25" i="69"/>
  <c r="H24" i="69"/>
  <c r="H23" i="69"/>
  <c r="H22" i="69"/>
  <c r="H21" i="69"/>
  <c r="H20" i="69"/>
  <c r="H18" i="69"/>
  <c r="H17" i="69"/>
  <c r="H16" i="69"/>
  <c r="H15" i="69"/>
  <c r="H14" i="69"/>
  <c r="H13" i="69"/>
  <c r="H12" i="69"/>
  <c r="H11" i="69"/>
  <c r="H10" i="69"/>
  <c r="F51" i="69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H19" i="69"/>
  <c r="F19" i="69"/>
  <c r="F9" i="69"/>
  <c r="H9" i="69"/>
  <c r="H52" i="69" l="1"/>
  <c r="F52" i="69"/>
  <c r="G26" i="8"/>
  <c r="K41" i="69" l="1"/>
  <c r="I21" i="15" l="1"/>
  <c r="N22" i="69" l="1"/>
  <c r="J21" i="69"/>
  <c r="J26" i="69"/>
  <c r="N26" i="69" s="1"/>
  <c r="L9" i="69"/>
  <c r="N21" i="69" l="1"/>
  <c r="O21" i="69"/>
  <c r="G41" i="69" l="1"/>
  <c r="J29" i="69"/>
  <c r="N29" i="69" s="1"/>
  <c r="H13" i="15" l="1"/>
  <c r="I41" i="69" l="1"/>
  <c r="K19" i="69"/>
  <c r="I19" i="69"/>
  <c r="J23" i="69" l="1"/>
  <c r="J51" i="69"/>
  <c r="J50" i="69"/>
  <c r="J49" i="69"/>
  <c r="J48" i="69"/>
  <c r="J47" i="69"/>
  <c r="J46" i="69"/>
  <c r="J45" i="69"/>
  <c r="J44" i="69"/>
  <c r="J43" i="69"/>
  <c r="J40" i="69"/>
  <c r="J39" i="69"/>
  <c r="J38" i="69"/>
  <c r="J37" i="69"/>
  <c r="J36" i="69"/>
  <c r="J35" i="69"/>
  <c r="J34" i="69"/>
  <c r="J33" i="69"/>
  <c r="J32" i="69"/>
  <c r="J31" i="69"/>
  <c r="J30" i="69"/>
  <c r="M29" i="69"/>
  <c r="J28" i="69"/>
  <c r="M26" i="69"/>
  <c r="J25" i="69"/>
  <c r="J24" i="69"/>
  <c r="M22" i="69"/>
  <c r="M21" i="69"/>
  <c r="J20" i="69"/>
  <c r="J18" i="69"/>
  <c r="J17" i="69"/>
  <c r="J16" i="69"/>
  <c r="J15" i="69"/>
  <c r="J14" i="69"/>
  <c r="J13" i="69"/>
  <c r="J12" i="69"/>
  <c r="J11" i="69"/>
  <c r="H25" i="15"/>
  <c r="H17" i="15"/>
  <c r="D11" i="15"/>
  <c r="J19" i="69" l="1"/>
  <c r="M39" i="69"/>
  <c r="N39" i="69"/>
  <c r="M34" i="69"/>
  <c r="N34" i="69"/>
  <c r="M36" i="69"/>
  <c r="N36" i="69"/>
  <c r="M38" i="69"/>
  <c r="N38" i="69"/>
  <c r="M17" i="69"/>
  <c r="N17" i="69"/>
  <c r="M42" i="69"/>
  <c r="N42" i="69"/>
  <c r="M43" i="69"/>
  <c r="N43" i="69"/>
  <c r="M44" i="69"/>
  <c r="N44" i="69"/>
  <c r="M45" i="69"/>
  <c r="N45" i="69"/>
  <c r="M33" i="69"/>
  <c r="N33" i="69"/>
  <c r="M35" i="69"/>
  <c r="N35" i="69"/>
  <c r="M37" i="69"/>
  <c r="N37" i="69"/>
  <c r="N20" i="69"/>
  <c r="M24" i="69"/>
  <c r="N24" i="69"/>
  <c r="M25" i="69"/>
  <c r="N25" i="69"/>
  <c r="M27" i="69"/>
  <c r="N27" i="69"/>
  <c r="M30" i="69"/>
  <c r="N30" i="69"/>
  <c r="M11" i="69"/>
  <c r="N11" i="69"/>
  <c r="M13" i="69"/>
  <c r="N13" i="69"/>
  <c r="M15" i="69"/>
  <c r="N15" i="69"/>
  <c r="M16" i="69"/>
  <c r="N16" i="69"/>
  <c r="M18" i="69"/>
  <c r="N18" i="69"/>
  <c r="M46" i="69"/>
  <c r="N46" i="69"/>
  <c r="M28" i="69"/>
  <c r="N28" i="69"/>
  <c r="M31" i="69"/>
  <c r="N31" i="69"/>
  <c r="M12" i="69"/>
  <c r="N12" i="69"/>
  <c r="M14" i="69"/>
  <c r="N14" i="69"/>
  <c r="M40" i="69"/>
  <c r="N40" i="69"/>
  <c r="M47" i="69"/>
  <c r="N47" i="69"/>
  <c r="M48" i="69"/>
  <c r="N48" i="69"/>
  <c r="M49" i="69"/>
  <c r="N49" i="69"/>
  <c r="M50" i="69"/>
  <c r="N50" i="69"/>
  <c r="M51" i="69"/>
  <c r="N51" i="69"/>
  <c r="M32" i="69"/>
  <c r="N32" i="69"/>
  <c r="M23" i="69"/>
  <c r="M19" i="69" s="1"/>
  <c r="N23" i="69"/>
  <c r="D38" i="8" l="1"/>
  <c r="G27" i="8"/>
  <c r="J41" i="69" l="1"/>
  <c r="L19" i="69" l="1"/>
  <c r="O50" i="69"/>
  <c r="O49" i="69"/>
  <c r="O48" i="69"/>
  <c r="O46" i="69"/>
  <c r="O45" i="69"/>
  <c r="O44" i="69"/>
  <c r="O43" i="69"/>
  <c r="O39" i="69"/>
  <c r="O38" i="69"/>
  <c r="O37" i="69"/>
  <c r="O36" i="69"/>
  <c r="O35" i="69"/>
  <c r="O34" i="69"/>
  <c r="O33" i="69"/>
  <c r="O32" i="69"/>
  <c r="O31" i="69"/>
  <c r="O29" i="69"/>
  <c r="O28" i="69"/>
  <c r="O27" i="69"/>
  <c r="O26" i="69"/>
  <c r="O25" i="69"/>
  <c r="O24" i="69"/>
  <c r="O23" i="69"/>
  <c r="O22" i="69"/>
  <c r="O20" i="69"/>
  <c r="O18" i="69"/>
  <c r="O12" i="69"/>
  <c r="O11" i="69"/>
  <c r="N41" i="69"/>
  <c r="M41" i="69"/>
  <c r="B41" i="69"/>
  <c r="N19" i="69"/>
  <c r="B19" i="69"/>
  <c r="K9" i="69"/>
  <c r="G9" i="69"/>
  <c r="E9" i="69"/>
  <c r="B9" i="69"/>
  <c r="O41" i="69" l="1"/>
  <c r="G52" i="69"/>
  <c r="O19" i="69"/>
  <c r="B52" i="69"/>
  <c r="L52" i="69"/>
  <c r="E52" i="69"/>
  <c r="K52" i="69"/>
  <c r="I11" i="15" l="1"/>
  <c r="I9" i="15" s="1"/>
  <c r="H23" i="15"/>
  <c r="H27" i="15"/>
  <c r="G19" i="8" l="1"/>
  <c r="H19" i="8" l="1"/>
  <c r="F11" i="15" l="1"/>
  <c r="L11" i="12" l="1"/>
  <c r="L17" i="15" l="1"/>
  <c r="G44" i="8"/>
  <c r="G39" i="8"/>
  <c r="G33" i="8"/>
  <c r="G30" i="8"/>
  <c r="H27" i="8"/>
  <c r="H26" i="8"/>
  <c r="G25" i="8"/>
  <c r="H25" i="8" s="1"/>
  <c r="G23" i="8"/>
  <c r="G18" i="8"/>
  <c r="H30" i="8" l="1"/>
  <c r="H18" i="8"/>
  <c r="L9" i="12" l="1"/>
  <c r="J11" i="15" l="1"/>
  <c r="E24" i="15"/>
  <c r="E26" i="15"/>
  <c r="E14" i="15"/>
  <c r="E16" i="15"/>
  <c r="E18" i="15"/>
  <c r="H29" i="15"/>
  <c r="L29" i="15" s="1"/>
  <c r="L27" i="15"/>
  <c r="H26" i="15"/>
  <c r="L25" i="15"/>
  <c r="H24" i="15"/>
  <c r="L23" i="15"/>
  <c r="H19" i="15"/>
  <c r="L19" i="15" s="1"/>
  <c r="H15" i="15"/>
  <c r="E11" i="15" l="1"/>
  <c r="L24" i="15"/>
  <c r="H21" i="15"/>
  <c r="L26" i="15"/>
  <c r="L15" i="15"/>
  <c r="K15" i="15"/>
  <c r="G66" i="9" l="1"/>
  <c r="E24" i="8" l="1"/>
  <c r="L13" i="15" l="1"/>
  <c r="G29" i="8" l="1"/>
  <c r="G24" i="8"/>
  <c r="H24" i="8" s="1"/>
  <c r="G17" i="8"/>
  <c r="E21" i="15" l="1"/>
  <c r="E9" i="15" l="1"/>
  <c r="G11" i="15" l="1"/>
  <c r="G21" i="15"/>
  <c r="G9" i="15" l="1"/>
  <c r="B27" i="11" l="1"/>
  <c r="E27" i="11"/>
  <c r="G32" i="8" l="1"/>
  <c r="T23" i="15" l="1"/>
  <c r="B22" i="61" l="1"/>
  <c r="B5" i="61" l="1"/>
  <c r="F32" i="8" l="1"/>
  <c r="E32" i="8"/>
  <c r="D32" i="8"/>
  <c r="D27" i="11" l="1"/>
  <c r="C43" i="8" l="1"/>
  <c r="C42" i="8" s="1"/>
  <c r="C41" i="8" s="1"/>
  <c r="C40" i="8" s="1"/>
  <c r="C38" i="8"/>
  <c r="C37" i="8" s="1"/>
  <c r="C29" i="8"/>
  <c r="C24" i="8"/>
  <c r="C22" i="8"/>
  <c r="C20" i="8" s="1"/>
  <c r="C17" i="8"/>
  <c r="C15" i="8"/>
  <c r="B24" i="11" l="1"/>
  <c r="B25" i="10"/>
  <c r="C36" i="8"/>
  <c r="C34" i="8" s="1"/>
  <c r="B27" i="10"/>
  <c r="C13" i="8"/>
  <c r="C11" i="8" s="1"/>
  <c r="C9" i="8" l="1"/>
  <c r="B8" i="10"/>
  <c r="D15" i="8" l="1"/>
  <c r="D17" i="8"/>
  <c r="D22" i="8"/>
  <c r="D20" i="8" s="1"/>
  <c r="D24" i="8"/>
  <c r="D29" i="8"/>
  <c r="D37" i="8"/>
  <c r="D43" i="8"/>
  <c r="D42" i="8" s="1"/>
  <c r="D40" i="8" s="1"/>
  <c r="D24" i="11" s="1"/>
  <c r="D46" i="8"/>
  <c r="D13" i="8" l="1"/>
  <c r="D11" i="8" s="1"/>
  <c r="C27" i="10"/>
  <c r="D36" i="8"/>
  <c r="D34" i="8" s="1"/>
  <c r="C8" i="10" l="1"/>
  <c r="C16" i="10" s="1"/>
  <c r="D9" i="8"/>
  <c r="F43" i="8"/>
  <c r="F42" i="8" l="1"/>
  <c r="F41" i="8" s="1"/>
  <c r="F40" i="8" s="1"/>
  <c r="G43" i="8" l="1"/>
  <c r="F24" i="8" l="1"/>
  <c r="F38" i="8"/>
  <c r="F37" i="8" s="1"/>
  <c r="F36" i="8" s="1"/>
  <c r="F34" i="8" s="1"/>
  <c r="F29" i="8"/>
  <c r="F18" i="11" l="1"/>
  <c r="G38" i="8"/>
  <c r="G37" i="8" s="1"/>
  <c r="F27" i="11" s="1"/>
  <c r="H39" i="8"/>
  <c r="H38" i="8" s="1"/>
  <c r="H37" i="8" s="1"/>
  <c r="H36" i="8" s="1"/>
  <c r="E38" i="8"/>
  <c r="E27" i="10" l="1"/>
  <c r="G36" i="8"/>
  <c r="I44" i="8" l="1"/>
  <c r="E37" i="8"/>
  <c r="D27" i="10" s="1"/>
  <c r="F27" i="10" s="1"/>
  <c r="G42" i="8"/>
  <c r="G41" i="8" s="1"/>
  <c r="G40" i="8" s="1"/>
  <c r="G34" i="8" s="1"/>
  <c r="E36" i="8" l="1"/>
  <c r="E43" i="8"/>
  <c r="I43" i="8" s="1"/>
  <c r="I23" i="8"/>
  <c r="H23" i="8"/>
  <c r="G22" i="8"/>
  <c r="G20" i="8" s="1"/>
  <c r="F22" i="8"/>
  <c r="E22" i="8"/>
  <c r="E20" i="8" s="1"/>
  <c r="F20" i="8" l="1"/>
  <c r="E42" i="8"/>
  <c r="E41" i="8" s="1"/>
  <c r="E17" i="8"/>
  <c r="E15" i="8" s="1"/>
  <c r="E40" i="8" l="1"/>
  <c r="I42" i="8"/>
  <c r="F17" i="8"/>
  <c r="E34" i="8" l="1"/>
  <c r="G15" i="8"/>
  <c r="F48" i="8"/>
  <c r="H34" i="8" l="1"/>
  <c r="D5" i="61" l="1"/>
  <c r="F15" i="8" l="1"/>
  <c r="F13" i="8" s="1"/>
  <c r="F11" i="8" l="1"/>
  <c r="F9" i="8" s="1"/>
  <c r="G13" i="8"/>
  <c r="G11" i="8" l="1"/>
  <c r="F15" i="11"/>
  <c r="F12" i="11" s="1"/>
  <c r="E8" i="10" l="1"/>
  <c r="G9" i="8"/>
  <c r="F46" i="8" l="1"/>
  <c r="G46" i="8" s="1"/>
  <c r="C22" i="61" l="1"/>
  <c r="B20" i="10" l="1"/>
  <c r="C16" i="11" l="1"/>
  <c r="C24" i="11"/>
  <c r="C18" i="11"/>
  <c r="C19" i="11"/>
  <c r="C27" i="11"/>
  <c r="H28" i="15" l="1"/>
  <c r="H16" i="15"/>
  <c r="L16" i="15" l="1"/>
  <c r="H11" i="15"/>
  <c r="H9" i="15" l="1"/>
  <c r="L11" i="15"/>
  <c r="G47" i="8" l="1"/>
  <c r="G28" i="8"/>
  <c r="G21" i="8"/>
  <c r="H33" i="8" l="1"/>
  <c r="K28" i="15"/>
  <c r="K26" i="15"/>
  <c r="H22" i="15"/>
  <c r="K22" i="15" s="1"/>
  <c r="H20" i="15"/>
  <c r="K20" i="15" s="1"/>
  <c r="E46" i="8" l="1"/>
  <c r="C26" i="11" l="1"/>
  <c r="B26" i="11"/>
  <c r="C11" i="15" l="1"/>
  <c r="C21" i="15"/>
  <c r="D21" i="15"/>
  <c r="D9" i="15" s="1"/>
  <c r="C12" i="61"/>
  <c r="F21" i="15"/>
  <c r="J21" i="15"/>
  <c r="J9" i="15" l="1"/>
  <c r="B12" i="61"/>
  <c r="C9" i="15"/>
  <c r="L9" i="15" s="1"/>
  <c r="F9" i="15"/>
  <c r="E29" i="8" l="1"/>
  <c r="E13" i="8" s="1"/>
  <c r="H13" i="8" s="1"/>
  <c r="E11" i="8" l="1"/>
  <c r="D25" i="10"/>
  <c r="D23" i="10" s="1"/>
  <c r="H11" i="8" l="1"/>
  <c r="E9" i="8"/>
  <c r="H9" i="8" s="1"/>
  <c r="D8" i="10"/>
  <c r="E24" i="11" l="1"/>
  <c r="H42" i="8" l="1"/>
  <c r="B19" i="11"/>
  <c r="H28" i="8"/>
  <c r="B18" i="11"/>
  <c r="H21" i="8"/>
  <c r="B16" i="11"/>
  <c r="C56" i="12"/>
  <c r="D56" i="12"/>
  <c r="F56" i="12"/>
  <c r="H56" i="12"/>
  <c r="F57" i="12"/>
  <c r="I57" i="12" s="1"/>
  <c r="F58" i="12"/>
  <c r="J58" i="12" s="1"/>
  <c r="G25" i="11"/>
  <c r="D26" i="11"/>
  <c r="E26" i="11"/>
  <c r="D20" i="10" l="1"/>
  <c r="D18" i="10" s="1"/>
  <c r="K57" i="12"/>
  <c r="B22" i="11"/>
  <c r="B23" i="10"/>
  <c r="C17" i="11"/>
  <c r="C15" i="11" s="1"/>
  <c r="C12" i="11" s="1"/>
  <c r="B17" i="11"/>
  <c r="B15" i="11" s="1"/>
  <c r="E22" i="11"/>
  <c r="C22" i="11"/>
  <c r="J57" i="12"/>
  <c r="I56" i="12"/>
  <c r="J56" i="12"/>
  <c r="D22" i="11"/>
  <c r="C25" i="10"/>
  <c r="C23" i="10" s="1"/>
  <c r="E19" i="11"/>
  <c r="D19" i="11"/>
  <c r="E18" i="11"/>
  <c r="D18" i="11"/>
  <c r="E17" i="11"/>
  <c r="D17" i="11"/>
  <c r="E16" i="11"/>
  <c r="D16" i="11"/>
  <c r="K56" i="12"/>
  <c r="B12" i="11" l="1"/>
  <c r="B30" i="11" s="1"/>
  <c r="C30" i="11"/>
  <c r="E15" i="11"/>
  <c r="E12" i="11" s="1"/>
  <c r="D15" i="11"/>
  <c r="D12" i="11" s="1"/>
  <c r="D30" i="11" l="1"/>
  <c r="E30" i="11" l="1"/>
  <c r="G48" i="8" l="1"/>
  <c r="I22" i="8"/>
  <c r="I41" i="8"/>
  <c r="I48" i="8" l="1"/>
  <c r="I46" i="8"/>
  <c r="H46" i="8"/>
  <c r="E25" i="10"/>
  <c r="E23" i="10" s="1"/>
  <c r="H48" i="8"/>
  <c r="H22" i="8"/>
  <c r="H41" i="8"/>
  <c r="G27" i="11" l="1"/>
  <c r="F26" i="11"/>
  <c r="H27" i="11"/>
  <c r="F25" i="10"/>
  <c r="F23" i="10"/>
  <c r="G26" i="11" l="1"/>
  <c r="H26" i="11"/>
  <c r="I25" i="8" l="1"/>
  <c r="I26" i="8" l="1"/>
  <c r="I30" i="8" l="1"/>
  <c r="F19" i="11"/>
  <c r="H19" i="11" l="1"/>
  <c r="G19" i="11"/>
  <c r="I29" i="8"/>
  <c r="H29" i="8"/>
  <c r="I39" i="8" l="1"/>
  <c r="H20" i="8"/>
  <c r="F17" i="11"/>
  <c r="G17" i="11" s="1"/>
  <c r="I20" i="8"/>
  <c r="H17" i="11" l="1"/>
  <c r="I38" i="8"/>
  <c r="I37" i="8"/>
  <c r="I36" i="8" s="1"/>
  <c r="I34" i="8" l="1"/>
  <c r="I27" i="8"/>
  <c r="H40" i="8" l="1"/>
  <c r="F24" i="11"/>
  <c r="G24" i="11" s="1"/>
  <c r="I40" i="8"/>
  <c r="F22" i="11" l="1"/>
  <c r="H24" i="11"/>
  <c r="I19" i="8"/>
  <c r="G22" i="11" l="1"/>
  <c r="F30" i="11"/>
  <c r="H22" i="11"/>
  <c r="H17" i="8"/>
  <c r="I17" i="8"/>
  <c r="F16" i="11"/>
  <c r="H15" i="8"/>
  <c r="I15" i="8"/>
  <c r="G16" i="11" l="1"/>
  <c r="H16" i="11"/>
  <c r="I13" i="8"/>
  <c r="I11" i="8"/>
  <c r="F8" i="10" l="1"/>
  <c r="I9" i="8" l="1"/>
  <c r="I24" i="8"/>
  <c r="H15" i="11" l="1"/>
  <c r="G15" i="11"/>
  <c r="G18" i="11"/>
  <c r="H18" i="11"/>
  <c r="G12" i="11" l="1"/>
  <c r="H12" i="11"/>
  <c r="G30" i="11" l="1"/>
  <c r="H30" i="11"/>
  <c r="I18" i="8" l="1"/>
  <c r="D22" i="61" l="1"/>
  <c r="M25" i="15" l="1"/>
  <c r="M19" i="15"/>
  <c r="K29" i="15"/>
  <c r="M13" i="15"/>
  <c r="M29" i="15" l="1"/>
  <c r="L21" i="15"/>
  <c r="K25" i="15"/>
  <c r="K19" i="15"/>
  <c r="M17" i="15"/>
  <c r="M23" i="15"/>
  <c r="M27" i="15"/>
  <c r="K13" i="15"/>
  <c r="K23" i="15"/>
  <c r="K17" i="15"/>
  <c r="K27" i="15"/>
  <c r="M15" i="15"/>
  <c r="K21" i="15" l="1"/>
  <c r="M21" i="15"/>
  <c r="M11" i="15"/>
  <c r="K11" i="15"/>
  <c r="D12" i="61" l="1"/>
  <c r="M9" i="15"/>
  <c r="K9" i="15"/>
  <c r="E16" i="10" l="1"/>
  <c r="C20" i="10" l="1"/>
  <c r="C18" i="10" s="1"/>
  <c r="B18" i="10" l="1"/>
  <c r="B29" i="10" s="1"/>
  <c r="I9" i="69" l="1"/>
  <c r="J9" i="69" l="1"/>
  <c r="I52" i="69"/>
  <c r="N10" i="69"/>
  <c r="N9" i="69" s="1"/>
  <c r="N52" i="69" s="1"/>
  <c r="O10" i="69"/>
  <c r="M10" i="69"/>
  <c r="M9" i="69" s="1"/>
  <c r="M52" i="69" s="1"/>
  <c r="J52" i="69"/>
  <c r="O52" i="69" s="1"/>
  <c r="O9" i="69"/>
  <c r="E20" i="10" l="1"/>
  <c r="F20" i="10" l="1"/>
  <c r="F18" i="10" s="1"/>
  <c r="E18" i="10"/>
  <c r="E29" i="10" s="1"/>
</calcChain>
</file>

<file path=xl/sharedStrings.xml><?xml version="1.0" encoding="utf-8"?>
<sst xmlns="http://schemas.openxmlformats.org/spreadsheetml/2006/main" count="832" uniqueCount="374">
  <si>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</si>
  <si>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</si>
  <si>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</si>
  <si>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</si>
  <si>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</si>
  <si>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</si>
  <si>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</si>
  <si>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</si>
  <si>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</si>
  <si>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</si>
  <si>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</si>
  <si>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</si>
  <si>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</si>
  <si>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</si>
  <si>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</si>
  <si>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</si>
  <si>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</si>
  <si>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</si>
  <si>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</si>
  <si>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</si>
  <si>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</si>
  <si>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</si>
  <si>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</si>
  <si>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</si>
  <si>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</si>
  <si>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</si>
  <si>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</si>
  <si>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</si>
  <si>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</si>
  <si>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</si>
  <si>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</si>
  <si>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</si>
  <si>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</si>
  <si>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</si>
  <si>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</si>
  <si>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</si>
  <si>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</si>
  <si>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</si>
  <si>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</si>
  <si>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</si>
  <si>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</si>
  <si>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</si>
  <si>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</si>
  <si>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</si>
  <si>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</si>
  <si>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</si>
  <si>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</si>
  <si>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</si>
  <si>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</si>
  <si>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</si>
  <si>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</si>
  <si>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</si>
  <si>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</si>
  <si>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</si>
  <si>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</si>
  <si>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</si>
  <si>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</si>
  <si>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</si>
  <si>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</si>
  <si>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AJUSTE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</si>
  <si>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</si>
  <si>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</si>
  <si>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</si>
  <si>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</si>
  <si>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</si>
  <si>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</si>
  <si>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</si>
  <si>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</si>
  <si>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</si>
  <si>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</si>
  <si>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</si>
  <si>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</si>
  <si>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</si>
  <si>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</si>
  <si>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</si>
  <si>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</si>
  <si>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</si>
  <si>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</si>
  <si>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</si>
  <si>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</si>
  <si>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</si>
  <si>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</si>
  <si>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</si>
  <si>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</si>
  <si>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</si>
  <si>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</si>
  <si>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</si>
  <si>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</si>
  <si>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</si>
  <si>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</si>
  <si>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</si>
  <si>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</si>
  <si>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</si>
  <si>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</si>
  <si>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</si>
  <si>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</si>
  <si>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</si>
  <si>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</si>
  <si>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</si>
  <si>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</si>
  <si>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</si>
  <si>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</si>
  <si>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</si>
  <si>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</si>
  <si>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</si>
  <si>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</si>
  <si>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</si>
  <si>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</si>
  <si>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</si>
  <si>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</si>
  <si>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</si>
  <si>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</si>
  <si>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</si>
  <si>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</si>
  <si>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</si>
  <si>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</si>
  <si>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</si>
  <si>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</si>
  <si>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</si>
  <si>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</si>
  <si>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</si>
  <si>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</si>
  <si>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</si>
  <si>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</si>
  <si>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</si>
  <si>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</si>
  <si>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</si>
  <si>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</si>
  <si>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</si>
  <si>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</si>
  <si>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</si>
  <si>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</si>
  <si>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</si>
  <si>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</si>
  <si>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</si>
  <si>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</si>
  <si>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</si>
  <si>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</si>
  <si>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</si>
  <si>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</si>
  <si>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</si>
  <si>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</si>
  <si>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</si>
  <si>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PAGADO</t>
  </si>
  <si>
    <t xml:space="preserve">SALDO </t>
  </si>
  <si>
    <t>TRANSFERENCIAS CORR.</t>
  </si>
  <si>
    <t>PORCENTUAL</t>
  </si>
  <si>
    <t xml:space="preserve">   B. Transf. de Capital</t>
  </si>
  <si>
    <t>ABOLUTA</t>
  </si>
  <si>
    <t>CTA.</t>
  </si>
  <si>
    <t>UNIVERSIDAD TECNOLÓGICA DE PANAMÁ</t>
  </si>
  <si>
    <t>DIRECCIÓN NACIONAL DE PRESUPUESTO</t>
  </si>
  <si>
    <t>CRED. REC. POR TRANSF.</t>
  </si>
  <si>
    <t>PENSIÓN Y JUBILACIONES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</si>
  <si>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</si>
  <si>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</si>
  <si>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</si>
  <si>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</si>
  <si>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</si>
  <si>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</si>
  <si>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</si>
  <si>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</si>
  <si>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</si>
  <si>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</si>
  <si>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</si>
  <si>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</si>
  <si>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</si>
  <si>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</si>
  <si>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</si>
  <si>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</si>
  <si>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</si>
  <si>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</si>
  <si>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</si>
  <si>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</si>
  <si>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</si>
  <si>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</si>
  <si>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</si>
  <si>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</si>
  <si>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</si>
  <si>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</si>
  <si>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</si>
  <si>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</si>
  <si>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</si>
  <si>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</si>
  <si>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</si>
  <si>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</si>
  <si>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</si>
  <si>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</si>
  <si>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</si>
  <si>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</si>
  <si>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</si>
  <si>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</si>
  <si>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</si>
  <si>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</si>
  <si>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>Fuente: Dirección Nacional de Presupuesto.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</si>
  <si>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</si>
  <si>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</si>
  <si>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</si>
  <si>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</si>
  <si>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</si>
  <si>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</si>
  <si>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</si>
  <si>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</si>
  <si>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</si>
  <si>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</si>
  <si>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</si>
  <si>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</si>
  <si>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</si>
  <si>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</si>
  <si>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</si>
  <si>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</si>
  <si>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</si>
  <si>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</si>
  <si>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</si>
  <si>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</si>
  <si>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</si>
  <si>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</si>
  <si>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</si>
  <si>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</si>
  <si>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</si>
  <si>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</si>
  <si>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</si>
  <si>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</si>
  <si>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</si>
  <si>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</si>
  <si>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</si>
  <si>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</si>
  <si>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</si>
  <si>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</si>
  <si>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</si>
  <si>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</si>
  <si>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</si>
  <si>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</si>
  <si>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</si>
  <si>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P R E S U P U E S T O</t>
  </si>
  <si>
    <t>Ingresos Corrientes</t>
  </si>
  <si>
    <t>Ingresos de Capital</t>
  </si>
  <si>
    <t>EGRESOS</t>
  </si>
  <si>
    <t>Dirección y Administración General</t>
  </si>
  <si>
    <t>Educación Superior Tecnológica</t>
  </si>
  <si>
    <t>Investigación, Post Grado y Extensión</t>
  </si>
  <si>
    <t>Construcciones Educativas</t>
  </si>
  <si>
    <t>Mobiliario, Libros y Equipos Educ.</t>
  </si>
  <si>
    <t>Transferencia de Tecnología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</si>
  <si>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</si>
  <si>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</si>
  <si>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</si>
  <si>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</si>
  <si>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</si>
  <si>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</si>
  <si>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</si>
  <si>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</si>
  <si>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</si>
  <si>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</si>
  <si>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</si>
  <si>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</si>
  <si>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</si>
  <si>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</si>
  <si>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</si>
  <si>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</si>
  <si>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</si>
  <si>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</si>
  <si>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</si>
  <si>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</si>
  <si>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</si>
  <si>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</si>
  <si>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</si>
  <si>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</si>
  <si>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</si>
  <si>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</si>
  <si>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</si>
  <si>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</si>
  <si>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</si>
  <si>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</si>
  <si>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</si>
  <si>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</si>
  <si>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  BALANCE PRESUPUESTARIO ACUMULADO DE INGRESOS</t>
  </si>
  <si>
    <t>RECAUDACIÓN</t>
  </si>
  <si>
    <t xml:space="preserve">          4.  Inversiones Directas</t>
  </si>
  <si>
    <t>}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</si>
  <si>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</si>
  <si>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</si>
  <si>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</si>
  <si>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</si>
  <si>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              c. Empresas Públicas</t>
  </si>
  <si>
    <t>DEVENGADO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</si>
  <si>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</si>
  <si>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</si>
  <si>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</si>
  <si>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</si>
  <si>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</si>
  <si>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</si>
  <si>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</si>
  <si>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</si>
  <si>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</si>
  <si>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</si>
  <si>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</si>
  <si>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</si>
  <si>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</si>
  <si>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</si>
  <si>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</si>
  <si>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</si>
  <si>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</si>
  <si>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</si>
  <si>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</si>
  <si>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</si>
  <si>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</si>
  <si>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</si>
  <si>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</si>
  <si>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</si>
  <si>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</si>
  <si>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</si>
  <si>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</si>
  <si>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</si>
  <si>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</si>
  <si>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</si>
  <si>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</si>
  <si>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</si>
  <si>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</si>
  <si>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</si>
  <si>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</si>
  <si>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</si>
  <si>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</si>
  <si>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</si>
  <si>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</si>
  <si>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</si>
  <si>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</si>
  <si>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</si>
  <si>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</si>
  <si>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</si>
  <si>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</si>
  <si>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</si>
  <si>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</si>
  <si>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</si>
  <si>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</si>
  <si>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</si>
  <si>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</si>
  <si>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</si>
  <si>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</si>
  <si>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</si>
  <si>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</si>
  <si>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</si>
  <si>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</si>
  <si>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</si>
  <si>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</si>
  <si>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</si>
  <si>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</si>
  <si>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</si>
  <si>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</si>
  <si>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</si>
  <si>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</si>
  <si>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</si>
  <si>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</si>
  <si>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</si>
  <si>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</si>
  <si>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</si>
  <si>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</si>
  <si>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</si>
  <si>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</si>
  <si>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SALDO ANUAL CONTENCIÓN</t>
  </si>
  <si>
    <t>MODIFICADO contención</t>
  </si>
  <si>
    <t>ASIGNADO contención</t>
  </si>
  <si>
    <t xml:space="preserve"> NIVEL DE CUENTA:AL 30 DE AGOSTO DE 2024 (En Balboas)</t>
  </si>
  <si>
    <t xml:space="preserve">   AL 30 DE AGOSTO DE 2024 (En Balboas)</t>
  </si>
  <si>
    <t>1P19:S520386377.84</t>
  </si>
  <si>
    <t>POR PROGRAMA  AL 30 DE AGOSTO DE 2024</t>
  </si>
  <si>
    <t>AL 30 DE AGOSTO DE  2024 (En Balboas)</t>
  </si>
  <si>
    <t>AL 30 DE AGOSTO DE 2024 (En Balboas)</t>
  </si>
  <si>
    <t>RESUMEN DEL PRESUPUESTO AL MES DE AGOSTO  2024</t>
  </si>
  <si>
    <t xml:space="preserve">           1.1.1.2 Otros Servicios-Autogestión</t>
  </si>
  <si>
    <t>AL 30 DE AGOSTO DE 2024 (Miles de Balboas)</t>
  </si>
  <si>
    <t>U+N30+A2:N53+A2:N54</t>
  </si>
  <si>
    <t>CONTENCIÓN 1</t>
  </si>
  <si>
    <t>TRASLADOS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</si>
</sst>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69" formatCode="#,##0.0"/>
    <numFmt numFmtId="170" formatCode="0.00\ "/>
    <numFmt numFmtId="171" formatCode="#,###"/>
    <numFmt numFmtId="172" formatCode="#,##0.0\ ;\(#,##0.0\)"/>
    <numFmt numFmtId="173" formatCode="0.00\ ;[Red]\-0.00\ "/>
    <numFmt numFmtId="174" formatCode="#,##0.0_);[Red]\(#,##0.0\)"/>
    <numFmt numFmtId="175" formatCode="#,##0.00000000000000"/>
    <numFmt numFmtId="176" formatCode="#,##0.0000000000000"/>
    <numFmt numFmtId="177" formatCode="#,##0.000"/>
    <numFmt numFmtId="178" formatCode="_([$B/.-180A]\ * #,##0.00_);_([$B/.-180A]\ * \(#,##0.00\);_([$B/.-180A]\ * &quot;-&quot;??_);_(@_)"/>
    <numFmt numFmtId="179" formatCode="#,##0.00_ ;\-#,##0.00\ "/>
  </numFmts>
  <fonts count="5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3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5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  <xf numFmtId="0" fontId="47" fillId="0" borderId="0"/>
    <xf numFmtId="0" fontId="47" fillId="0" borderId="0"/>
    <xf numFmtId="0" fontId="47" fillId="0" borderId="0"/>
    <xf numFmtId="0" fontId="8" fillId="0" borderId="0">
      <alignment wrapText="1"/>
    </xf>
    <xf numFmtId="0" fontId="47" fillId="0" borderId="0"/>
    <xf numFmtId="164" fontId="8" fillId="0" borderId="0" applyFont="0" applyFill="0" applyBorder="0" applyAlignment="0" applyProtection="0"/>
  </cellStyleXfs>
  <cellXfs count="548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2" fillId="0" borderId="0" xfId="0" applyFont="1"/>
    <xf numFmtId="49" fontId="15" fillId="0" borderId="0" xfId="0" applyNumberFormat="1" applyFont="1"/>
    <xf numFmtId="3" fontId="16" fillId="0" borderId="0" xfId="0" applyNumberFormat="1" applyFont="1"/>
    <xf numFmtId="37" fontId="16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7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5" fillId="0" borderId="0" xfId="0" applyNumberFormat="1" applyFont="1"/>
    <xf numFmtId="0" fontId="11" fillId="0" borderId="0" xfId="0" applyFont="1"/>
    <xf numFmtId="3" fontId="21" fillId="0" borderId="0" xfId="0" applyNumberFormat="1" applyFont="1" applyAlignment="1">
      <alignment horizontal="left"/>
    </xf>
    <xf numFmtId="4" fontId="0" fillId="0" borderId="0" xfId="0" applyNumberFormat="1"/>
    <xf numFmtId="0" fontId="19" fillId="0" borderId="0" xfId="0" applyFont="1"/>
    <xf numFmtId="4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167" fontId="0" fillId="0" borderId="0" xfId="0" applyNumberFormat="1"/>
    <xf numFmtId="0" fontId="10" fillId="5" borderId="0" xfId="0" applyFont="1" applyFill="1" applyAlignment="1">
      <alignment horizontal="center"/>
    </xf>
    <xf numFmtId="3" fontId="9" fillId="0" borderId="0" xfId="0" applyNumberFormat="1" applyFont="1"/>
    <xf numFmtId="0" fontId="24" fillId="0" borderId="0" xfId="0" applyFont="1"/>
    <xf numFmtId="3" fontId="3" fillId="0" borderId="0" xfId="0" applyNumberFormat="1" applyFont="1"/>
    <xf numFmtId="175" fontId="0" fillId="0" borderId="0" xfId="0" applyNumberFormat="1"/>
    <xf numFmtId="176" fontId="0" fillId="0" borderId="0" xfId="0" applyNumberFormat="1"/>
    <xf numFmtId="0" fontId="27" fillId="0" borderId="0" xfId="0" applyFont="1"/>
    <xf numFmtId="0" fontId="28" fillId="0" borderId="0" xfId="0" applyFont="1"/>
    <xf numFmtId="3" fontId="22" fillId="0" borderId="0" xfId="0" applyNumberFormat="1" applyFont="1"/>
    <xf numFmtId="3" fontId="29" fillId="0" borderId="0" xfId="0" applyNumberFormat="1" applyFont="1"/>
    <xf numFmtId="3" fontId="32" fillId="0" borderId="0" xfId="0" applyNumberFormat="1" applyFont="1"/>
    <xf numFmtId="3" fontId="26" fillId="0" borderId="0" xfId="0" applyNumberFormat="1" applyFont="1"/>
    <xf numFmtId="3" fontId="33" fillId="0" borderId="0" xfId="0" applyNumberFormat="1" applyFont="1"/>
    <xf numFmtId="3" fontId="31" fillId="0" borderId="0" xfId="0" applyNumberFormat="1" applyFont="1"/>
    <xf numFmtId="0" fontId="0" fillId="0" borderId="0" xfId="0" applyAlignment="1">
      <alignment horizontal="center"/>
    </xf>
    <xf numFmtId="169" fontId="18" fillId="0" borderId="0" xfId="0" applyNumberFormat="1" applyFont="1"/>
    <xf numFmtId="0" fontId="29" fillId="0" borderId="0" xfId="0" applyFont="1"/>
    <xf numFmtId="0" fontId="35" fillId="0" borderId="37" xfId="0" applyFont="1" applyBorder="1" applyAlignment="1">
      <alignment horizontal="left"/>
    </xf>
    <xf numFmtId="37" fontId="25" fillId="0" borderId="14" xfId="0" applyNumberFormat="1" applyFont="1" applyBorder="1"/>
    <xf numFmtId="167" fontId="25" fillId="0" borderId="15" xfId="0" applyNumberFormat="1" applyFont="1" applyBorder="1"/>
    <xf numFmtId="0" fontId="25" fillId="0" borderId="57" xfId="0" applyFont="1" applyBorder="1"/>
    <xf numFmtId="0" fontId="25" fillId="0" borderId="14" xfId="0" applyFont="1" applyBorder="1" applyAlignment="1">
      <alignment horizontal="center"/>
    </xf>
    <xf numFmtId="3" fontId="25" fillId="0" borderId="14" xfId="0" applyNumberFormat="1" applyFont="1" applyBorder="1"/>
    <xf numFmtId="0" fontId="3" fillId="0" borderId="22" xfId="0" applyFont="1" applyBorder="1"/>
    <xf numFmtId="0" fontId="35" fillId="0" borderId="61" xfId="0" applyFont="1" applyBorder="1" applyAlignment="1">
      <alignment horizontal="left"/>
    </xf>
    <xf numFmtId="3" fontId="34" fillId="0" borderId="14" xfId="0" applyNumberFormat="1" applyFont="1" applyBorder="1"/>
    <xf numFmtId="0" fontId="23" fillId="0" borderId="0" xfId="0" applyFont="1"/>
    <xf numFmtId="0" fontId="36" fillId="0" borderId="0" xfId="0" applyFont="1"/>
    <xf numFmtId="3" fontId="1" fillId="0" borderId="3" xfId="0" applyNumberFormat="1" applyFont="1" applyBorder="1"/>
    <xf numFmtId="0" fontId="29" fillId="0" borderId="7" xfId="0" applyFont="1" applyBorder="1"/>
    <xf numFmtId="3" fontId="2" fillId="0" borderId="3" xfId="0" applyNumberFormat="1" applyFont="1" applyBorder="1"/>
    <xf numFmtId="3" fontId="0" fillId="0" borderId="9" xfId="0" applyNumberFormat="1" applyBorder="1"/>
    <xf numFmtId="3" fontId="32" fillId="0" borderId="9" xfId="0" applyNumberFormat="1" applyFont="1" applyBorder="1" applyAlignment="1">
      <alignment horizontal="right"/>
    </xf>
    <xf numFmtId="169" fontId="2" fillId="0" borderId="5" xfId="0" applyNumberFormat="1" applyFont="1" applyBorder="1" applyAlignment="1">
      <alignment horizontal="center"/>
    </xf>
    <xf numFmtId="0" fontId="30" fillId="0" borderId="0" xfId="0" applyFont="1"/>
    <xf numFmtId="0" fontId="6" fillId="0" borderId="37" xfId="0" applyFont="1" applyBorder="1"/>
    <xf numFmtId="3" fontId="0" fillId="0" borderId="10" xfId="0" applyNumberFormat="1" applyBorder="1"/>
    <xf numFmtId="3" fontId="0" fillId="0" borderId="37" xfId="0" applyNumberFormat="1" applyBorder="1"/>
    <xf numFmtId="0" fontId="0" fillId="0" borderId="10" xfId="0" applyBorder="1"/>
    <xf numFmtId="0" fontId="31" fillId="0" borderId="37" xfId="0" applyFont="1" applyBorder="1"/>
    <xf numFmtId="3" fontId="31" fillId="2" borderId="9" xfId="0" applyNumberFormat="1" applyFont="1" applyFill="1" applyBorder="1"/>
    <xf numFmtId="166" fontId="31" fillId="2" borderId="9" xfId="0" applyNumberFormat="1" applyFont="1" applyFill="1" applyBorder="1"/>
    <xf numFmtId="167" fontId="31" fillId="0" borderId="10" xfId="0" applyNumberFormat="1" applyFont="1" applyBorder="1" applyAlignment="1">
      <alignment horizontal="center"/>
    </xf>
    <xf numFmtId="3" fontId="31" fillId="0" borderId="9" xfId="0" applyNumberFormat="1" applyFont="1" applyBorder="1"/>
    <xf numFmtId="166" fontId="31" fillId="0" borderId="9" xfId="0" applyNumberFormat="1" applyFont="1" applyBorder="1"/>
    <xf numFmtId="0" fontId="31" fillId="0" borderId="10" xfId="0" applyFont="1" applyBorder="1" applyAlignment="1">
      <alignment horizontal="center"/>
    </xf>
    <xf numFmtId="0" fontId="31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0" fontId="32" fillId="0" borderId="9" xfId="0" applyFont="1" applyBorder="1"/>
    <xf numFmtId="3" fontId="32" fillId="0" borderId="9" xfId="0" applyNumberFormat="1" applyFont="1" applyBorder="1"/>
    <xf numFmtId="166" fontId="32" fillId="2" borderId="9" xfId="0" applyNumberFormat="1" applyFont="1" applyFill="1" applyBorder="1"/>
    <xf numFmtId="167" fontId="32" fillId="0" borderId="10" xfId="0" applyNumberFormat="1" applyFont="1" applyBorder="1" applyAlignment="1">
      <alignment horizontal="center"/>
    </xf>
    <xf numFmtId="0" fontId="32" fillId="0" borderId="37" xfId="0" applyFont="1" applyBorder="1"/>
    <xf numFmtId="168" fontId="31" fillId="0" borderId="37" xfId="2" applyFont="1" applyFill="1" applyBorder="1" applyAlignment="1" applyProtection="1"/>
    <xf numFmtId="3" fontId="31" fillId="0" borderId="9" xfId="0" applyNumberFormat="1" applyFont="1" applyBorder="1" applyAlignment="1">
      <alignment horizontal="right"/>
    </xf>
    <xf numFmtId="3" fontId="32" fillId="0" borderId="44" xfId="0" applyNumberFormat="1" applyFont="1" applyBorder="1"/>
    <xf numFmtId="167" fontId="32" fillId="0" borderId="45" xfId="0" applyNumberFormat="1" applyFont="1" applyBorder="1" applyAlignment="1">
      <alignment horizontal="center"/>
    </xf>
    <xf numFmtId="37" fontId="32" fillId="0" borderId="9" xfId="0" applyNumberFormat="1" applyFont="1" applyBorder="1"/>
    <xf numFmtId="0" fontId="32" fillId="0" borderId="38" xfId="0" applyFont="1" applyBorder="1"/>
    <xf numFmtId="0" fontId="32" fillId="0" borderId="73" xfId="0" applyFont="1" applyBorder="1"/>
    <xf numFmtId="0" fontId="32" fillId="0" borderId="44" xfId="0" applyFont="1" applyBorder="1"/>
    <xf numFmtId="37" fontId="32" fillId="0" borderId="44" xfId="0" applyNumberFormat="1" applyFont="1" applyBorder="1"/>
    <xf numFmtId="0" fontId="32" fillId="0" borderId="45" xfId="0" applyFont="1" applyBorder="1"/>
    <xf numFmtId="0" fontId="32" fillId="0" borderId="35" xfId="0" applyFont="1" applyBorder="1"/>
    <xf numFmtId="0" fontId="32" fillId="0" borderId="0" xfId="0" applyFont="1"/>
    <xf numFmtId="3" fontId="32" fillId="0" borderId="35" xfId="0" applyNumberFormat="1" applyFont="1" applyBorder="1"/>
    <xf numFmtId="37" fontId="32" fillId="0" borderId="35" xfId="0" applyNumberFormat="1" applyFont="1" applyBorder="1"/>
    <xf numFmtId="0" fontId="22" fillId="0" borderId="0" xfId="0" applyFont="1"/>
    <xf numFmtId="37" fontId="0" fillId="0" borderId="0" xfId="0" applyNumberFormat="1"/>
    <xf numFmtId="0" fontId="18" fillId="0" borderId="0" xfId="0" applyFont="1"/>
    <xf numFmtId="0" fontId="38" fillId="0" borderId="0" xfId="0" applyFont="1"/>
    <xf numFmtId="0" fontId="37" fillId="0" borderId="0" xfId="0" applyFont="1"/>
    <xf numFmtId="0" fontId="0" fillId="0" borderId="25" xfId="0" applyBorder="1"/>
    <xf numFmtId="0" fontId="29" fillId="0" borderId="19" xfId="0" applyFont="1" applyBorder="1" applyAlignment="1">
      <alignment horizontal="center"/>
    </xf>
    <xf numFmtId="0" fontId="29" fillId="0" borderId="12" xfId="0" applyFont="1" applyBorder="1"/>
    <xf numFmtId="0" fontId="29" fillId="0" borderId="12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0" fillId="0" borderId="21" xfId="0" applyBorder="1"/>
    <xf numFmtId="0" fontId="31" fillId="0" borderId="19" xfId="0" applyFont="1" applyBorder="1" applyAlignment="1">
      <alignment horizontal="center"/>
    </xf>
    <xf numFmtId="0" fontId="31" fillId="0" borderId="12" xfId="0" applyFont="1" applyBorder="1"/>
    <xf numFmtId="3" fontId="31" fillId="0" borderId="12" xfId="0" applyNumberFormat="1" applyFont="1" applyBorder="1"/>
    <xf numFmtId="166" fontId="31" fillId="0" borderId="12" xfId="0" applyNumberFormat="1" applyFont="1" applyBorder="1"/>
    <xf numFmtId="167" fontId="31" fillId="0" borderId="13" xfId="0" applyNumberFormat="1" applyFont="1" applyBorder="1"/>
    <xf numFmtId="0" fontId="27" fillId="0" borderId="19" xfId="0" applyFont="1" applyBorder="1" applyAlignment="1">
      <alignment horizontal="left"/>
    </xf>
    <xf numFmtId="0" fontId="27" fillId="0" borderId="12" xfId="0" applyFont="1" applyBorder="1"/>
    <xf numFmtId="3" fontId="27" fillId="0" borderId="12" xfId="0" applyNumberFormat="1" applyFont="1" applyBorder="1"/>
    <xf numFmtId="166" fontId="27" fillId="0" borderId="12" xfId="0" applyNumberFormat="1" applyFont="1" applyBorder="1"/>
    <xf numFmtId="167" fontId="27" fillId="0" borderId="13" xfId="0" applyNumberFormat="1" applyFont="1" applyBorder="1"/>
    <xf numFmtId="0" fontId="32" fillId="0" borderId="19" xfId="0" applyFont="1" applyBorder="1" applyAlignment="1">
      <alignment horizontal="left"/>
    </xf>
    <xf numFmtId="0" fontId="32" fillId="0" borderId="12" xfId="0" applyFont="1" applyBorder="1" applyAlignment="1">
      <alignment horizontal="center"/>
    </xf>
    <xf numFmtId="3" fontId="32" fillId="0" borderId="12" xfId="0" applyNumberFormat="1" applyFont="1" applyBorder="1"/>
    <xf numFmtId="166" fontId="32" fillId="0" borderId="12" xfId="0" applyNumberFormat="1" applyFont="1" applyBorder="1" applyAlignment="1">
      <alignment horizontal="right"/>
    </xf>
    <xf numFmtId="167" fontId="32" fillId="0" borderId="13" xfId="0" applyNumberFormat="1" applyFont="1" applyBorder="1"/>
    <xf numFmtId="0" fontId="32" fillId="0" borderId="19" xfId="0" applyFont="1" applyBorder="1"/>
    <xf numFmtId="166" fontId="32" fillId="0" borderId="12" xfId="0" applyNumberFormat="1" applyFont="1" applyBorder="1"/>
    <xf numFmtId="0" fontId="27" fillId="0" borderId="19" xfId="0" applyFont="1" applyBorder="1"/>
    <xf numFmtId="0" fontId="27" fillId="0" borderId="12" xfId="0" applyFont="1" applyBorder="1" applyAlignment="1">
      <alignment horizontal="center"/>
    </xf>
    <xf numFmtId="166" fontId="27" fillId="0" borderId="12" xfId="0" applyNumberFormat="1" applyFont="1" applyBorder="1" applyAlignment="1">
      <alignment horizontal="right"/>
    </xf>
    <xf numFmtId="0" fontId="31" fillId="0" borderId="12" xfId="0" applyFont="1" applyBorder="1" applyAlignment="1">
      <alignment horizontal="center"/>
    </xf>
    <xf numFmtId="166" fontId="31" fillId="0" borderId="12" xfId="0" applyNumberFormat="1" applyFont="1" applyBorder="1" applyAlignment="1">
      <alignment horizontal="right"/>
    </xf>
    <xf numFmtId="0" fontId="31" fillId="0" borderId="19" xfId="0" applyFont="1" applyBorder="1" applyAlignment="1">
      <alignment horizontal="center" vertical="center" wrapText="1"/>
    </xf>
    <xf numFmtId="3" fontId="27" fillId="4" borderId="12" xfId="0" applyNumberFormat="1" applyFont="1" applyFill="1" applyBorder="1"/>
    <xf numFmtId="37" fontId="27" fillId="0" borderId="12" xfId="0" applyNumberFormat="1" applyFont="1" applyBorder="1"/>
    <xf numFmtId="3" fontId="31" fillId="4" borderId="9" xfId="0" applyNumberFormat="1" applyFont="1" applyFill="1" applyBorder="1"/>
    <xf numFmtId="169" fontId="31" fillId="4" borderId="10" xfId="0" applyNumberFormat="1" applyFont="1" applyFill="1" applyBorder="1"/>
    <xf numFmtId="169" fontId="31" fillId="0" borderId="10" xfId="0" applyNumberFormat="1" applyFont="1" applyBorder="1"/>
    <xf numFmtId="0" fontId="31" fillId="4" borderId="37" xfId="0" applyFont="1" applyFill="1" applyBorder="1" applyAlignment="1">
      <alignment horizontal="left"/>
    </xf>
    <xf numFmtId="0" fontId="27" fillId="4" borderId="37" xfId="0" applyFont="1" applyFill="1" applyBorder="1" applyAlignment="1">
      <alignment horizontal="left"/>
    </xf>
    <xf numFmtId="3" fontId="27" fillId="4" borderId="9" xfId="0" applyNumberFormat="1" applyFont="1" applyFill="1" applyBorder="1"/>
    <xf numFmtId="169" fontId="27" fillId="4" borderId="10" xfId="0" applyNumberFormat="1" applyFont="1" applyFill="1" applyBorder="1"/>
    <xf numFmtId="0" fontId="32" fillId="4" borderId="37" xfId="0" applyFont="1" applyFill="1" applyBorder="1"/>
    <xf numFmtId="3" fontId="32" fillId="4" borderId="9" xfId="0" applyNumberFormat="1" applyFont="1" applyFill="1" applyBorder="1"/>
    <xf numFmtId="169" fontId="32" fillId="4" borderId="10" xfId="0" applyNumberFormat="1" applyFont="1" applyFill="1" applyBorder="1"/>
    <xf numFmtId="0" fontId="32" fillId="4" borderId="37" xfId="0" applyFont="1" applyFill="1" applyBorder="1" applyAlignment="1">
      <alignment horizontal="left"/>
    </xf>
    <xf numFmtId="0" fontId="32" fillId="4" borderId="9" xfId="0" applyFont="1" applyFill="1" applyBorder="1" applyAlignment="1">
      <alignment horizontal="left"/>
    </xf>
    <xf numFmtId="0" fontId="31" fillId="4" borderId="9" xfId="0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right"/>
    </xf>
    <xf numFmtId="166" fontId="31" fillId="4" borderId="9" xfId="0" applyNumberFormat="1" applyFont="1" applyFill="1" applyBorder="1" applyAlignment="1">
      <alignment horizontal="right"/>
    </xf>
    <xf numFmtId="0" fontId="39" fillId="4" borderId="37" xfId="0" applyFont="1" applyFill="1" applyBorder="1" applyAlignment="1">
      <alignment horizontal="left"/>
    </xf>
    <xf numFmtId="0" fontId="39" fillId="4" borderId="9" xfId="0" applyFont="1" applyFill="1" applyBorder="1" applyAlignment="1">
      <alignment horizontal="left"/>
    </xf>
    <xf numFmtId="3" fontId="27" fillId="6" borderId="9" xfId="0" applyNumberFormat="1" applyFont="1" applyFill="1" applyBorder="1"/>
    <xf numFmtId="0" fontId="31" fillId="4" borderId="61" xfId="0" applyFont="1" applyFill="1" applyBorder="1" applyAlignment="1">
      <alignment horizontal="left"/>
    </xf>
    <xf numFmtId="166" fontId="31" fillId="4" borderId="39" xfId="0" applyNumberFormat="1" applyFont="1" applyFill="1" applyBorder="1"/>
    <xf numFmtId="37" fontId="31" fillId="4" borderId="39" xfId="0" applyNumberFormat="1" applyFont="1" applyFill="1" applyBorder="1" applyAlignment="1">
      <alignment horizontal="right"/>
    </xf>
    <xf numFmtId="169" fontId="27" fillId="4" borderId="31" xfId="0" applyNumberFormat="1" applyFont="1" applyFill="1" applyBorder="1"/>
    <xf numFmtId="0" fontId="29" fillId="4" borderId="0" xfId="0" applyFont="1" applyFill="1"/>
    <xf numFmtId="0" fontId="6" fillId="4" borderId="0" xfId="0" applyFont="1" applyFill="1"/>
    <xf numFmtId="0" fontId="0" fillId="0" borderId="22" xfId="0" applyBorder="1"/>
    <xf numFmtId="0" fontId="40" fillId="5" borderId="37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0" fillId="4" borderId="9" xfId="0" applyFont="1" applyFill="1" applyBorder="1"/>
    <xf numFmtId="0" fontId="40" fillId="4" borderId="9" xfId="0" applyFont="1" applyFill="1" applyBorder="1" applyAlignment="1">
      <alignment horizontal="center"/>
    </xf>
    <xf numFmtId="0" fontId="40" fillId="4" borderId="1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7" fillId="0" borderId="9" xfId="0" applyFont="1" applyBorder="1"/>
    <xf numFmtId="0" fontId="27" fillId="0" borderId="10" xfId="0" applyFont="1" applyBorder="1" applyAlignment="1">
      <alignment horizontal="center"/>
    </xf>
    <xf numFmtId="0" fontId="31" fillId="0" borderId="9" xfId="0" applyFont="1" applyBorder="1"/>
    <xf numFmtId="169" fontId="31" fillId="0" borderId="9" xfId="0" applyNumberFormat="1" applyFont="1" applyBorder="1"/>
    <xf numFmtId="172" fontId="31" fillId="0" borderId="9" xfId="0" applyNumberFormat="1" applyFont="1" applyBorder="1"/>
    <xf numFmtId="0" fontId="27" fillId="0" borderId="37" xfId="0" applyFont="1" applyBorder="1"/>
    <xf numFmtId="169" fontId="27" fillId="0" borderId="9" xfId="0" applyNumberFormat="1" applyFont="1" applyBorder="1"/>
    <xf numFmtId="167" fontId="27" fillId="0" borderId="10" xfId="0" applyNumberFormat="1" applyFont="1" applyBorder="1" applyAlignment="1">
      <alignment horizontal="center"/>
    </xf>
    <xf numFmtId="169" fontId="32" fillId="0" borderId="9" xfId="0" applyNumberFormat="1" applyFont="1" applyBorder="1"/>
    <xf numFmtId="172" fontId="32" fillId="0" borderId="9" xfId="0" applyNumberFormat="1" applyFont="1" applyBorder="1"/>
    <xf numFmtId="172" fontId="27" fillId="0" borderId="9" xfId="0" applyNumberFormat="1" applyFont="1" applyBorder="1"/>
    <xf numFmtId="0" fontId="32" fillId="0" borderId="9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174" fontId="32" fillId="0" borderId="39" xfId="0" applyNumberFormat="1" applyFont="1" applyBorder="1"/>
    <xf numFmtId="169" fontId="32" fillId="0" borderId="39" xfId="0" applyNumberFormat="1" applyFont="1" applyBorder="1"/>
    <xf numFmtId="172" fontId="30" fillId="0" borderId="39" xfId="0" applyNumberFormat="1" applyFont="1" applyBorder="1"/>
    <xf numFmtId="167" fontId="32" fillId="0" borderId="31" xfId="0" applyNumberFormat="1" applyFont="1" applyBorder="1" applyAlignment="1">
      <alignment horizontal="center"/>
    </xf>
    <xf numFmtId="0" fontId="6" fillId="0" borderId="62" xfId="0" applyFont="1" applyBorder="1"/>
    <xf numFmtId="2" fontId="6" fillId="0" borderId="62" xfId="0" applyNumberFormat="1" applyFont="1" applyBorder="1"/>
    <xf numFmtId="169" fontId="6" fillId="0" borderId="0" xfId="0" applyNumberFormat="1" applyFont="1"/>
    <xf numFmtId="0" fontId="0" fillId="0" borderId="62" xfId="0" applyBorder="1" applyAlignment="1">
      <alignment horizontal="center"/>
    </xf>
    <xf numFmtId="49" fontId="0" fillId="0" borderId="0" xfId="0" applyNumberFormat="1"/>
    <xf numFmtId="2" fontId="18" fillId="0" borderId="0" xfId="0" applyNumberFormat="1" applyFont="1"/>
    <xf numFmtId="0" fontId="31" fillId="0" borderId="7" xfId="0" applyFont="1" applyBorder="1"/>
    <xf numFmtId="0" fontId="31" fillId="0" borderId="3" xfId="0" applyFont="1" applyBorder="1"/>
    <xf numFmtId="3" fontId="31" fillId="0" borderId="3" xfId="0" applyNumberFormat="1" applyFont="1" applyBorder="1"/>
    <xf numFmtId="169" fontId="31" fillId="0" borderId="5" xfId="0" applyNumberFormat="1" applyFont="1" applyBorder="1" applyAlignment="1">
      <alignment horizontal="center"/>
    </xf>
    <xf numFmtId="0" fontId="39" fillId="0" borderId="3" xfId="0" applyFont="1" applyBorder="1"/>
    <xf numFmtId="3" fontId="27" fillId="0" borderId="3" xfId="0" applyNumberFormat="1" applyFont="1" applyBorder="1"/>
    <xf numFmtId="169" fontId="27" fillId="0" borderId="5" xfId="0" applyNumberFormat="1" applyFont="1" applyBorder="1" applyAlignment="1">
      <alignment horizontal="center"/>
    </xf>
    <xf numFmtId="0" fontId="41" fillId="0" borderId="3" xfId="0" applyFont="1" applyBorder="1"/>
    <xf numFmtId="169" fontId="1" fillId="0" borderId="5" xfId="0" applyNumberFormat="1" applyFont="1" applyBorder="1" applyAlignment="1">
      <alignment horizontal="center"/>
    </xf>
    <xf numFmtId="0" fontId="37" fillId="0" borderId="3" xfId="0" applyFont="1" applyBorder="1"/>
    <xf numFmtId="0" fontId="42" fillId="0" borderId="3" xfId="0" applyFont="1" applyBorder="1"/>
    <xf numFmtId="0" fontId="18" fillId="0" borderId="65" xfId="0" applyFont="1" applyBorder="1"/>
    <xf numFmtId="3" fontId="2" fillId="0" borderId="65" xfId="0" applyNumberFormat="1" applyFont="1" applyBorder="1"/>
    <xf numFmtId="3" fontId="1" fillId="0" borderId="65" xfId="0" applyNumberFormat="1" applyFont="1" applyBorder="1"/>
    <xf numFmtId="169" fontId="2" fillId="0" borderId="66" xfId="0" applyNumberFormat="1" applyFont="1" applyBorder="1" applyAlignment="1">
      <alignment horizontal="center"/>
    </xf>
    <xf numFmtId="0" fontId="0" fillId="0" borderId="67" xfId="0" applyBorder="1" applyAlignment="1">
      <alignment horizontal="center"/>
    </xf>
    <xf numFmtId="3" fontId="0" fillId="0" borderId="3" xfId="0" applyNumberFormat="1" applyBorder="1"/>
    <xf numFmtId="3" fontId="18" fillId="0" borderId="0" xfId="0" applyNumberFormat="1" applyFont="1"/>
    <xf numFmtId="0" fontId="22" fillId="5" borderId="7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4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2" fillId="0" borderId="3" xfId="0" applyFont="1" applyBorder="1"/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2" fillId="0" borderId="3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49" fontId="44" fillId="0" borderId="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right"/>
    </xf>
    <xf numFmtId="0" fontId="22" fillId="0" borderId="27" xfId="0" applyFont="1" applyBorder="1"/>
    <xf numFmtId="3" fontId="0" fillId="0" borderId="27" xfId="0" applyNumberFormat="1" applyBorder="1"/>
    <xf numFmtId="3" fontId="0" fillId="0" borderId="30" xfId="0" applyNumberFormat="1" applyBorder="1"/>
    <xf numFmtId="0" fontId="0" fillId="0" borderId="28" xfId="0" applyBorder="1"/>
    <xf numFmtId="3" fontId="2" fillId="0" borderId="0" xfId="0" applyNumberFormat="1" applyFont="1"/>
    <xf numFmtId="177" fontId="0" fillId="0" borderId="0" xfId="0" applyNumberFormat="1"/>
    <xf numFmtId="0" fontId="30" fillId="0" borderId="61" xfId="0" applyFont="1" applyBorder="1" applyAlignment="1">
      <alignment horizontal="center" vertical="center"/>
    </xf>
    <xf numFmtId="0" fontId="22" fillId="5" borderId="92" xfId="0" applyFont="1" applyFill="1" applyBorder="1" applyAlignment="1">
      <alignment horizontal="center" vertical="center"/>
    </xf>
    <xf numFmtId="0" fontId="22" fillId="5" borderId="90" xfId="0" applyFont="1" applyFill="1" applyBorder="1" applyAlignment="1">
      <alignment horizontal="center" vertical="center"/>
    </xf>
    <xf numFmtId="0" fontId="22" fillId="5" borderId="90" xfId="0" applyFont="1" applyFill="1" applyBorder="1" applyAlignment="1">
      <alignment horizontal="center"/>
    </xf>
    <xf numFmtId="3" fontId="22" fillId="5" borderId="90" xfId="0" applyNumberFormat="1" applyFont="1" applyFill="1" applyBorder="1" applyAlignment="1">
      <alignment horizontal="center"/>
    </xf>
    <xf numFmtId="3" fontId="22" fillId="5" borderId="90" xfId="0" applyNumberFormat="1" applyFont="1" applyFill="1" applyBorder="1" applyAlignment="1">
      <alignment horizontal="center" vertical="center" wrapText="1"/>
    </xf>
    <xf numFmtId="0" fontId="22" fillId="5" borderId="90" xfId="0" applyFont="1" applyFill="1" applyBorder="1" applyAlignment="1">
      <alignment horizontal="center" vertical="center" wrapText="1"/>
    </xf>
    <xf numFmtId="173" fontId="22" fillId="5" borderId="90" xfId="0" applyNumberFormat="1" applyFont="1" applyFill="1" applyBorder="1" applyAlignment="1">
      <alignment horizontal="center"/>
    </xf>
    <xf numFmtId="49" fontId="22" fillId="5" borderId="33" xfId="0" applyNumberFormat="1" applyFont="1" applyFill="1" applyBorder="1" applyAlignment="1">
      <alignment horizontal="center" vertical="center" wrapText="1"/>
    </xf>
    <xf numFmtId="3" fontId="6" fillId="0" borderId="94" xfId="0" applyNumberFormat="1" applyFont="1" applyBorder="1" applyAlignment="1">
      <alignment vertical="center"/>
    </xf>
    <xf numFmtId="3" fontId="0" fillId="0" borderId="89" xfId="0" applyNumberFormat="1" applyBorder="1" applyAlignment="1">
      <alignment horizontal="left"/>
    </xf>
    <xf numFmtId="3" fontId="0" fillId="0" borderId="23" xfId="0" applyNumberFormat="1" applyBorder="1"/>
    <xf numFmtId="169" fontId="0" fillId="0" borderId="33" xfId="0" applyNumberFormat="1" applyBorder="1"/>
    <xf numFmtId="3" fontId="0" fillId="0" borderId="89" xfId="0" applyNumberFormat="1" applyBorder="1"/>
    <xf numFmtId="3" fontId="0" fillId="0" borderId="89" xfId="0" applyNumberFormat="1" applyBorder="1" applyAlignment="1">
      <alignment horizontal="left" vertical="center" wrapText="1"/>
    </xf>
    <xf numFmtId="0" fontId="0" fillId="0" borderId="89" xfId="0" applyBorder="1"/>
    <xf numFmtId="0" fontId="0" fillId="0" borderId="90" xfId="0" applyBorder="1"/>
    <xf numFmtId="0" fontId="0" fillId="0" borderId="23" xfId="0" applyBorder="1"/>
    <xf numFmtId="0" fontId="0" fillId="0" borderId="33" xfId="0" applyBorder="1"/>
    <xf numFmtId="3" fontId="0" fillId="0" borderId="98" xfId="0" applyNumberFormat="1" applyBorder="1" applyAlignment="1">
      <alignment horizontal="left"/>
    </xf>
    <xf numFmtId="0" fontId="8" fillId="0" borderId="89" xfId="0" applyFont="1" applyBorder="1"/>
    <xf numFmtId="0" fontId="8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/>
    <xf numFmtId="0" fontId="30" fillId="0" borderId="89" xfId="0" applyFont="1" applyBorder="1" applyAlignment="1">
      <alignment horizontal="center" vertical="center"/>
    </xf>
    <xf numFmtId="3" fontId="45" fillId="0" borderId="0" xfId="0" applyNumberFormat="1" applyFont="1" applyAlignment="1">
      <alignment horizontal="right" vertical="center"/>
    </xf>
    <xf numFmtId="3" fontId="45" fillId="0" borderId="23" xfId="0" applyNumberFormat="1" applyFont="1" applyBorder="1" applyAlignment="1">
      <alignment horizontal="right" vertical="center"/>
    </xf>
    <xf numFmtId="0" fontId="24" fillId="0" borderId="89" xfId="0" applyFont="1" applyBorder="1"/>
    <xf numFmtId="3" fontId="24" fillId="0" borderId="0" xfId="0" applyNumberFormat="1" applyFont="1" applyAlignment="1">
      <alignment horizontal="left"/>
    </xf>
    <xf numFmtId="3" fontId="24" fillId="0" borderId="23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 vertical="center"/>
    </xf>
    <xf numFmtId="3" fontId="30" fillId="0" borderId="23" xfId="0" applyNumberFormat="1" applyFont="1" applyBorder="1" applyAlignment="1">
      <alignment horizontal="right" vertical="center"/>
    </xf>
    <xf numFmtId="0" fontId="6" fillId="0" borderId="89" xfId="0" applyFont="1" applyBorder="1" applyAlignment="1">
      <alignment horizontal="center" vertical="center"/>
    </xf>
    <xf numFmtId="3" fontId="43" fillId="0" borderId="0" xfId="0" applyNumberFormat="1" applyFont="1" applyAlignment="1">
      <alignment horizontal="right" vertical="center"/>
    </xf>
    <xf numFmtId="3" fontId="43" fillId="0" borderId="23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23" xfId="0" applyNumberFormat="1" applyFont="1" applyBorder="1"/>
    <xf numFmtId="0" fontId="24" fillId="0" borderId="88" xfId="0" applyFont="1" applyBorder="1"/>
    <xf numFmtId="0" fontId="24" fillId="0" borderId="68" xfId="0" applyFont="1" applyBorder="1"/>
    <xf numFmtId="0" fontId="24" fillId="0" borderId="91" xfId="0" applyFont="1" applyBorder="1"/>
    <xf numFmtId="3" fontId="24" fillId="0" borderId="68" xfId="0" applyNumberFormat="1" applyFont="1" applyBorder="1"/>
    <xf numFmtId="0" fontId="24" fillId="0" borderId="35" xfId="0" applyFont="1" applyBorder="1"/>
    <xf numFmtId="0" fontId="30" fillId="0" borderId="37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6" fillId="0" borderId="102" xfId="0" applyFont="1" applyBorder="1" applyAlignment="1">
      <alignment horizontal="center" vertical="center"/>
    </xf>
    <xf numFmtId="3" fontId="24" fillId="0" borderId="0" xfId="0" applyNumberFormat="1" applyFont="1"/>
    <xf numFmtId="0" fontId="31" fillId="0" borderId="19" xfId="0" applyFont="1" applyBorder="1" applyAlignment="1">
      <alignment horizontal="center" vertical="center"/>
    </xf>
    <xf numFmtId="3" fontId="4" fillId="0" borderId="0" xfId="0" applyNumberFormat="1" applyFont="1"/>
    <xf numFmtId="178" fontId="36" fillId="0" borderId="0" xfId="0" applyNumberFormat="1" applyFont="1" applyAlignment="1">
      <alignment horizontal="center"/>
    </xf>
    <xf numFmtId="3" fontId="23" fillId="0" borderId="0" xfId="0" applyNumberFormat="1" applyFont="1"/>
    <xf numFmtId="3" fontId="36" fillId="0" borderId="0" xfId="0" applyNumberFormat="1" applyFont="1" applyAlignment="1">
      <alignment horizontal="center"/>
    </xf>
    <xf numFmtId="3" fontId="8" fillId="0" borderId="102" xfId="0" applyNumberFormat="1" applyFont="1" applyBorder="1" applyAlignment="1">
      <alignment horizontal="right"/>
    </xf>
    <xf numFmtId="3" fontId="6" fillId="0" borderId="89" xfId="0" applyNumberFormat="1" applyFont="1" applyBorder="1" applyAlignment="1">
      <alignment horizontal="left"/>
    </xf>
    <xf numFmtId="169" fontId="6" fillId="0" borderId="112" xfId="0" applyNumberFormat="1" applyFont="1" applyBorder="1"/>
    <xf numFmtId="0" fontId="46" fillId="0" borderId="0" xfId="0" applyFont="1" applyAlignment="1">
      <alignment vertical="center"/>
    </xf>
    <xf numFmtId="0" fontId="22" fillId="5" borderId="117" xfId="0" applyFont="1" applyFill="1" applyBorder="1" applyAlignment="1">
      <alignment horizontal="center"/>
    </xf>
    <xf numFmtId="0" fontId="29" fillId="7" borderId="48" xfId="0" applyFont="1" applyFill="1" applyBorder="1" applyAlignment="1">
      <alignment horizontal="center" vertical="center" wrapText="1"/>
    </xf>
    <xf numFmtId="0" fontId="29" fillId="7" borderId="70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52" xfId="0" applyFont="1" applyFill="1" applyBorder="1" applyAlignment="1">
      <alignment horizontal="center" vertical="center"/>
    </xf>
    <xf numFmtId="0" fontId="29" fillId="7" borderId="50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0" fontId="29" fillId="7" borderId="60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/>
    </xf>
    <xf numFmtId="0" fontId="29" fillId="7" borderId="42" xfId="0" applyFont="1" applyFill="1" applyBorder="1" applyAlignment="1">
      <alignment horizontal="center"/>
    </xf>
    <xf numFmtId="0" fontId="29" fillId="7" borderId="115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/>
    </xf>
    <xf numFmtId="0" fontId="29" fillId="7" borderId="116" xfId="0" applyFont="1" applyFill="1" applyBorder="1" applyAlignment="1">
      <alignment horizontal="center" vertical="center"/>
    </xf>
    <xf numFmtId="3" fontId="29" fillId="7" borderId="91" xfId="0" applyNumberFormat="1" applyFont="1" applyFill="1" applyBorder="1" applyAlignment="1">
      <alignment horizontal="center" vertical="center"/>
    </xf>
    <xf numFmtId="3" fontId="29" fillId="7" borderId="104" xfId="0" applyNumberFormat="1" applyFont="1" applyFill="1" applyBorder="1" applyAlignment="1">
      <alignment horizontal="center" vertical="center" wrapText="1"/>
    </xf>
    <xf numFmtId="173" fontId="29" fillId="7" borderId="91" xfId="0" applyNumberFormat="1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29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 wrapText="1"/>
    </xf>
    <xf numFmtId="0" fontId="6" fillId="8" borderId="79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/>
    </xf>
    <xf numFmtId="3" fontId="0" fillId="0" borderId="90" xfId="0" applyNumberFormat="1" applyBorder="1"/>
    <xf numFmtId="3" fontId="0" fillId="0" borderId="113" xfId="0" applyNumberFormat="1" applyBorder="1" applyAlignment="1">
      <alignment horizontal="left"/>
    </xf>
    <xf numFmtId="171" fontId="0" fillId="0" borderId="0" xfId="0" applyNumberFormat="1"/>
    <xf numFmtId="0" fontId="29" fillId="5" borderId="7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3" fontId="29" fillId="0" borderId="114" xfId="0" applyNumberFormat="1" applyFont="1" applyBorder="1" applyAlignment="1">
      <alignment vertical="center"/>
    </xf>
    <xf numFmtId="3" fontId="22" fillId="0" borderId="23" xfId="0" applyNumberFormat="1" applyFont="1" applyBorder="1"/>
    <xf numFmtId="3" fontId="29" fillId="0" borderId="23" xfId="0" applyNumberFormat="1" applyFont="1" applyBorder="1"/>
    <xf numFmtId="0" fontId="1" fillId="7" borderId="111" xfId="0" applyFont="1" applyFill="1" applyBorder="1" applyAlignment="1">
      <alignment horizontal="center" vertical="center" wrapText="1"/>
    </xf>
    <xf numFmtId="0" fontId="1" fillId="7" borderId="110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128" xfId="0" applyFont="1" applyFill="1" applyBorder="1" applyAlignment="1">
      <alignment horizontal="center" vertical="center"/>
    </xf>
    <xf numFmtId="3" fontId="43" fillId="0" borderId="3" xfId="0" applyNumberFormat="1" applyFont="1" applyBorder="1" applyAlignment="1">
      <alignment horizontal="right" vertical="center"/>
    </xf>
    <xf numFmtId="3" fontId="29" fillId="0" borderId="3" xfId="0" applyNumberFormat="1" applyFont="1" applyBorder="1"/>
    <xf numFmtId="169" fontId="29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69" fontId="6" fillId="0" borderId="5" xfId="0" applyNumberFormat="1" applyFont="1" applyBorder="1" applyAlignment="1">
      <alignment horizontal="center"/>
    </xf>
    <xf numFmtId="3" fontId="22" fillId="0" borderId="3" xfId="0" applyNumberFormat="1" applyFont="1" applyBorder="1"/>
    <xf numFmtId="169" fontId="22" fillId="0" borderId="5" xfId="0" applyNumberFormat="1" applyFont="1" applyBorder="1" applyAlignment="1">
      <alignment horizontal="center"/>
    </xf>
    <xf numFmtId="0" fontId="22" fillId="0" borderId="7" xfId="0" applyFont="1" applyBorder="1"/>
    <xf numFmtId="0" fontId="40" fillId="0" borderId="7" xfId="0" applyFont="1" applyBorder="1"/>
    <xf numFmtId="0" fontId="48" fillId="0" borderId="7" xfId="0" applyFont="1" applyBorder="1"/>
    <xf numFmtId="0" fontId="49" fillId="0" borderId="7" xfId="0" applyFont="1" applyBorder="1"/>
    <xf numFmtId="0" fontId="29" fillId="0" borderId="64" xfId="0" applyFont="1" applyBorder="1"/>
    <xf numFmtId="0" fontId="6" fillId="0" borderId="7" xfId="0" applyFont="1" applyBorder="1"/>
    <xf numFmtId="0" fontId="6" fillId="0" borderId="3" xfId="0" applyFont="1" applyBorder="1"/>
    <xf numFmtId="169" fontId="43" fillId="0" borderId="5" xfId="0" applyNumberFormat="1" applyFont="1" applyBorder="1" applyAlignment="1">
      <alignment horizontal="center" vertical="center"/>
    </xf>
    <xf numFmtId="0" fontId="29" fillId="7" borderId="132" xfId="0" applyFont="1" applyFill="1" applyBorder="1" applyAlignment="1">
      <alignment horizontal="center" vertical="center" wrapText="1"/>
    </xf>
    <xf numFmtId="169" fontId="32" fillId="4" borderId="9" xfId="0" applyNumberFormat="1" applyFont="1" applyFill="1" applyBorder="1"/>
    <xf numFmtId="0" fontId="18" fillId="0" borderId="0" xfId="0" applyFont="1" applyAlignment="1">
      <alignment horizontal="center"/>
    </xf>
    <xf numFmtId="0" fontId="50" fillId="0" borderId="0" xfId="0" applyFont="1"/>
    <xf numFmtId="0" fontId="1" fillId="8" borderId="114" xfId="0" applyFont="1" applyFill="1" applyBorder="1" applyAlignment="1">
      <alignment horizontal="center" vertical="center" wrapText="1"/>
    </xf>
    <xf numFmtId="0" fontId="1" fillId="8" borderId="107" xfId="0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3" fontId="29" fillId="0" borderId="107" xfId="0" applyNumberFormat="1" applyFont="1" applyBorder="1" applyAlignment="1">
      <alignment vertical="center"/>
    </xf>
    <xf numFmtId="167" fontId="6" fillId="0" borderId="112" xfId="0" applyNumberFormat="1" applyFont="1" applyBorder="1" applyAlignment="1">
      <alignment vertical="center"/>
    </xf>
    <xf numFmtId="0" fontId="2" fillId="0" borderId="113" xfId="0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113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12" xfId="0" applyNumberFormat="1" applyFont="1" applyBorder="1" applyAlignment="1">
      <alignment vertical="center"/>
    </xf>
    <xf numFmtId="167" fontId="0" fillId="0" borderId="33" xfId="0" applyNumberFormat="1" applyBorder="1" applyAlignment="1">
      <alignment vertical="center"/>
    </xf>
    <xf numFmtId="3" fontId="2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3" fontId="22" fillId="0" borderId="12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179" fontId="22" fillId="0" borderId="19" xfId="9" applyNumberFormat="1" applyFont="1" applyBorder="1" applyAlignment="1">
      <alignment vertical="center"/>
    </xf>
    <xf numFmtId="179" fontId="22" fillId="0" borderId="12" xfId="9" applyNumberFormat="1" applyFont="1" applyBorder="1" applyAlignment="1">
      <alignment vertical="center"/>
    </xf>
    <xf numFmtId="0" fontId="6" fillId="0" borderId="109" xfId="0" applyFont="1" applyBorder="1" applyAlignment="1">
      <alignment horizontal="center" vertical="center"/>
    </xf>
    <xf numFmtId="3" fontId="29" fillId="4" borderId="120" xfId="0" applyNumberFormat="1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2" fillId="0" borderId="80" xfId="0" applyNumberFormat="1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4" borderId="23" xfId="0" applyNumberFormat="1" applyFont="1" applyFill="1" applyBorder="1" applyAlignment="1">
      <alignment vertical="center"/>
    </xf>
    <xf numFmtId="3" fontId="29" fillId="0" borderId="114" xfId="0" applyNumberFormat="1" applyFont="1" applyBorder="1" applyAlignment="1">
      <alignment horizontal="right" vertical="center"/>
    </xf>
    <xf numFmtId="0" fontId="29" fillId="7" borderId="91" xfId="0" applyFont="1" applyFill="1" applyBorder="1" applyAlignment="1">
      <alignment horizontal="center" vertical="center"/>
    </xf>
    <xf numFmtId="3" fontId="29" fillId="7" borderId="106" xfId="0" applyNumberFormat="1" applyFont="1" applyFill="1" applyBorder="1" applyAlignment="1">
      <alignment horizontal="center" vertical="center" wrapText="1"/>
    </xf>
    <xf numFmtId="3" fontId="31" fillId="0" borderId="135" xfId="0" applyNumberFormat="1" applyFont="1" applyBorder="1"/>
    <xf numFmtId="3" fontId="31" fillId="0" borderId="136" xfId="0" applyNumberFormat="1" applyFont="1" applyBorder="1"/>
    <xf numFmtId="3" fontId="32" fillId="0" borderId="136" xfId="0" applyNumberFormat="1" applyFont="1" applyBorder="1"/>
    <xf numFmtId="3" fontId="27" fillId="4" borderId="136" xfId="0" applyNumberFormat="1" applyFont="1" applyFill="1" applyBorder="1"/>
    <xf numFmtId="3" fontId="31" fillId="0" borderId="137" xfId="0" applyNumberFormat="1" applyFont="1" applyBorder="1"/>
    <xf numFmtId="3" fontId="29" fillId="7" borderId="116" xfId="0" applyNumberFormat="1" applyFont="1" applyFill="1" applyBorder="1" applyAlignment="1">
      <alignment horizontal="center" vertical="center"/>
    </xf>
    <xf numFmtId="3" fontId="22" fillId="5" borderId="138" xfId="0" applyNumberFormat="1" applyFont="1" applyFill="1" applyBorder="1" applyAlignment="1">
      <alignment horizontal="center"/>
    </xf>
    <xf numFmtId="3" fontId="6" fillId="0" borderId="139" xfId="0" applyNumberFormat="1" applyFont="1" applyBorder="1" applyAlignment="1">
      <alignment vertical="center"/>
    </xf>
    <xf numFmtId="0" fontId="0" fillId="0" borderId="138" xfId="0" applyBorder="1"/>
    <xf numFmtId="3" fontId="29" fillId="0" borderId="94" xfId="0" applyNumberFormat="1" applyFont="1" applyBorder="1" applyAlignment="1">
      <alignment horizontal="left" vertical="center"/>
    </xf>
    <xf numFmtId="3" fontId="29" fillId="0" borderId="23" xfId="0" applyNumberFormat="1" applyFont="1" applyBorder="1" applyAlignment="1">
      <alignment horizontal="left"/>
    </xf>
    <xf numFmtId="3" fontId="22" fillId="0" borderId="23" xfId="0" applyNumberFormat="1" applyFont="1" applyBorder="1" applyAlignment="1">
      <alignment horizontal="left"/>
    </xf>
    <xf numFmtId="3" fontId="29" fillId="0" borderId="96" xfId="0" applyNumberFormat="1" applyFont="1" applyBorder="1" applyAlignment="1">
      <alignment horizontal="left" vertical="center"/>
    </xf>
    <xf numFmtId="3" fontId="22" fillId="0" borderId="23" xfId="0" applyNumberFormat="1" applyFont="1" applyBorder="1" applyAlignment="1">
      <alignment vertical="center" wrapText="1"/>
    </xf>
    <xf numFmtId="3" fontId="29" fillId="0" borderId="94" xfId="0" applyNumberFormat="1" applyFont="1" applyBorder="1" applyAlignment="1">
      <alignment vertical="center"/>
    </xf>
    <xf numFmtId="3" fontId="22" fillId="0" borderId="97" xfId="0" applyNumberFormat="1" applyFont="1" applyBorder="1"/>
    <xf numFmtId="0" fontId="22" fillId="0" borderId="90" xfId="0" applyFont="1" applyBorder="1"/>
    <xf numFmtId="3" fontId="29" fillId="0" borderId="95" xfId="0" applyNumberFormat="1" applyFont="1" applyBorder="1" applyAlignment="1">
      <alignment horizontal="left" vertical="center"/>
    </xf>
    <xf numFmtId="3" fontId="29" fillId="0" borderId="96" xfId="0" applyNumberFormat="1" applyFont="1" applyBorder="1" applyAlignment="1">
      <alignment vertical="center"/>
    </xf>
    <xf numFmtId="169" fontId="29" fillId="0" borderId="112" xfId="0" applyNumberFormat="1" applyFont="1" applyBorder="1" applyAlignment="1">
      <alignment vertical="center"/>
    </xf>
    <xf numFmtId="3" fontId="29" fillId="0" borderId="93" xfId="0" applyNumberFormat="1" applyFont="1" applyBorder="1" applyAlignment="1">
      <alignment horizontal="left" vertical="center"/>
    </xf>
    <xf numFmtId="169" fontId="29" fillId="0" borderId="33" xfId="0" applyNumberFormat="1" applyFont="1" applyBorder="1"/>
    <xf numFmtId="3" fontId="29" fillId="0" borderId="139" xfId="0" applyNumberFormat="1" applyFont="1" applyBorder="1" applyAlignment="1">
      <alignment vertical="center"/>
    </xf>
    <xf numFmtId="3" fontId="29" fillId="0" borderId="99" xfId="0" applyNumberFormat="1" applyFont="1" applyBorder="1" applyAlignment="1">
      <alignment horizontal="center" vertical="center"/>
    </xf>
    <xf numFmtId="3" fontId="29" fillId="0" borderId="99" xfId="0" applyNumberFormat="1" applyFont="1" applyBorder="1" applyAlignment="1">
      <alignment vertical="center"/>
    </xf>
    <xf numFmtId="3" fontId="29" fillId="7" borderId="107" xfId="0" applyNumberFormat="1" applyFont="1" applyFill="1" applyBorder="1" applyAlignment="1">
      <alignment vertical="center" wrapText="1"/>
    </xf>
    <xf numFmtId="0" fontId="1" fillId="7" borderId="10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/>
    </xf>
    <xf numFmtId="3" fontId="43" fillId="0" borderId="7" xfId="0" applyNumberFormat="1" applyFont="1" applyBorder="1" applyAlignment="1">
      <alignment horizontal="right" vertical="center"/>
    </xf>
    <xf numFmtId="3" fontId="31" fillId="0" borderId="7" xfId="0" applyNumberFormat="1" applyFont="1" applyBorder="1"/>
    <xf numFmtId="3" fontId="6" fillId="0" borderId="7" xfId="0" applyNumberFormat="1" applyFont="1" applyBorder="1"/>
    <xf numFmtId="3" fontId="22" fillId="0" borderId="7" xfId="0" applyNumberFormat="1" applyFont="1" applyBorder="1"/>
    <xf numFmtId="3" fontId="29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3" fontId="27" fillId="0" borderId="7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/>
    <xf numFmtId="3" fontId="2" fillId="0" borderId="64" xfId="0" applyNumberFormat="1" applyFont="1" applyBorder="1"/>
    <xf numFmtId="0" fontId="29" fillId="7" borderId="109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6" fillId="0" borderId="5" xfId="0" applyNumberFormat="1" applyFont="1" applyBorder="1" applyAlignment="1">
      <alignment vertical="center"/>
    </xf>
    <xf numFmtId="0" fontId="29" fillId="7" borderId="14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0" fillId="0" borderId="7" xfId="0" applyNumberFormat="1" applyBorder="1"/>
    <xf numFmtId="0" fontId="29" fillId="7" borderId="146" xfId="0" applyFont="1" applyFill="1" applyBorder="1" applyAlignment="1">
      <alignment horizontal="center" vertical="center"/>
    </xf>
    <xf numFmtId="3" fontId="29" fillId="0" borderId="148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/>
    </xf>
    <xf numFmtId="0" fontId="1" fillId="8" borderId="145" xfId="0" applyFont="1" applyFill="1" applyBorder="1" applyAlignment="1">
      <alignment horizontal="center" vertical="center" wrapText="1"/>
    </xf>
    <xf numFmtId="37" fontId="0" fillId="0" borderId="23" xfId="0" applyNumberFormat="1" applyBorder="1"/>
    <xf numFmtId="4" fontId="0" fillId="0" borderId="27" xfId="0" applyNumberFormat="1" applyBorder="1"/>
    <xf numFmtId="4" fontId="3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0" fillId="0" borderId="11" xfId="0" applyNumberFormat="1" applyBorder="1"/>
    <xf numFmtId="3" fontId="0" fillId="0" borderId="5" xfId="0" applyNumberFormat="1" applyBorder="1" applyAlignment="1">
      <alignment horizontal="center"/>
    </xf>
    <xf numFmtId="3" fontId="29" fillId="9" borderId="107" xfId="0" applyNumberFormat="1" applyFont="1" applyFill="1" applyBorder="1" applyAlignment="1">
      <alignment vertical="center"/>
    </xf>
    <xf numFmtId="3" fontId="22" fillId="9" borderId="19" xfId="0" applyNumberFormat="1" applyFont="1" applyFill="1" applyBorder="1" applyAlignment="1">
      <alignment vertical="center"/>
    </xf>
    <xf numFmtId="3" fontId="29" fillId="9" borderId="120" xfId="0" applyNumberFormat="1" applyFont="1" applyFill="1" applyBorder="1" applyAlignment="1">
      <alignment vertical="center"/>
    </xf>
    <xf numFmtId="3" fontId="29" fillId="9" borderId="114" xfId="0" applyNumberFormat="1" applyFont="1" applyFill="1" applyBorder="1" applyAlignment="1">
      <alignment vertical="center"/>
    </xf>
    <xf numFmtId="3" fontId="22" fillId="9" borderId="0" xfId="0" applyNumberFormat="1" applyFont="1" applyFill="1" applyAlignment="1">
      <alignment vertical="center"/>
    </xf>
    <xf numFmtId="3" fontId="29" fillId="9" borderId="114" xfId="0" applyNumberFormat="1" applyFont="1" applyFill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29" fillId="0" borderId="145" xfId="0" applyNumberFormat="1" applyFont="1" applyBorder="1" applyAlignment="1">
      <alignment vertical="center"/>
    </xf>
    <xf numFmtId="3" fontId="22" fillId="9" borderId="113" xfId="0" applyNumberFormat="1" applyFont="1" applyFill="1" applyBorder="1" applyAlignment="1">
      <alignment vertical="center"/>
    </xf>
    <xf numFmtId="3" fontId="29" fillId="9" borderId="145" xfId="0" applyNumberFormat="1" applyFont="1" applyFill="1" applyBorder="1" applyAlignment="1">
      <alignment vertical="center"/>
    </xf>
    <xf numFmtId="3" fontId="22" fillId="9" borderId="116" xfId="0" applyNumberFormat="1" applyFont="1" applyFill="1" applyBorder="1" applyAlignment="1">
      <alignment vertical="center"/>
    </xf>
    <xf numFmtId="4" fontId="22" fillId="0" borderId="23" xfId="0" applyNumberFormat="1" applyFont="1" applyBorder="1" applyAlignment="1">
      <alignment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vertical="center"/>
    </xf>
    <xf numFmtId="169" fontId="0" fillId="0" borderId="5" xfId="0" applyNumberFormat="1" applyBorder="1"/>
    <xf numFmtId="169" fontId="0" fillId="0" borderId="5" xfId="0" applyNumberForma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0" fillId="0" borderId="3" xfId="0" applyNumberFormat="1" applyBorder="1"/>
    <xf numFmtId="3" fontId="22" fillId="9" borderId="19" xfId="9" applyNumberFormat="1" applyFont="1" applyFill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3" fontId="29" fillId="4" borderId="152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9" fillId="0" borderId="145" xfId="0" applyNumberFormat="1" applyFont="1" applyBorder="1" applyAlignment="1">
      <alignment horizontal="right" vertical="center"/>
    </xf>
    <xf numFmtId="0" fontId="18" fillId="0" borderId="68" xfId="0" applyFont="1" applyBorder="1" applyAlignment="1">
      <alignment horizontal="center" vertical="center"/>
    </xf>
    <xf numFmtId="0" fontId="6" fillId="8" borderId="100" xfId="0" applyFont="1" applyFill="1" applyBorder="1" applyAlignment="1">
      <alignment horizontal="center" vertical="center" wrapText="1"/>
    </xf>
    <xf numFmtId="0" fontId="6" fillId="8" borderId="69" xfId="0" applyFont="1" applyFill="1" applyBorder="1" applyAlignment="1">
      <alignment horizontal="center" vertical="center" wrapText="1"/>
    </xf>
    <xf numFmtId="0" fontId="6" fillId="8" borderId="77" xfId="0" applyFont="1" applyFill="1" applyBorder="1" applyAlignment="1">
      <alignment horizontal="center" vertical="center"/>
    </xf>
    <xf numFmtId="0" fontId="6" fillId="8" borderId="81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7" borderId="20" xfId="0" applyFont="1" applyFill="1" applyBorder="1" applyAlignment="1">
      <alignment horizontal="center" vertical="center"/>
    </xf>
    <xf numFmtId="0" fontId="29" fillId="7" borderId="151" xfId="0" applyFont="1" applyFill="1" applyBorder="1" applyAlignment="1">
      <alignment horizontal="center" vertical="center"/>
    </xf>
    <xf numFmtId="0" fontId="29" fillId="7" borderId="47" xfId="0" applyFont="1" applyFill="1" applyBorder="1" applyAlignment="1">
      <alignment horizontal="center" vertical="center" wrapText="1"/>
    </xf>
    <xf numFmtId="0" fontId="29" fillId="7" borderId="48" xfId="0" applyFont="1" applyFill="1" applyBorder="1" applyAlignment="1">
      <alignment horizontal="center" vertical="center" wrapText="1"/>
    </xf>
    <xf numFmtId="0" fontId="29" fillId="7" borderId="43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center" vertical="center"/>
    </xf>
    <xf numFmtId="0" fontId="29" fillId="7" borderId="82" xfId="0" applyFont="1" applyFill="1" applyBorder="1" applyAlignment="1">
      <alignment horizontal="center" vertical="center"/>
    </xf>
    <xf numFmtId="0" fontId="29" fillId="7" borderId="83" xfId="0" applyFont="1" applyFill="1" applyBorder="1" applyAlignment="1">
      <alignment horizontal="center" vertical="center"/>
    </xf>
    <xf numFmtId="0" fontId="29" fillId="7" borderId="8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9" fillId="7" borderId="53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  <xf numFmtId="0" fontId="29" fillId="7" borderId="54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5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74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9" fillId="7" borderId="58" xfId="0" applyFont="1" applyFill="1" applyBorder="1" applyAlignment="1">
      <alignment horizontal="center" vertical="center"/>
    </xf>
    <xf numFmtId="0" fontId="29" fillId="7" borderId="59" xfId="0" applyFont="1" applyFill="1" applyBorder="1" applyAlignment="1">
      <alignment horizontal="center" vertical="center"/>
    </xf>
    <xf numFmtId="0" fontId="29" fillId="7" borderId="85" xfId="0" applyFont="1" applyFill="1" applyBorder="1" applyAlignment="1">
      <alignment horizontal="center" vertical="center"/>
    </xf>
    <xf numFmtId="0" fontId="29" fillId="7" borderId="86" xfId="0" applyFont="1" applyFill="1" applyBorder="1" applyAlignment="1">
      <alignment horizontal="center" vertical="center"/>
    </xf>
    <xf numFmtId="0" fontId="29" fillId="7" borderId="87" xfId="0" applyFont="1" applyFill="1" applyBorder="1" applyAlignment="1">
      <alignment horizontal="center" vertical="center"/>
    </xf>
    <xf numFmtId="0" fontId="29" fillId="8" borderId="133" xfId="0" applyFont="1" applyFill="1" applyBorder="1" applyAlignment="1">
      <alignment horizontal="center" vertical="center" wrapText="1"/>
    </xf>
    <xf numFmtId="0" fontId="29" fillId="8" borderId="105" xfId="0" applyFont="1" applyFill="1" applyBorder="1" applyAlignment="1">
      <alignment horizontal="center" vertical="center" wrapText="1"/>
    </xf>
    <xf numFmtId="0" fontId="29" fillId="7" borderId="40" xfId="0" applyFont="1" applyFill="1" applyBorder="1" applyAlignment="1">
      <alignment horizontal="center" vertical="center" wrapText="1"/>
    </xf>
    <xf numFmtId="0" fontId="29" fillId="7" borderId="143" xfId="0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30" xfId="0" applyFont="1" applyFill="1" applyBorder="1" applyAlignment="1">
      <alignment horizontal="center" vertical="center" wrapText="1"/>
    </xf>
    <xf numFmtId="0" fontId="1" fillId="8" borderId="129" xfId="0" applyFont="1" applyFill="1" applyBorder="1" applyAlignment="1">
      <alignment horizontal="center" vertical="center" wrapText="1"/>
    </xf>
    <xf numFmtId="0" fontId="1" fillId="8" borderId="124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25" xfId="0" applyFont="1" applyFill="1" applyBorder="1" applyAlignment="1">
      <alignment horizontal="center" vertical="center"/>
    </xf>
    <xf numFmtId="0" fontId="1" fillId="7" borderId="126" xfId="0" applyFont="1" applyFill="1" applyBorder="1" applyAlignment="1">
      <alignment horizontal="center" vertical="center"/>
    </xf>
    <xf numFmtId="0" fontId="1" fillId="7" borderId="127" xfId="0" applyFont="1" applyFill="1" applyBorder="1" applyAlignment="1">
      <alignment horizontal="center" vertical="center"/>
    </xf>
    <xf numFmtId="0" fontId="1" fillId="8" borderId="150" xfId="0" applyFont="1" applyFill="1" applyBorder="1" applyAlignment="1">
      <alignment horizontal="center" vertical="center" wrapText="1"/>
    </xf>
    <xf numFmtId="0" fontId="1" fillId="8" borderId="13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7" borderId="78" xfId="0" applyFont="1" applyFill="1" applyBorder="1" applyAlignment="1">
      <alignment horizontal="center" vertical="center"/>
    </xf>
    <xf numFmtId="0" fontId="29" fillId="7" borderId="88" xfId="0" applyFont="1" applyFill="1" applyBorder="1" applyAlignment="1">
      <alignment horizontal="center" vertical="center"/>
    </xf>
    <xf numFmtId="0" fontId="29" fillId="7" borderId="80" xfId="0" applyFont="1" applyFill="1" applyBorder="1" applyAlignment="1">
      <alignment horizontal="center" vertical="center"/>
    </xf>
    <xf numFmtId="0" fontId="29" fillId="7" borderId="91" xfId="0" applyFont="1" applyFill="1" applyBorder="1" applyAlignment="1">
      <alignment horizontal="center" vertical="center"/>
    </xf>
    <xf numFmtId="3" fontId="29" fillId="7" borderId="80" xfId="0" applyNumberFormat="1" applyFont="1" applyFill="1" applyBorder="1" applyAlignment="1">
      <alignment horizontal="center" vertical="center" wrapText="1"/>
    </xf>
    <xf numFmtId="3" fontId="29" fillId="7" borderId="91" xfId="0" applyNumberFormat="1" applyFont="1" applyFill="1" applyBorder="1" applyAlignment="1">
      <alignment horizontal="center" vertical="center" wrapText="1"/>
    </xf>
    <xf numFmtId="170" fontId="29" fillId="7" borderId="140" xfId="0" applyNumberFormat="1" applyFont="1" applyFill="1" applyBorder="1" applyAlignment="1">
      <alignment horizontal="center" vertical="center" wrapText="1"/>
    </xf>
    <xf numFmtId="170" fontId="29" fillId="7" borderId="141" xfId="0" applyNumberFormat="1" applyFont="1" applyFill="1" applyBorder="1" applyAlignment="1">
      <alignment horizontal="center" vertical="center" wrapText="1"/>
    </xf>
    <xf numFmtId="170" fontId="29" fillId="7" borderId="142" xfId="0" applyNumberFormat="1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131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/>
    </xf>
    <xf numFmtId="0" fontId="29" fillId="7" borderId="119" xfId="0" applyFont="1" applyFill="1" applyBorder="1" applyAlignment="1">
      <alignment horizontal="center" vertical="center"/>
    </xf>
    <xf numFmtId="0" fontId="29" fillId="7" borderId="13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1" fillId="8" borderId="112" xfId="0" applyFont="1" applyFill="1" applyBorder="1" applyAlignment="1">
      <alignment horizontal="center" vertical="center" wrapText="1"/>
    </xf>
    <xf numFmtId="0" fontId="1" fillId="8" borderId="147" xfId="0" applyFont="1" applyFill="1" applyBorder="1" applyAlignment="1">
      <alignment horizontal="center" vertical="center" wrapText="1"/>
    </xf>
    <xf numFmtId="0" fontId="1" fillId="8" borderId="108" xfId="0" applyFont="1" applyFill="1" applyBorder="1" applyAlignment="1">
      <alignment horizontal="center" vertical="center" wrapText="1"/>
    </xf>
    <xf numFmtId="0" fontId="1" fillId="8" borderId="121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118" xfId="0" applyFont="1" applyFill="1" applyBorder="1" applyAlignment="1">
      <alignment horizontal="center" vertical="center" wrapText="1"/>
    </xf>
    <xf numFmtId="0" fontId="1" fillId="8" borderId="149" xfId="0" applyFont="1" applyFill="1" applyBorder="1" applyAlignment="1">
      <alignment horizontal="center" vertical="center" wrapText="1"/>
    </xf>
    <xf numFmtId="0" fontId="1" fillId="8" borderId="116" xfId="0" applyFont="1" applyFill="1" applyBorder="1" applyAlignment="1">
      <alignment horizontal="center" vertical="center" wrapText="1"/>
    </xf>
    <xf numFmtId="0" fontId="6" fillId="8" borderId="100" xfId="0" applyFont="1" applyFill="1" applyBorder="1" applyAlignment="1">
      <alignment horizontal="center" vertical="center"/>
    </xf>
    <xf numFmtId="0" fontId="6" fillId="8" borderId="123" xfId="0" applyFont="1" applyFill="1" applyBorder="1" applyAlignment="1">
      <alignment horizontal="center" vertical="center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000099"/>
      <color rgb="FF0000CC"/>
      <color rgb="FF062948"/>
      <color rgb="FF000066"/>
      <color rgb="FFFFCCFF"/>
      <color rgb="FFFFFFCC"/>
      <color rgb="FF0066CC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31"/>
  <sheetViews>
    <sheetView showGridLines="0" tabSelected="1" workbookViewId="0">
      <selection activeCell="I14" sqref="I14"/>
    </sheetView>
  </sheetViews>
  <sheetFormatPr baseColWidth="10" defaultRowHeight="12.75"/>
  <cols>
    <col min="1" max="1" width="33.7109375" customWidth="1"/>
    <col min="2" max="2" width="14.42578125" customWidth="1"/>
    <col min="3" max="3" width="12.85546875" customWidth="1"/>
    <col min="4" max="4" width="13.85546875" customWidth="1"/>
  </cols>
  <sheetData>
    <row r="1" spans="1:4" ht="20.45" customHeight="1">
      <c r="A1" s="466" t="s">
        <v>368</v>
      </c>
      <c r="B1" s="466"/>
      <c r="C1" s="466"/>
      <c r="D1" s="466"/>
    </row>
    <row r="2" spans="1:4" ht="19.899999999999999" customHeight="1">
      <c r="A2" s="467" t="s">
        <v>0</v>
      </c>
      <c r="B2" s="469" t="s">
        <v>234</v>
      </c>
      <c r="C2" s="470"/>
      <c r="D2" s="470"/>
    </row>
    <row r="3" spans="1:4" ht="18.600000000000001" customHeight="1">
      <c r="A3" s="468"/>
      <c r="B3" s="315" t="s">
        <v>58</v>
      </c>
      <c r="C3" s="316" t="s">
        <v>10</v>
      </c>
      <c r="D3" s="315" t="s">
        <v>11</v>
      </c>
    </row>
    <row r="4" spans="1:4">
      <c r="A4" s="251"/>
      <c r="B4" s="252"/>
      <c r="C4" s="253"/>
      <c r="D4" s="254"/>
    </row>
    <row r="5" spans="1:4" ht="15">
      <c r="A5" s="255" t="s">
        <v>18</v>
      </c>
      <c r="B5" s="256">
        <f>SUM(B7:B9)</f>
        <v>234334098</v>
      </c>
      <c r="C5" s="257">
        <f>SUM(C7:C9)</f>
        <v>219557359</v>
      </c>
      <c r="D5" s="256">
        <f>SUM(D7:D9)</f>
        <v>115729230</v>
      </c>
    </row>
    <row r="6" spans="1:4" ht="15">
      <c r="A6" s="258"/>
      <c r="B6" s="259"/>
      <c r="C6" s="260"/>
      <c r="D6" s="259"/>
    </row>
    <row r="7" spans="1:4">
      <c r="A7" s="251" t="s">
        <v>235</v>
      </c>
      <c r="B7" s="262">
        <v>158641933</v>
      </c>
      <c r="C7" s="286">
        <v>158641933</v>
      </c>
      <c r="D7" s="261">
        <v>77181144</v>
      </c>
    </row>
    <row r="8" spans="1:4">
      <c r="A8" s="251"/>
      <c r="B8" s="261"/>
      <c r="C8" s="262"/>
      <c r="D8" s="261"/>
    </row>
    <row r="9" spans="1:4">
      <c r="A9" s="251" t="s">
        <v>236</v>
      </c>
      <c r="B9" s="262">
        <v>75692165</v>
      </c>
      <c r="C9" s="286">
        <v>60915426</v>
      </c>
      <c r="D9" s="261">
        <v>38548086</v>
      </c>
    </row>
    <row r="10" spans="1:4" ht="15">
      <c r="A10" s="258"/>
      <c r="B10" s="263"/>
      <c r="C10" s="264"/>
      <c r="D10" s="263"/>
    </row>
    <row r="11" spans="1:4" ht="15">
      <c r="A11" s="258"/>
      <c r="B11" s="263"/>
      <c r="C11" s="264"/>
      <c r="D11" s="263"/>
    </row>
    <row r="12" spans="1:4" ht="15">
      <c r="A12" s="255" t="s">
        <v>237</v>
      </c>
      <c r="B12" s="265">
        <f>+B14+B22</f>
        <v>234334098</v>
      </c>
      <c r="C12" s="266">
        <f>+C14+C22</f>
        <v>170317337</v>
      </c>
      <c r="D12" s="265">
        <f>+D14+D22</f>
        <v>90321342</v>
      </c>
    </row>
    <row r="13" spans="1:4" ht="15">
      <c r="A13" s="258"/>
      <c r="B13" s="263"/>
      <c r="C13" s="264"/>
      <c r="D13" s="263"/>
    </row>
    <row r="14" spans="1:4">
      <c r="A14" s="267" t="s">
        <v>22</v>
      </c>
      <c r="B14" s="268">
        <v>158641933</v>
      </c>
      <c r="C14" s="269">
        <v>155666077</v>
      </c>
      <c r="D14" s="268">
        <v>77554985</v>
      </c>
    </row>
    <row r="15" spans="1:4" ht="5.45" customHeight="1">
      <c r="A15" s="267"/>
      <c r="B15" s="268"/>
      <c r="C15" s="269"/>
      <c r="D15" s="268"/>
    </row>
    <row r="16" spans="1:4">
      <c r="A16" s="251" t="s">
        <v>238</v>
      </c>
      <c r="B16" s="261">
        <v>60709167</v>
      </c>
      <c r="C16" s="262">
        <v>58742037</v>
      </c>
      <c r="D16" s="261">
        <v>25427583</v>
      </c>
    </row>
    <row r="17" spans="1:4">
      <c r="A17" s="251"/>
      <c r="B17" s="278" t="s">
        <v>6</v>
      </c>
      <c r="C17" s="262"/>
      <c r="D17" s="278" t="s">
        <v>6</v>
      </c>
    </row>
    <row r="18" spans="1:4">
      <c r="A18" s="251" t="s">
        <v>239</v>
      </c>
      <c r="B18" s="261">
        <v>77321811</v>
      </c>
      <c r="C18" s="262">
        <v>78259879</v>
      </c>
      <c r="D18" s="261">
        <v>45156310</v>
      </c>
    </row>
    <row r="19" spans="1:4">
      <c r="A19" s="251" t="s">
        <v>6</v>
      </c>
      <c r="B19" s="278" t="s">
        <v>6</v>
      </c>
      <c r="C19" s="262"/>
      <c r="D19" s="261"/>
    </row>
    <row r="20" spans="1:4">
      <c r="A20" s="251" t="s">
        <v>240</v>
      </c>
      <c r="B20" s="261">
        <v>20610955</v>
      </c>
      <c r="C20" s="262">
        <v>18664161</v>
      </c>
      <c r="D20" s="261">
        <v>6971092</v>
      </c>
    </row>
    <row r="21" spans="1:4" ht="15">
      <c r="A21" s="258"/>
      <c r="B21" s="263"/>
      <c r="C21" s="264"/>
      <c r="D21" s="263"/>
    </row>
    <row r="22" spans="1:4">
      <c r="A22" s="267" t="s">
        <v>23</v>
      </c>
      <c r="B22" s="268">
        <f>+B24+B26+B28</f>
        <v>75692165</v>
      </c>
      <c r="C22" s="269">
        <f>SUM(C24:C28)</f>
        <v>14651260</v>
      </c>
      <c r="D22" s="268">
        <f>+D24+D26+D28</f>
        <v>12766357</v>
      </c>
    </row>
    <row r="23" spans="1:4" ht="4.1500000000000004" customHeight="1">
      <c r="A23" s="279"/>
      <c r="B23" s="268"/>
      <c r="C23" s="269"/>
      <c r="D23" s="268"/>
    </row>
    <row r="24" spans="1:4">
      <c r="A24" s="251" t="s">
        <v>241</v>
      </c>
      <c r="B24" s="261">
        <v>28748221</v>
      </c>
      <c r="C24" s="262">
        <v>2582973</v>
      </c>
      <c r="D24" s="278">
        <v>2584066</v>
      </c>
    </row>
    <row r="25" spans="1:4">
      <c r="A25" s="251"/>
      <c r="B25" s="261"/>
      <c r="C25" s="262"/>
      <c r="D25" s="261"/>
    </row>
    <row r="26" spans="1:4">
      <c r="A26" s="251" t="s">
        <v>242</v>
      </c>
      <c r="B26" s="261">
        <v>25866664</v>
      </c>
      <c r="C26" s="262">
        <v>6336492</v>
      </c>
      <c r="D26" s="278">
        <v>6416907</v>
      </c>
    </row>
    <row r="27" spans="1:4">
      <c r="A27" s="251"/>
      <c r="B27" s="270"/>
      <c r="C27" s="271"/>
      <c r="D27" s="270"/>
    </row>
    <row r="28" spans="1:4">
      <c r="A28" s="251" t="s">
        <v>243</v>
      </c>
      <c r="B28" s="261">
        <v>21077280</v>
      </c>
      <c r="C28" s="262">
        <v>5731795</v>
      </c>
      <c r="D28" s="278">
        <v>3765384</v>
      </c>
    </row>
    <row r="29" spans="1:4" ht="15">
      <c r="A29" s="272"/>
      <c r="B29" s="273"/>
      <c r="C29" s="274"/>
      <c r="D29" s="275"/>
    </row>
    <row r="30" spans="1:4" ht="9" customHeight="1">
      <c r="A30" s="28"/>
      <c r="B30" s="28"/>
      <c r="C30" s="28"/>
      <c r="D30" s="280"/>
    </row>
    <row r="31" spans="1:4" ht="14.25">
      <c r="A31" s="471" t="s">
        <v>194</v>
      </c>
      <c r="B31" s="471"/>
      <c r="C31" s="97"/>
      <c r="D31" s="97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horizontalDpi="4294967294" verticalDpi="4294967294" r:id="rId1"/>
  <ignoredErrors>
    <ignoredError sqref="C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zoomScale="87" zoomScaleNormal="87" zoomScaleSheetLayoutView="118" workbookViewId="0">
      <pane xSplit="1" ySplit="7" topLeftCell="B23" activePane="bottomRight" state="frozen"/>
      <selection sqref="A1:J12"/>
      <selection pane="topRight" sqref="A1:J12"/>
      <selection pane="bottomLeft" sqref="A1:J12"/>
      <selection pane="bottomRight" sqref="A1:I51"/>
    </sheetView>
  </sheetViews>
  <sheetFormatPr baseColWidth="10" defaultColWidth="11" defaultRowHeight="12.75"/>
  <cols>
    <col min="1" max="1" width="14.28515625" style="2" customWidth="1"/>
    <col min="2" max="2" width="39.5703125" style="7" customWidth="1"/>
    <col min="3" max="3" width="12.85546875" style="7" customWidth="1"/>
    <col min="4" max="4" width="13.5703125" style="7" customWidth="1"/>
    <col min="5" max="5" width="13" style="7" customWidth="1"/>
    <col min="6" max="6" width="0.140625" style="7" hidden="1" customWidth="1"/>
    <col min="7" max="7" width="14.85546875" style="7" customWidth="1"/>
    <col min="8" max="8" width="13.28515625" style="7" customWidth="1"/>
    <col min="9" max="9" width="13.85546875" style="2" customWidth="1"/>
    <col min="10" max="10" width="20" style="29" customWidth="1"/>
    <col min="11" max="11" width="21.5703125" style="2" hidden="1" customWidth="1"/>
    <col min="12" max="12" width="11" style="2"/>
    <col min="13" max="13" width="11.7109375" style="2" bestFit="1" customWidth="1"/>
    <col min="14" max="16384" width="11" style="2"/>
  </cols>
  <sheetData>
    <row r="1" spans="1:16" ht="17.45" customHeight="1">
      <c r="A1" s="472" t="s">
        <v>259</v>
      </c>
      <c r="B1" s="472"/>
      <c r="C1" s="472"/>
      <c r="D1" s="472"/>
      <c r="E1" s="472"/>
      <c r="F1" s="472"/>
      <c r="G1" s="472"/>
      <c r="H1" s="472"/>
      <c r="I1" s="472"/>
    </row>
    <row r="2" spans="1:16" ht="17.45" customHeight="1">
      <c r="A2" s="472" t="s">
        <v>151</v>
      </c>
      <c r="B2" s="472"/>
      <c r="C2" s="472"/>
      <c r="D2" s="472"/>
      <c r="E2" s="472"/>
      <c r="F2" s="472"/>
      <c r="G2" s="472"/>
      <c r="H2" s="472"/>
      <c r="I2" s="472"/>
    </row>
    <row r="3" spans="1:16" ht="15.75">
      <c r="A3" s="473" t="s">
        <v>276</v>
      </c>
      <c r="B3" s="473"/>
      <c r="C3" s="473"/>
      <c r="D3" s="473"/>
      <c r="E3" s="473"/>
      <c r="F3" s="473"/>
      <c r="G3" s="473"/>
      <c r="H3" s="473"/>
      <c r="I3" s="473"/>
    </row>
    <row r="4" spans="1:16" ht="20.25" customHeight="1">
      <c r="A4" s="473" t="s">
        <v>366</v>
      </c>
      <c r="B4" s="473"/>
      <c r="C4" s="473"/>
      <c r="D4" s="473"/>
      <c r="E4" s="473"/>
      <c r="F4" s="473"/>
      <c r="G4" s="473"/>
      <c r="H4" s="473"/>
      <c r="I4" s="473"/>
    </row>
    <row r="5" spans="1:16" ht="9.75" customHeight="1">
      <c r="B5" s="60"/>
      <c r="C5" s="60"/>
      <c r="D5" s="60"/>
      <c r="E5" s="60"/>
      <c r="F5" s="60"/>
      <c r="G5" s="60"/>
      <c r="H5"/>
      <c r="I5" t="s">
        <v>6</v>
      </c>
    </row>
    <row r="6" spans="1:16" ht="24" customHeight="1">
      <c r="A6" s="474" t="s">
        <v>167</v>
      </c>
      <c r="B6" s="476" t="s">
        <v>0</v>
      </c>
      <c r="C6" s="480" t="s">
        <v>24</v>
      </c>
      <c r="D6" s="481"/>
      <c r="E6" s="482"/>
      <c r="F6" s="478" t="s">
        <v>27</v>
      </c>
      <c r="G6" s="478"/>
      <c r="H6" s="479" t="s">
        <v>1</v>
      </c>
      <c r="I6" s="479"/>
    </row>
    <row r="7" spans="1:16" ht="26.25" customHeight="1">
      <c r="A7" s="475"/>
      <c r="B7" s="477"/>
      <c r="C7" s="291" t="s">
        <v>58</v>
      </c>
      <c r="D7" s="292" t="s">
        <v>10</v>
      </c>
      <c r="E7" s="293" t="s">
        <v>2</v>
      </c>
      <c r="F7" s="294" t="s">
        <v>28</v>
      </c>
      <c r="G7" s="295" t="s">
        <v>3</v>
      </c>
      <c r="H7" s="296" t="s">
        <v>4</v>
      </c>
      <c r="I7" s="297" t="s">
        <v>146</v>
      </c>
    </row>
    <row r="8" spans="1:16" ht="8.25" customHeight="1">
      <c r="A8" s="153"/>
      <c r="B8" s="61" t="s">
        <v>6</v>
      </c>
      <c r="C8" s="61"/>
      <c r="D8" s="57"/>
      <c r="E8" s="62"/>
      <c r="F8" s="57"/>
      <c r="G8" s="57"/>
      <c r="H8" s="63"/>
      <c r="I8" s="64"/>
    </row>
    <row r="9" spans="1:16" ht="21.75" customHeight="1">
      <c r="A9" s="153"/>
      <c r="B9" s="65" t="s">
        <v>7</v>
      </c>
      <c r="C9" s="66">
        <f>+C11+C34</f>
        <v>234334098</v>
      </c>
      <c r="D9" s="66">
        <f>+D11+D34</f>
        <v>219557359</v>
      </c>
      <c r="E9" s="66">
        <f>+E11+E34</f>
        <v>175459621</v>
      </c>
      <c r="F9" s="66">
        <f>+F11+F34</f>
        <v>12550322.07</v>
      </c>
      <c r="G9" s="66">
        <f>+G11+G34</f>
        <v>115729230.14</v>
      </c>
      <c r="H9" s="67">
        <f>+G9-E9</f>
        <v>-59730390.859999999</v>
      </c>
      <c r="I9" s="68">
        <f>+G9/E9*100</f>
        <v>65.957756822009785</v>
      </c>
      <c r="K9" s="2">
        <v>103178908.06999999</v>
      </c>
      <c r="L9" s="29"/>
      <c r="M9" s="29" t="s">
        <v>6</v>
      </c>
      <c r="N9" s="29" t="s">
        <v>6</v>
      </c>
    </row>
    <row r="10" spans="1:16" ht="9.9499999999999993" customHeight="1">
      <c r="A10" s="153"/>
      <c r="B10" s="65"/>
      <c r="C10" s="69"/>
      <c r="D10" s="69"/>
      <c r="E10" s="69"/>
      <c r="F10" s="69"/>
      <c r="G10" s="69"/>
      <c r="H10" s="70"/>
      <c r="I10" s="71"/>
    </row>
    <row r="11" spans="1:16" ht="21" customHeight="1">
      <c r="A11" s="72" t="s">
        <v>185</v>
      </c>
      <c r="B11" s="72" t="s">
        <v>8</v>
      </c>
      <c r="C11" s="69">
        <f>+C13</f>
        <v>158641933</v>
      </c>
      <c r="D11" s="69">
        <f>+D13+D32</f>
        <v>158641933</v>
      </c>
      <c r="E11" s="69">
        <f>+E13+E32</f>
        <v>114964195</v>
      </c>
      <c r="F11" s="69">
        <f>+F13+F32</f>
        <v>12494658.07</v>
      </c>
      <c r="G11" s="69">
        <f>+G13</f>
        <v>77181144.140000001</v>
      </c>
      <c r="H11" s="67">
        <f>+G11-E11</f>
        <v>-37783050.859999999</v>
      </c>
      <c r="I11" s="68">
        <f>+G11/E11*100</f>
        <v>67.134940700450258</v>
      </c>
      <c r="K11" s="2">
        <v>64686486.07</v>
      </c>
      <c r="L11" s="29"/>
    </row>
    <row r="12" spans="1:16" ht="9.9499999999999993" customHeight="1">
      <c r="A12" s="153"/>
      <c r="B12" s="73"/>
      <c r="C12" s="74"/>
      <c r="D12" s="74"/>
      <c r="E12" s="75" t="s">
        <v>6</v>
      </c>
      <c r="F12" s="75"/>
      <c r="G12" s="75"/>
      <c r="H12" s="76"/>
      <c r="I12" s="77" t="s">
        <v>6</v>
      </c>
    </row>
    <row r="13" spans="1:16" ht="21" customHeight="1">
      <c r="A13" s="72" t="s">
        <v>169</v>
      </c>
      <c r="B13" s="65" t="s">
        <v>186</v>
      </c>
      <c r="C13" s="69">
        <f>+C15+C20+C24+C29</f>
        <v>158641933</v>
      </c>
      <c r="D13" s="69">
        <f>+D15+D20+D24+D29</f>
        <v>158641933</v>
      </c>
      <c r="E13" s="69">
        <f>+E15+E20+E24+E29</f>
        <v>114964195</v>
      </c>
      <c r="F13" s="69">
        <f>+F15+F20+F24+F29</f>
        <v>12494658.07</v>
      </c>
      <c r="G13" s="69">
        <f>+K13+F13</f>
        <v>77181144.140000001</v>
      </c>
      <c r="H13" s="67">
        <f>+G13-E13</f>
        <v>-37783050.859999999</v>
      </c>
      <c r="I13" s="68">
        <f>+G13/E13*100</f>
        <v>67.134940700450258</v>
      </c>
      <c r="J13" s="282"/>
      <c r="K13" s="3">
        <v>64686486.07</v>
      </c>
      <c r="M13" s="2" t="s">
        <v>6</v>
      </c>
    </row>
    <row r="14" spans="1:16" ht="9.9499999999999993" customHeight="1">
      <c r="A14" s="72"/>
      <c r="B14" s="78"/>
      <c r="C14" s="75"/>
      <c r="D14" s="75"/>
      <c r="E14" s="75"/>
      <c r="F14" s="75"/>
      <c r="G14" s="75" t="s">
        <v>6</v>
      </c>
      <c r="H14" s="76" t="s">
        <v>6</v>
      </c>
      <c r="I14" s="77" t="s">
        <v>6</v>
      </c>
      <c r="J14" s="282"/>
      <c r="K14" s="3" t="s">
        <v>6</v>
      </c>
    </row>
    <row r="15" spans="1:16" ht="21" customHeight="1">
      <c r="A15" s="72" t="s">
        <v>168</v>
      </c>
      <c r="B15" s="65" t="s">
        <v>338</v>
      </c>
      <c r="C15" s="69">
        <f>SUM(C18:C19)</f>
        <v>5476492</v>
      </c>
      <c r="D15" s="69">
        <f>SUM(D18:D19)</f>
        <v>5476492</v>
      </c>
      <c r="E15" s="69">
        <f>E17</f>
        <v>5041674</v>
      </c>
      <c r="F15" s="69">
        <f>SUM(F18:F19)</f>
        <v>239408.49</v>
      </c>
      <c r="G15" s="69">
        <f>G17</f>
        <v>1737190.6</v>
      </c>
      <c r="H15" s="67">
        <f>+G15-E15</f>
        <v>-3304483.4</v>
      </c>
      <c r="I15" s="68">
        <f>+G15/E15*100</f>
        <v>34.456622939126966</v>
      </c>
      <c r="J15" s="282"/>
      <c r="K15" s="3">
        <v>1497782.1099999999</v>
      </c>
      <c r="L15" s="29"/>
      <c r="O15" s="29"/>
      <c r="P15" s="29"/>
    </row>
    <row r="16" spans="1:16" ht="11.45" customHeight="1">
      <c r="A16" s="72"/>
      <c r="B16" s="65"/>
      <c r="C16" s="75"/>
      <c r="D16" s="75"/>
      <c r="E16" s="69"/>
      <c r="F16" s="69"/>
      <c r="G16" s="69"/>
      <c r="H16" s="67"/>
      <c r="I16" s="68"/>
      <c r="J16" s="282"/>
      <c r="K16" s="3"/>
    </row>
    <row r="17" spans="1:15" ht="19.149999999999999" customHeight="1">
      <c r="A17" s="72" t="s">
        <v>188</v>
      </c>
      <c r="B17" s="79" t="s">
        <v>339</v>
      </c>
      <c r="C17" s="69">
        <f>+C18+C19</f>
        <v>5476492</v>
      </c>
      <c r="D17" s="69">
        <f>+D18+D19</f>
        <v>5476492</v>
      </c>
      <c r="E17" s="69">
        <f>SUM(E18:E19)</f>
        <v>5041674</v>
      </c>
      <c r="F17" s="69">
        <f>SUM(F18:F19)</f>
        <v>239408.49</v>
      </c>
      <c r="G17" s="80">
        <f>SUM(G18:G19)</f>
        <v>1737190.6</v>
      </c>
      <c r="H17" s="67">
        <f t="shared" ref="H17:H22" si="0">+G17-E17</f>
        <v>-3304483.4</v>
      </c>
      <c r="I17" s="77">
        <f>+G17/E17*100</f>
        <v>34.456622939126966</v>
      </c>
      <c r="J17" s="282"/>
      <c r="K17" s="2">
        <v>1497782.1099999999</v>
      </c>
      <c r="L17" s="29"/>
    </row>
    <row r="18" spans="1:15" ht="24.95" customHeight="1">
      <c r="A18" s="73" t="s">
        <v>347</v>
      </c>
      <c r="B18" s="78" t="s">
        <v>340</v>
      </c>
      <c r="C18" s="75">
        <v>700000</v>
      </c>
      <c r="D18" s="75">
        <v>700000</v>
      </c>
      <c r="E18" s="75">
        <f>172348+58333+58333+58333+58333+50000+58333+58333</f>
        <v>572346</v>
      </c>
      <c r="F18" s="58">
        <v>98670.37</v>
      </c>
      <c r="G18" s="58">
        <f>+K18+F18</f>
        <v>706696</v>
      </c>
      <c r="H18" s="76">
        <f t="shared" si="0"/>
        <v>134350</v>
      </c>
      <c r="I18" s="77">
        <f>+G18/E18*100</f>
        <v>123.47356319429157</v>
      </c>
      <c r="K18" s="2">
        <v>608025.63</v>
      </c>
      <c r="O18" s="29"/>
    </row>
    <row r="19" spans="1:15" ht="24.95" customHeight="1">
      <c r="A19" s="73" t="s">
        <v>170</v>
      </c>
      <c r="B19" s="78" t="s">
        <v>369</v>
      </c>
      <c r="C19" s="75">
        <v>4776492</v>
      </c>
      <c r="D19" s="75">
        <v>4776492</v>
      </c>
      <c r="E19" s="75">
        <f>3252662+120457+115562+48041+165300+153740+398041+215525</f>
        <v>4469328</v>
      </c>
      <c r="F19" s="58">
        <v>140738.12</v>
      </c>
      <c r="G19" s="58">
        <f>+K19+F19</f>
        <v>1030494.6</v>
      </c>
      <c r="H19" s="76">
        <f t="shared" si="0"/>
        <v>-3438833.4</v>
      </c>
      <c r="I19" s="77">
        <f>+G19/E19*100</f>
        <v>23.057036762573702</v>
      </c>
      <c r="K19" s="2">
        <v>889756.48</v>
      </c>
      <c r="O19" s="29"/>
    </row>
    <row r="20" spans="1:15" ht="24.95" customHeight="1">
      <c r="A20" s="72" t="s">
        <v>171</v>
      </c>
      <c r="B20" s="65" t="s">
        <v>245</v>
      </c>
      <c r="C20" s="69">
        <f>SUM(C22:C22)</f>
        <v>145413761</v>
      </c>
      <c r="D20" s="69">
        <f>SUM(D22:D22)</f>
        <v>145413761</v>
      </c>
      <c r="E20" s="69">
        <f>SUM(E22)</f>
        <v>102367438</v>
      </c>
      <c r="F20" s="69">
        <f>F22</f>
        <v>11445541</v>
      </c>
      <c r="G20" s="80">
        <f>G22</f>
        <v>70093953</v>
      </c>
      <c r="H20" s="67">
        <f t="shared" si="0"/>
        <v>-32273485</v>
      </c>
      <c r="I20" s="68">
        <f>+G20/E20*100</f>
        <v>68.472899556204581</v>
      </c>
      <c r="J20" s="282"/>
      <c r="K20" s="2">
        <v>58648412</v>
      </c>
      <c r="O20" s="29"/>
    </row>
    <row r="21" spans="1:15" ht="5.25" customHeight="1">
      <c r="A21" s="72"/>
      <c r="B21" s="78"/>
      <c r="C21" s="75"/>
      <c r="D21" s="75"/>
      <c r="E21" s="75"/>
      <c r="F21" s="75"/>
      <c r="G21" s="58">
        <f>F21</f>
        <v>0</v>
      </c>
      <c r="H21" s="76">
        <f t="shared" si="0"/>
        <v>0</v>
      </c>
      <c r="I21" s="77" t="s">
        <v>6</v>
      </c>
      <c r="K21" s="2">
        <v>0</v>
      </c>
    </row>
    <row r="22" spans="1:15" ht="24.75" customHeight="1">
      <c r="A22" s="72" t="s">
        <v>172</v>
      </c>
      <c r="B22" s="65" t="s">
        <v>341</v>
      </c>
      <c r="C22" s="69">
        <f>+C23</f>
        <v>145413761</v>
      </c>
      <c r="D22" s="69">
        <f>+D23</f>
        <v>145413761</v>
      </c>
      <c r="E22" s="69">
        <f>E23</f>
        <v>102367438</v>
      </c>
      <c r="F22" s="69">
        <f>F23</f>
        <v>11445541</v>
      </c>
      <c r="G22" s="80">
        <f>G23</f>
        <v>70093953</v>
      </c>
      <c r="H22" s="67">
        <f t="shared" si="0"/>
        <v>-32273485</v>
      </c>
      <c r="I22" s="68">
        <f t="shared" ref="I22:I27" si="1">+G22/E22*100</f>
        <v>68.472899556204581</v>
      </c>
      <c r="J22" s="282"/>
      <c r="K22" s="2">
        <v>58648412</v>
      </c>
    </row>
    <row r="23" spans="1:15" ht="22.15" customHeight="1">
      <c r="A23" s="73" t="s">
        <v>173</v>
      </c>
      <c r="B23" s="78" t="s">
        <v>342</v>
      </c>
      <c r="C23" s="75">
        <v>145413761</v>
      </c>
      <c r="D23" s="75">
        <f>145413761</f>
        <v>145413761</v>
      </c>
      <c r="E23" s="75">
        <f>16647086+10475082+10600255+10691339+10220450+10177653+21228906+12326667</f>
        <v>102367438</v>
      </c>
      <c r="F23" s="75">
        <v>11445541</v>
      </c>
      <c r="G23" s="58">
        <f>+K23+F23</f>
        <v>70093953</v>
      </c>
      <c r="H23" s="76">
        <f>G23-E23</f>
        <v>-32273485</v>
      </c>
      <c r="I23" s="77">
        <f t="shared" si="1"/>
        <v>68.472899556204581</v>
      </c>
      <c r="K23" s="2">
        <v>58648412</v>
      </c>
    </row>
    <row r="24" spans="1:15" ht="24.95" customHeight="1">
      <c r="A24" s="72" t="s">
        <v>174</v>
      </c>
      <c r="B24" s="65" t="s">
        <v>196</v>
      </c>
      <c r="C24" s="69">
        <f>SUM(C25:C27)</f>
        <v>5251680</v>
      </c>
      <c r="D24" s="69">
        <f>SUM(D25:D27)</f>
        <v>5251680</v>
      </c>
      <c r="E24" s="69">
        <f>SUM(E25:E27)</f>
        <v>5088523</v>
      </c>
      <c r="F24" s="69">
        <f>F25+F26+F27</f>
        <v>760217.13</v>
      </c>
      <c r="G24" s="69">
        <f>SUM(G25:G27)</f>
        <v>4939171.5</v>
      </c>
      <c r="H24" s="67">
        <f>+G24-E24</f>
        <v>-149351.5</v>
      </c>
      <c r="I24" s="68">
        <f t="shared" si="1"/>
        <v>97.064934166554821</v>
      </c>
      <c r="J24" s="282"/>
      <c r="K24" s="2">
        <v>4178954.37</v>
      </c>
      <c r="L24" s="29"/>
      <c r="M24" s="433" t="s">
        <v>6</v>
      </c>
    </row>
    <row r="25" spans="1:15" ht="24.95" customHeight="1">
      <c r="A25" s="73" t="s">
        <v>175</v>
      </c>
      <c r="B25" s="78" t="s">
        <v>343</v>
      </c>
      <c r="C25" s="75">
        <v>410082</v>
      </c>
      <c r="D25" s="75">
        <v>410082</v>
      </c>
      <c r="E25" s="75">
        <f>102525+34173+34173+34173+34173+34173+34173+34173</f>
        <v>341736</v>
      </c>
      <c r="F25" s="75">
        <v>129854.5</v>
      </c>
      <c r="G25" s="75">
        <f>+K25+F25</f>
        <v>777569.67999999993</v>
      </c>
      <c r="H25" s="76">
        <f>+G25-E25</f>
        <v>435833.67999999993</v>
      </c>
      <c r="I25" s="77">
        <f t="shared" si="1"/>
        <v>227.5351967600721</v>
      </c>
      <c r="K25" s="29">
        <v>647715.17999999993</v>
      </c>
    </row>
    <row r="26" spans="1:15" ht="24.95" customHeight="1">
      <c r="A26" s="73" t="s">
        <v>177</v>
      </c>
      <c r="B26" s="78" t="s">
        <v>344</v>
      </c>
      <c r="C26" s="75">
        <v>4774884</v>
      </c>
      <c r="D26" s="75">
        <v>4774884</v>
      </c>
      <c r="E26" s="75">
        <f>2119154+438060+461365+339575+131010+151197+932012+124383</f>
        <v>4696756</v>
      </c>
      <c r="F26" s="75">
        <v>629486.63</v>
      </c>
      <c r="G26" s="75">
        <f>+K26+F26</f>
        <v>4102295.9899999998</v>
      </c>
      <c r="H26" s="76">
        <f>+G26-E26</f>
        <v>-594460.01000000024</v>
      </c>
      <c r="I26" s="77">
        <f t="shared" si="1"/>
        <v>87.343178781269444</v>
      </c>
      <c r="K26" s="2">
        <v>3472809.36</v>
      </c>
    </row>
    <row r="27" spans="1:15" ht="24.95" customHeight="1">
      <c r="A27" s="73" t="s">
        <v>176</v>
      </c>
      <c r="B27" s="78" t="s">
        <v>254</v>
      </c>
      <c r="C27" s="75">
        <v>66714</v>
      </c>
      <c r="D27" s="75">
        <v>66714</v>
      </c>
      <c r="E27" s="75">
        <f>11118+5559+5559+5559+5559+5559+5559+5559</f>
        <v>50031</v>
      </c>
      <c r="F27" s="75">
        <v>876</v>
      </c>
      <c r="G27" s="75">
        <f>+K27+F27</f>
        <v>59305.83</v>
      </c>
      <c r="H27" s="76">
        <f>+G27-DD27</f>
        <v>59305.83</v>
      </c>
      <c r="I27" s="77">
        <f t="shared" si="1"/>
        <v>118.53816633687116</v>
      </c>
      <c r="K27" s="2">
        <v>58429.83</v>
      </c>
    </row>
    <row r="28" spans="1:15" ht="9.9499999999999993" customHeight="1">
      <c r="A28" s="72" t="s">
        <v>6</v>
      </c>
      <c r="B28" s="78"/>
      <c r="C28" s="75"/>
      <c r="D28" s="75"/>
      <c r="E28" s="75"/>
      <c r="F28" s="75"/>
      <c r="G28" s="75">
        <f>F28</f>
        <v>0</v>
      </c>
      <c r="H28" s="76">
        <f>+G28-E28</f>
        <v>0</v>
      </c>
      <c r="I28" s="77" t="s">
        <v>6</v>
      </c>
      <c r="K28" s="2">
        <v>0</v>
      </c>
    </row>
    <row r="29" spans="1:15" ht="25.15" customHeight="1">
      <c r="A29" s="72" t="s">
        <v>178</v>
      </c>
      <c r="B29" s="65" t="s">
        <v>197</v>
      </c>
      <c r="C29" s="69">
        <f>SUM(C30)</f>
        <v>2500000</v>
      </c>
      <c r="D29" s="69">
        <f>SUM(D30)</f>
        <v>2500000</v>
      </c>
      <c r="E29" s="69">
        <f>SUM(E30)</f>
        <v>2466560</v>
      </c>
      <c r="F29" s="69">
        <f>F30</f>
        <v>49491.45</v>
      </c>
      <c r="G29" s="69">
        <f>+G30</f>
        <v>410829.04000000004</v>
      </c>
      <c r="H29" s="67">
        <f>+G29-E29</f>
        <v>-2055730.96</v>
      </c>
      <c r="I29" s="68">
        <f>+G29/E29*100</f>
        <v>16.655951608718215</v>
      </c>
      <c r="K29" s="2">
        <v>361337.59</v>
      </c>
    </row>
    <row r="30" spans="1:15" ht="24.95" customHeight="1">
      <c r="A30" s="72" t="s">
        <v>348</v>
      </c>
      <c r="B30" s="78" t="s">
        <v>345</v>
      </c>
      <c r="C30" s="75">
        <v>2500000</v>
      </c>
      <c r="D30" s="75">
        <v>2500000</v>
      </c>
      <c r="E30" s="75">
        <f>1365639+208333+208333+208333+208333+33440+208333+25816</f>
        <v>2466560</v>
      </c>
      <c r="F30" s="75">
        <v>49491.45</v>
      </c>
      <c r="G30" s="75">
        <f>+K30+F30</f>
        <v>410829.04000000004</v>
      </c>
      <c r="H30" s="76">
        <f>+G30-E30</f>
        <v>-2055730.96</v>
      </c>
      <c r="I30" s="77">
        <f>+G30/E30*100</f>
        <v>16.655951608718215</v>
      </c>
      <c r="K30" s="2">
        <v>361337.59</v>
      </c>
    </row>
    <row r="31" spans="1:15" ht="6.6" customHeight="1">
      <c r="A31" s="72"/>
      <c r="B31" s="78"/>
      <c r="C31" s="75"/>
      <c r="D31" s="75"/>
      <c r="E31" s="75"/>
      <c r="F31" s="75"/>
      <c r="G31" s="75"/>
      <c r="H31" s="76"/>
      <c r="I31" s="77"/>
    </row>
    <row r="32" spans="1:15" ht="25.15" customHeight="1">
      <c r="A32" s="72" t="s">
        <v>350</v>
      </c>
      <c r="B32" s="78" t="s">
        <v>198</v>
      </c>
      <c r="C32" s="75"/>
      <c r="D32" s="69">
        <f>+D33</f>
        <v>0</v>
      </c>
      <c r="E32" s="69">
        <f>+E33</f>
        <v>0</v>
      </c>
      <c r="F32" s="69">
        <f>+F33</f>
        <v>0</v>
      </c>
      <c r="G32" s="69">
        <f>+G33</f>
        <v>0</v>
      </c>
      <c r="H32" s="76"/>
      <c r="I32" s="68" t="s">
        <v>6</v>
      </c>
      <c r="K32" s="2">
        <v>0</v>
      </c>
    </row>
    <row r="33" spans="1:11" ht="22.9" customHeight="1">
      <c r="A33" s="72" t="s">
        <v>349</v>
      </c>
      <c r="B33" s="78" t="s">
        <v>346</v>
      </c>
      <c r="C33" s="75"/>
      <c r="D33" s="75">
        <v>0</v>
      </c>
      <c r="E33" s="75">
        <v>0</v>
      </c>
      <c r="F33" s="75">
        <v>0</v>
      </c>
      <c r="G33" s="75">
        <f>+K33+F33</f>
        <v>0</v>
      </c>
      <c r="H33" s="76">
        <f>+G33-E33</f>
        <v>0</v>
      </c>
      <c r="I33" s="77" t="s">
        <v>6</v>
      </c>
      <c r="K33" s="2">
        <v>0</v>
      </c>
    </row>
    <row r="34" spans="1:11" ht="24.95" customHeight="1">
      <c r="A34" s="72" t="s">
        <v>179</v>
      </c>
      <c r="B34" s="65" t="s">
        <v>9</v>
      </c>
      <c r="C34" s="69">
        <f>+C40+C36</f>
        <v>75692165</v>
      </c>
      <c r="D34" s="69">
        <f>+D40+D36</f>
        <v>60915426</v>
      </c>
      <c r="E34" s="69">
        <f>+E40+E36</f>
        <v>60495426</v>
      </c>
      <c r="F34" s="69">
        <f>+F40+F36</f>
        <v>55664</v>
      </c>
      <c r="G34" s="69">
        <f>G36+G40</f>
        <v>38548086</v>
      </c>
      <c r="H34" s="67">
        <f>G34-E34</f>
        <v>-21947340</v>
      </c>
      <c r="I34" s="68">
        <f>+G34/E34*100</f>
        <v>63.720662120802317</v>
      </c>
      <c r="K34" s="2">
        <v>38492422</v>
      </c>
    </row>
    <row r="35" spans="1:11" ht="9.9499999999999993" customHeight="1">
      <c r="A35" s="72"/>
      <c r="B35" s="78"/>
      <c r="C35" s="75"/>
      <c r="D35" s="75"/>
      <c r="E35" s="75"/>
      <c r="F35" s="74"/>
      <c r="G35" s="75"/>
      <c r="H35" s="76"/>
      <c r="I35" s="77"/>
    </row>
    <row r="36" spans="1:11" ht="18" customHeight="1">
      <c r="A36" s="72" t="s">
        <v>180</v>
      </c>
      <c r="B36" s="65" t="s">
        <v>246</v>
      </c>
      <c r="C36" s="69">
        <f t="shared" ref="C36:D38" si="2">C37</f>
        <v>73592165</v>
      </c>
      <c r="D36" s="69">
        <f t="shared" si="2"/>
        <v>58815426</v>
      </c>
      <c r="E36" s="69">
        <f>E37</f>
        <v>58815426</v>
      </c>
      <c r="F36" s="69">
        <f t="shared" ref="F36:G38" si="3">F37</f>
        <v>55664</v>
      </c>
      <c r="G36" s="69">
        <f t="shared" si="3"/>
        <v>36868086</v>
      </c>
      <c r="H36" s="67">
        <f>H37</f>
        <v>21947340</v>
      </c>
      <c r="I36" s="68">
        <f>I37</f>
        <v>62.68438147502323</v>
      </c>
      <c r="K36" s="2">
        <v>36812422</v>
      </c>
    </row>
    <row r="37" spans="1:11" ht="18" customHeight="1">
      <c r="A37" s="73" t="s">
        <v>181</v>
      </c>
      <c r="B37" s="78" t="s">
        <v>251</v>
      </c>
      <c r="C37" s="75">
        <f t="shared" si="2"/>
        <v>73592165</v>
      </c>
      <c r="D37" s="75">
        <f t="shared" si="2"/>
        <v>58815426</v>
      </c>
      <c r="E37" s="75">
        <f>E38</f>
        <v>58815426</v>
      </c>
      <c r="F37" s="75">
        <f t="shared" si="3"/>
        <v>55664</v>
      </c>
      <c r="G37" s="75">
        <f t="shared" si="3"/>
        <v>36868086</v>
      </c>
      <c r="H37" s="76">
        <f>H38</f>
        <v>21947340</v>
      </c>
      <c r="I37" s="77">
        <f>G37/E37*100</f>
        <v>62.68438147502323</v>
      </c>
      <c r="K37" s="2">
        <v>36812422</v>
      </c>
    </row>
    <row r="38" spans="1:11" ht="18" customHeight="1">
      <c r="A38" s="73" t="s">
        <v>182</v>
      </c>
      <c r="B38" s="78" t="s">
        <v>252</v>
      </c>
      <c r="C38" s="75">
        <f t="shared" si="2"/>
        <v>73592165</v>
      </c>
      <c r="D38" s="75">
        <f>+D39</f>
        <v>58815426</v>
      </c>
      <c r="E38" s="75">
        <f>E39</f>
        <v>58815426</v>
      </c>
      <c r="F38" s="75">
        <f t="shared" si="3"/>
        <v>55664</v>
      </c>
      <c r="G38" s="75">
        <f t="shared" si="3"/>
        <v>36868086</v>
      </c>
      <c r="H38" s="76">
        <f>H39</f>
        <v>21947340</v>
      </c>
      <c r="I38" s="77">
        <f>G38/E38*100</f>
        <v>62.68438147502323</v>
      </c>
      <c r="K38" s="2">
        <v>36812422</v>
      </c>
    </row>
    <row r="39" spans="1:11" ht="18" customHeight="1">
      <c r="A39" s="73" t="s">
        <v>183</v>
      </c>
      <c r="B39" s="78" t="s">
        <v>253</v>
      </c>
      <c r="C39" s="75">
        <v>73592165</v>
      </c>
      <c r="D39" s="75">
        <f>73592165-14776739</f>
        <v>58815426</v>
      </c>
      <c r="E39" s="75">
        <f>14649319+57265+52832+21947343+52832+52831+21947340+55664</f>
        <v>58815426</v>
      </c>
      <c r="F39" s="75">
        <v>55664</v>
      </c>
      <c r="G39" s="75">
        <f>K39+F39</f>
        <v>36868086</v>
      </c>
      <c r="H39" s="76">
        <f>E39-G39</f>
        <v>21947340</v>
      </c>
      <c r="I39" s="77">
        <f>G39/E39*100</f>
        <v>62.68438147502323</v>
      </c>
      <c r="K39" s="2">
        <v>36812422</v>
      </c>
    </row>
    <row r="40" spans="1:11" ht="24.95" customHeight="1">
      <c r="A40" s="72" t="s">
        <v>184</v>
      </c>
      <c r="B40" s="65" t="s">
        <v>247</v>
      </c>
      <c r="C40" s="69">
        <f>SUM(C41)</f>
        <v>2100000</v>
      </c>
      <c r="D40" s="69">
        <f>SUM(D41)</f>
        <v>2100000</v>
      </c>
      <c r="E40" s="69">
        <f t="shared" ref="E40:F43" si="4">E41</f>
        <v>1680000</v>
      </c>
      <c r="F40" s="69">
        <f>F41</f>
        <v>0</v>
      </c>
      <c r="G40" s="69">
        <f>G41</f>
        <v>1680000</v>
      </c>
      <c r="H40" s="67">
        <f>+G40-E40</f>
        <v>0</v>
      </c>
      <c r="I40" s="68">
        <f>+G40/E40*100</f>
        <v>100</v>
      </c>
      <c r="K40" s="2">
        <v>1680000</v>
      </c>
    </row>
    <row r="41" spans="1:11" ht="24.95" customHeight="1">
      <c r="A41" s="73" t="s">
        <v>351</v>
      </c>
      <c r="B41" s="78" t="s">
        <v>187</v>
      </c>
      <c r="C41" s="75">
        <f t="shared" ref="C41:D43" si="5">C42</f>
        <v>2100000</v>
      </c>
      <c r="D41" s="75">
        <v>2100000</v>
      </c>
      <c r="E41" s="75">
        <f t="shared" si="4"/>
        <v>1680000</v>
      </c>
      <c r="F41" s="75">
        <f t="shared" si="4"/>
        <v>0</v>
      </c>
      <c r="G41" s="75">
        <f>G42</f>
        <v>1680000</v>
      </c>
      <c r="H41" s="76">
        <f>+G41-E41</f>
        <v>0</v>
      </c>
      <c r="I41" s="77">
        <f>+G41/E41*100</f>
        <v>100</v>
      </c>
      <c r="K41" s="2">
        <v>1680000</v>
      </c>
    </row>
    <row r="42" spans="1:11" ht="18" customHeight="1">
      <c r="A42" s="73" t="s">
        <v>351</v>
      </c>
      <c r="B42" s="78" t="s">
        <v>248</v>
      </c>
      <c r="C42" s="75">
        <f t="shared" si="5"/>
        <v>2100000</v>
      </c>
      <c r="D42" s="75">
        <f t="shared" si="5"/>
        <v>2100000</v>
      </c>
      <c r="E42" s="75">
        <f t="shared" si="4"/>
        <v>1680000</v>
      </c>
      <c r="F42" s="75">
        <f t="shared" si="4"/>
        <v>0</v>
      </c>
      <c r="G42" s="75">
        <f>G43</f>
        <v>1680000</v>
      </c>
      <c r="H42" s="76">
        <f>+G42-E42</f>
        <v>0</v>
      </c>
      <c r="I42" s="77">
        <f>G42/E42*100</f>
        <v>100</v>
      </c>
      <c r="K42" s="2">
        <v>1680000</v>
      </c>
    </row>
    <row r="43" spans="1:11" ht="17.45" customHeight="1">
      <c r="A43" s="73" t="s">
        <v>352</v>
      </c>
      <c r="B43" s="78" t="s">
        <v>249</v>
      </c>
      <c r="C43" s="75">
        <f t="shared" si="5"/>
        <v>2100000</v>
      </c>
      <c r="D43" s="75">
        <f t="shared" si="5"/>
        <v>2100000</v>
      </c>
      <c r="E43" s="75">
        <f t="shared" si="4"/>
        <v>1680000</v>
      </c>
      <c r="F43" s="75">
        <f>+F44</f>
        <v>0</v>
      </c>
      <c r="G43" s="75">
        <f>G44</f>
        <v>1680000</v>
      </c>
      <c r="H43" s="76"/>
      <c r="I43" s="77">
        <f>G43/E43*100</f>
        <v>100</v>
      </c>
      <c r="K43" s="2">
        <v>1680000</v>
      </c>
    </row>
    <row r="44" spans="1:11" ht="17.45" customHeight="1">
      <c r="A44" s="73" t="s">
        <v>353</v>
      </c>
      <c r="B44" s="78" t="s">
        <v>250</v>
      </c>
      <c r="C44" s="75">
        <v>2100000</v>
      </c>
      <c r="D44" s="75">
        <v>2100000</v>
      </c>
      <c r="E44" s="75">
        <v>1680000</v>
      </c>
      <c r="F44" s="75">
        <v>0</v>
      </c>
      <c r="G44" s="75">
        <f>K44+F44</f>
        <v>1680000</v>
      </c>
      <c r="H44" s="76"/>
      <c r="I44" s="77">
        <f>G44/E44*100</f>
        <v>100</v>
      </c>
      <c r="K44" s="2">
        <v>1680000</v>
      </c>
    </row>
    <row r="45" spans="1:11" ht="16.899999999999999" customHeight="1">
      <c r="A45" s="50"/>
      <c r="B45" s="78"/>
      <c r="C45" s="81"/>
      <c r="D45" s="81"/>
      <c r="E45" s="75"/>
      <c r="F45" s="74"/>
      <c r="G45" s="75"/>
      <c r="H45" s="76"/>
      <c r="I45" s="82"/>
    </row>
    <row r="46" spans="1:11" ht="24.6" hidden="1" customHeight="1">
      <c r="A46" s="43"/>
      <c r="B46" s="65" t="s">
        <v>147</v>
      </c>
      <c r="C46" s="65"/>
      <c r="D46" s="69">
        <f>SUM(D48)</f>
        <v>5210534</v>
      </c>
      <c r="E46" s="69">
        <f>SUM(E48)</f>
        <v>4639377</v>
      </c>
      <c r="F46" s="69">
        <f>SUM(F48:F48)</f>
        <v>1797741</v>
      </c>
      <c r="G46" s="69" t="e">
        <f>#REF!+F46</f>
        <v>#REF!</v>
      </c>
      <c r="H46" s="67" t="e">
        <f>+G46-E46</f>
        <v>#REF!</v>
      </c>
      <c r="I46" s="68" t="e">
        <f>+G46/E46*100</f>
        <v>#REF!</v>
      </c>
      <c r="J46" s="29">
        <v>4639377</v>
      </c>
    </row>
    <row r="47" spans="1:11" ht="9.6" hidden="1" customHeight="1">
      <c r="A47" s="43"/>
      <c r="B47" s="78"/>
      <c r="C47" s="78"/>
      <c r="D47" s="75"/>
      <c r="E47" s="75"/>
      <c r="F47" s="75"/>
      <c r="G47" s="58">
        <f>F47</f>
        <v>0</v>
      </c>
      <c r="H47" s="76" t="s">
        <v>6</v>
      </c>
      <c r="I47" s="77" t="s">
        <v>6</v>
      </c>
      <c r="J47" s="29">
        <v>0</v>
      </c>
    </row>
    <row r="48" spans="1:11" ht="24.6" hidden="1" customHeight="1">
      <c r="A48" s="43"/>
      <c r="B48" s="78" t="s">
        <v>29</v>
      </c>
      <c r="C48" s="78"/>
      <c r="D48" s="75">
        <v>5210534</v>
      </c>
      <c r="E48" s="75">
        <v>4639377</v>
      </c>
      <c r="F48" s="83">
        <f>1779848+17893</f>
        <v>1797741</v>
      </c>
      <c r="G48" s="58" t="e">
        <f>F48+#REF!</f>
        <v>#REF!</v>
      </c>
      <c r="H48" s="76" t="e">
        <f>+G48-E48</f>
        <v>#REF!</v>
      </c>
      <c r="I48" s="77" t="e">
        <f>+G48/E48*100</f>
        <v>#REF!</v>
      </c>
      <c r="J48" s="29">
        <v>4639377</v>
      </c>
    </row>
    <row r="49" spans="1:11" ht="7.15" hidden="1" customHeight="1">
      <c r="A49" s="49"/>
      <c r="B49" s="84"/>
      <c r="C49" s="85"/>
      <c r="D49" s="86"/>
      <c r="E49" s="81" t="s">
        <v>6</v>
      </c>
      <c r="F49" s="87" t="s">
        <v>6</v>
      </c>
      <c r="G49" s="81" t="s">
        <v>6</v>
      </c>
      <c r="H49" s="81" t="s">
        <v>6</v>
      </c>
      <c r="I49" s="88"/>
      <c r="J49" s="29" t="s">
        <v>6</v>
      </c>
    </row>
    <row r="50" spans="1:11" ht="15.95" customHeight="1">
      <c r="A50" s="2" t="s">
        <v>6</v>
      </c>
      <c r="B50" s="89" t="s">
        <v>6</v>
      </c>
      <c r="C50" s="90"/>
      <c r="D50" s="90"/>
      <c r="E50" s="91"/>
      <c r="F50" s="91"/>
      <c r="G50" s="91"/>
      <c r="H50" s="92"/>
      <c r="I50" s="90"/>
    </row>
    <row r="51" spans="1:11">
      <c r="B51" s="93" t="s">
        <v>6</v>
      </c>
      <c r="C51" s="93"/>
      <c r="D51" s="1"/>
      <c r="E51" s="1"/>
      <c r="F51" s="1"/>
      <c r="G51" s="1"/>
      <c r="H51" s="94"/>
      <c r="I51"/>
    </row>
    <row r="52" spans="1:11" ht="15.75">
      <c r="B52" s="42" t="s">
        <v>6</v>
      </c>
      <c r="C52" s="42"/>
      <c r="D52" s="60"/>
      <c r="E52" s="201"/>
      <c r="F52" s="95"/>
      <c r="G52" s="95"/>
      <c r="H52" s="95"/>
      <c r="I52" s="4"/>
    </row>
    <row r="53" spans="1:11" ht="30" customHeight="1">
      <c r="B53" s="96" t="s">
        <v>6</v>
      </c>
      <c r="C53" s="96"/>
      <c r="D53" s="35" t="s">
        <v>6</v>
      </c>
      <c r="E53" s="201"/>
      <c r="F53" s="95"/>
      <c r="G53" s="95"/>
      <c r="H53" s="95"/>
      <c r="I53" s="4"/>
    </row>
    <row r="54" spans="1:11" ht="15.75">
      <c r="B54" s="96" t="s">
        <v>6</v>
      </c>
      <c r="C54" s="96"/>
      <c r="D54" s="1"/>
      <c r="E54" s="95"/>
      <c r="F54" s="95"/>
      <c r="G54" s="95"/>
      <c r="H54" s="95"/>
      <c r="I54" s="4"/>
    </row>
    <row r="55" spans="1:11" ht="15.75">
      <c r="B55" s="42" t="s">
        <v>6</v>
      </c>
      <c r="C55" s="42"/>
      <c r="D55" s="95"/>
      <c r="E55" s="95"/>
      <c r="F55" s="95"/>
      <c r="G55" s="95"/>
      <c r="H55" s="95"/>
      <c r="I55" s="4"/>
    </row>
    <row r="56" spans="1:11" ht="15.75">
      <c r="B56" s="42" t="s">
        <v>6</v>
      </c>
      <c r="C56" s="42"/>
      <c r="D56" s="95"/>
      <c r="E56" s="95"/>
      <c r="F56" s="95"/>
      <c r="G56" s="95"/>
      <c r="H56" s="95"/>
      <c r="I56" s="4"/>
      <c r="K56" s="29" t="s">
        <v>6</v>
      </c>
    </row>
    <row r="57" spans="1:11" ht="15.75">
      <c r="B57" s="42" t="s">
        <v>6</v>
      </c>
      <c r="C57" s="42"/>
      <c r="D57" s="95"/>
      <c r="E57" s="95"/>
      <c r="F57" s="95"/>
      <c r="G57" s="95"/>
      <c r="H57" s="95"/>
      <c r="I57" s="4"/>
    </row>
    <row r="58" spans="1:11" ht="15.75">
      <c r="B58" s="42" t="s">
        <v>6</v>
      </c>
      <c r="C58" s="42"/>
      <c r="D58" s="95"/>
      <c r="E58" s="95"/>
      <c r="F58" s="95"/>
      <c r="G58" s="95"/>
      <c r="H58" s="95"/>
      <c r="I58" s="4"/>
    </row>
    <row r="59" spans="1:11">
      <c r="B59"/>
      <c r="C59"/>
      <c r="D59" s="4"/>
      <c r="E59" s="4"/>
      <c r="F59" s="4"/>
      <c r="G59" s="4"/>
      <c r="H59" s="4"/>
      <c r="I59" s="4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7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F43 E15 G24:H33 E39 D38 G39 H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zoomScaleNormal="100" workbookViewId="0">
      <selection activeCell="T16" sqref="T16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4" width="12.28515625" customWidth="1"/>
    <col min="5" max="5" width="12.7109375" customWidth="1"/>
    <col min="6" max="6" width="14.28515625" customWidth="1"/>
    <col min="7" max="7" width="14.140625" customWidth="1"/>
    <col min="8" max="8" width="13.28515625" customWidth="1"/>
    <col min="9" max="9" width="10.140625" customWidth="1"/>
    <col min="10" max="10" width="13.7109375" customWidth="1"/>
    <col min="11" max="11" width="0.140625" hidden="1" customWidth="1"/>
    <col min="12" max="12" width="24.28515625" style="52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472" t="s">
        <v>150</v>
      </c>
      <c r="B1" s="472"/>
      <c r="C1" s="472"/>
      <c r="D1" s="472"/>
      <c r="E1" s="472"/>
      <c r="F1" s="472"/>
      <c r="G1" s="472"/>
      <c r="H1" s="472"/>
      <c r="I1" s="472"/>
    </row>
    <row r="2" spans="1:24" ht="18" customHeight="1">
      <c r="A2" s="472" t="s">
        <v>151</v>
      </c>
      <c r="B2" s="472"/>
      <c r="C2" s="472"/>
      <c r="D2" s="472"/>
      <c r="E2" s="472"/>
      <c r="F2" s="472"/>
      <c r="G2" s="472"/>
      <c r="H2" s="472"/>
      <c r="I2" s="472"/>
    </row>
    <row r="3" spans="1:24" ht="18" customHeight="1">
      <c r="A3" s="483" t="s">
        <v>190</v>
      </c>
      <c r="B3" s="484"/>
      <c r="C3" s="484"/>
      <c r="D3" s="484"/>
      <c r="E3" s="484"/>
      <c r="F3" s="484"/>
      <c r="G3" s="484"/>
      <c r="H3" s="484"/>
      <c r="I3" s="485"/>
    </row>
    <row r="4" spans="1:24" ht="18" customHeight="1">
      <c r="A4" s="483" t="s">
        <v>367</v>
      </c>
      <c r="B4" s="484"/>
      <c r="C4" s="484"/>
      <c r="D4" s="484"/>
      <c r="E4" s="484"/>
      <c r="F4" s="484"/>
      <c r="G4" s="484"/>
      <c r="H4" s="484"/>
      <c r="I4" s="485"/>
    </row>
    <row r="5" spans="1:24" ht="15" thickBot="1">
      <c r="A5" s="97"/>
      <c r="B5" s="98"/>
      <c r="C5" s="98"/>
      <c r="D5" s="98"/>
      <c r="E5" s="98"/>
      <c r="F5" s="98"/>
      <c r="G5" s="98"/>
      <c r="H5" s="98"/>
    </row>
    <row r="6" spans="1:24" ht="21" customHeight="1">
      <c r="A6" s="486" t="s">
        <v>6</v>
      </c>
      <c r="B6" s="488" t="s">
        <v>31</v>
      </c>
      <c r="C6" s="492" t="s">
        <v>24</v>
      </c>
      <c r="D6" s="493"/>
      <c r="E6" s="494"/>
      <c r="F6" s="490" t="s">
        <v>277</v>
      </c>
      <c r="G6" s="490"/>
      <c r="H6" s="490" t="s">
        <v>1</v>
      </c>
      <c r="I6" s="491"/>
    </row>
    <row r="7" spans="1:24" ht="24.75" customHeight="1" thickBot="1">
      <c r="A7" s="487"/>
      <c r="B7" s="489"/>
      <c r="C7" s="298" t="s">
        <v>58</v>
      </c>
      <c r="D7" s="299" t="s">
        <v>10</v>
      </c>
      <c r="E7" s="299" t="s">
        <v>2</v>
      </c>
      <c r="F7" s="299" t="s">
        <v>28</v>
      </c>
      <c r="G7" s="299" t="s">
        <v>32</v>
      </c>
      <c r="H7" s="299" t="s">
        <v>148</v>
      </c>
      <c r="I7" s="300" t="s">
        <v>5</v>
      </c>
      <c r="K7" s="26"/>
    </row>
    <row r="8" spans="1:24" ht="20.100000000000001" customHeight="1">
      <c r="A8" s="99"/>
      <c r="B8" s="100"/>
      <c r="C8" s="100"/>
      <c r="D8" s="101"/>
      <c r="E8" s="102"/>
      <c r="F8" s="102"/>
      <c r="G8" s="102"/>
      <c r="H8" s="102"/>
      <c r="I8" s="103"/>
    </row>
    <row r="9" spans="1:24" ht="20.100000000000001" customHeight="1">
      <c r="A9" s="104" t="s">
        <v>12</v>
      </c>
      <c r="B9" s="105"/>
      <c r="C9" s="106">
        <v>234334098</v>
      </c>
      <c r="D9" s="106">
        <v>219557359</v>
      </c>
      <c r="E9" s="106">
        <v>175459621</v>
      </c>
      <c r="F9" s="106">
        <v>12550322.07</v>
      </c>
      <c r="G9" s="106">
        <v>115729230.14</v>
      </c>
      <c r="H9" s="107">
        <v>-59730390.859999999</v>
      </c>
      <c r="I9" s="108">
        <v>65.957756822009785</v>
      </c>
      <c r="J9" s="39"/>
      <c r="L9" s="283" t="s">
        <v>6</v>
      </c>
    </row>
    <row r="10" spans="1:24" ht="20.100000000000001" customHeight="1">
      <c r="A10" s="104"/>
      <c r="B10" s="105"/>
      <c r="C10" s="106"/>
      <c r="D10" s="106"/>
      <c r="E10" s="106"/>
      <c r="F10" s="106"/>
      <c r="G10" s="106"/>
      <c r="H10" s="107"/>
      <c r="I10" s="108"/>
      <c r="J10" s="39"/>
      <c r="L10" s="284"/>
    </row>
    <row r="11" spans="1:24" ht="20.100000000000001" customHeight="1">
      <c r="A11" s="281" t="s">
        <v>13</v>
      </c>
      <c r="B11" s="105"/>
      <c r="C11" s="106">
        <v>15328172</v>
      </c>
      <c r="D11" s="106">
        <v>15328172</v>
      </c>
      <c r="E11" s="106">
        <v>14276757</v>
      </c>
      <c r="F11" s="106">
        <v>1049117.07</v>
      </c>
      <c r="G11" s="106">
        <v>8767191.1400000006</v>
      </c>
      <c r="H11" s="107">
        <v>5509565.8599999994</v>
      </c>
      <c r="I11" s="108">
        <v>61.408841937983539</v>
      </c>
      <c r="J11" s="39"/>
      <c r="K11" s="1"/>
      <c r="L11" s="283" t="s">
        <v>6</v>
      </c>
    </row>
    <row r="12" spans="1:24" ht="20.100000000000001" customHeight="1">
      <c r="A12" s="109"/>
      <c r="B12" s="110"/>
      <c r="C12" s="111"/>
      <c r="D12" s="111"/>
      <c r="E12" s="111" t="s">
        <v>6</v>
      </c>
      <c r="F12" s="111"/>
      <c r="G12" s="111"/>
      <c r="H12" s="112"/>
      <c r="I12" s="113"/>
      <c r="J12" s="37"/>
    </row>
    <row r="13" spans="1:24" ht="20.100000000000001" customHeight="1">
      <c r="A13" s="114" t="s">
        <v>260</v>
      </c>
      <c r="B13" s="115" t="s">
        <v>354</v>
      </c>
      <c r="C13" s="116">
        <v>700000</v>
      </c>
      <c r="D13" s="116">
        <v>700000</v>
      </c>
      <c r="E13" s="116">
        <v>572346</v>
      </c>
      <c r="F13" s="116">
        <v>98670.37</v>
      </c>
      <c r="G13" s="116">
        <v>706696</v>
      </c>
      <c r="H13" s="117">
        <v>134350</v>
      </c>
      <c r="I13" s="118">
        <v>123.47356319429157</v>
      </c>
      <c r="J13" s="38"/>
      <c r="K13" s="1"/>
      <c r="L13" s="285" t="s">
        <v>6</v>
      </c>
      <c r="Q13" s="20"/>
      <c r="R13" s="21"/>
      <c r="S13" s="21"/>
      <c r="T13" s="22"/>
      <c r="U13" s="22"/>
      <c r="V13" s="22"/>
      <c r="W13" s="22"/>
      <c r="X13" s="22"/>
    </row>
    <row r="14" spans="1:24" ht="20.100000000000001" customHeight="1">
      <c r="A14" s="114" t="s">
        <v>261</v>
      </c>
      <c r="B14" s="115" t="s">
        <v>33</v>
      </c>
      <c r="C14" s="116">
        <v>4776492</v>
      </c>
      <c r="D14" s="116">
        <v>4776492</v>
      </c>
      <c r="E14" s="116">
        <v>4469328</v>
      </c>
      <c r="F14" s="116">
        <v>140738.12</v>
      </c>
      <c r="G14" s="116">
        <v>1030494.6</v>
      </c>
      <c r="H14" s="117">
        <v>-3438833.4</v>
      </c>
      <c r="I14" s="118">
        <v>23.057036762573702</v>
      </c>
      <c r="J14" s="38"/>
      <c r="K14" s="1"/>
      <c r="L14" s="285"/>
      <c r="R14" s="21"/>
      <c r="S14" s="21"/>
      <c r="T14" s="22"/>
      <c r="U14" s="22"/>
      <c r="V14" s="22"/>
      <c r="W14" s="22"/>
      <c r="X14" s="22"/>
    </row>
    <row r="15" spans="1:24" ht="20.100000000000001" customHeight="1">
      <c r="A15" s="119" t="s">
        <v>262</v>
      </c>
      <c r="B15" s="115" t="s">
        <v>255</v>
      </c>
      <c r="C15" s="116">
        <v>4774884</v>
      </c>
      <c r="D15" s="116">
        <v>4774884</v>
      </c>
      <c r="E15" s="116">
        <v>4696756</v>
      </c>
      <c r="F15" s="116">
        <v>629486.63</v>
      </c>
      <c r="G15" s="116">
        <v>4102295.9899999998</v>
      </c>
      <c r="H15" s="117">
        <v>-594460.01000000024</v>
      </c>
      <c r="I15" s="118">
        <v>87.343178781269444</v>
      </c>
      <c r="J15" s="38"/>
      <c r="K15" s="1"/>
      <c r="L15" s="285"/>
      <c r="R15" s="21"/>
      <c r="S15" s="21"/>
      <c r="T15" s="22"/>
      <c r="U15" s="22"/>
      <c r="V15" s="22"/>
      <c r="W15" s="22"/>
      <c r="X15" s="22"/>
    </row>
    <row r="16" spans="1:24" ht="20.100000000000001" customHeight="1">
      <c r="A16" s="119" t="s">
        <v>263</v>
      </c>
      <c r="B16" s="115" t="s">
        <v>256</v>
      </c>
      <c r="C16" s="116">
        <v>66714</v>
      </c>
      <c r="D16" s="116">
        <v>66714</v>
      </c>
      <c r="E16" s="116">
        <v>50031</v>
      </c>
      <c r="F16" s="116">
        <v>876</v>
      </c>
      <c r="G16" s="116">
        <v>59305.83</v>
      </c>
      <c r="H16" s="117">
        <v>9274.8300000000017</v>
      </c>
      <c r="I16" s="118">
        <v>118.53816633687116</v>
      </c>
      <c r="J16" s="38"/>
      <c r="K16" s="1"/>
      <c r="L16" s="285"/>
      <c r="R16" s="21"/>
      <c r="S16" s="21"/>
      <c r="T16" s="22"/>
      <c r="U16" s="22"/>
      <c r="V16" s="22"/>
      <c r="W16" s="22"/>
      <c r="X16" s="22"/>
    </row>
    <row r="17" spans="1:24" ht="20.100000000000001" customHeight="1">
      <c r="A17" s="119" t="s">
        <v>264</v>
      </c>
      <c r="B17" s="115" t="s">
        <v>257</v>
      </c>
      <c r="C17" s="116">
        <v>410082</v>
      </c>
      <c r="D17" s="116">
        <v>410082</v>
      </c>
      <c r="E17" s="116">
        <v>341736</v>
      </c>
      <c r="F17" s="116">
        <v>129854.5</v>
      </c>
      <c r="G17" s="116">
        <v>777569.67999999993</v>
      </c>
      <c r="H17" s="117">
        <v>435833.67999999993</v>
      </c>
      <c r="I17" s="118">
        <v>227.5351967600721</v>
      </c>
      <c r="J17" s="38"/>
      <c r="K17" s="1"/>
      <c r="L17" s="285"/>
      <c r="R17" s="21"/>
      <c r="S17" s="21"/>
      <c r="T17" s="22"/>
      <c r="U17" s="22"/>
      <c r="V17" s="22"/>
      <c r="W17" s="22"/>
      <c r="X17" s="22"/>
    </row>
    <row r="18" spans="1:24" ht="20.100000000000001" customHeight="1">
      <c r="A18" s="119" t="s">
        <v>265</v>
      </c>
      <c r="B18" s="115" t="s">
        <v>355</v>
      </c>
      <c r="C18" s="116">
        <v>2500000</v>
      </c>
      <c r="D18" s="116">
        <v>2500000</v>
      </c>
      <c r="E18" s="116">
        <v>2466560</v>
      </c>
      <c r="F18" s="116">
        <v>49491.45</v>
      </c>
      <c r="G18" s="116">
        <v>410829.04000000004</v>
      </c>
      <c r="H18" s="120">
        <v>-2055730.96</v>
      </c>
      <c r="I18" s="118">
        <v>16.655951608718215</v>
      </c>
      <c r="J18" s="38"/>
      <c r="K18" s="1"/>
      <c r="L18" s="285"/>
      <c r="M18" s="1"/>
      <c r="R18" s="21"/>
      <c r="S18" s="21"/>
      <c r="T18" s="22"/>
      <c r="U18" s="22"/>
      <c r="V18" s="22"/>
      <c r="W18" s="22"/>
      <c r="X18" s="22"/>
    </row>
    <row r="19" spans="1:24" ht="20.100000000000001" customHeight="1">
      <c r="A19" s="119" t="s">
        <v>266</v>
      </c>
      <c r="B19" s="115" t="s">
        <v>356</v>
      </c>
      <c r="C19" s="116"/>
      <c r="D19" s="116" t="s">
        <v>6</v>
      </c>
      <c r="E19" s="116">
        <v>0</v>
      </c>
      <c r="F19" s="116">
        <v>0</v>
      </c>
      <c r="G19" s="116">
        <v>0</v>
      </c>
      <c r="H19" s="120" t="s">
        <v>6</v>
      </c>
      <c r="I19" s="118" t="s">
        <v>6</v>
      </c>
      <c r="J19" s="38"/>
      <c r="K19" s="1"/>
      <c r="L19" s="285"/>
      <c r="R19" s="21"/>
      <c r="S19" s="21"/>
      <c r="T19" s="22"/>
      <c r="U19" s="22"/>
      <c r="V19" s="22"/>
      <c r="W19" s="22"/>
      <c r="X19" s="22"/>
    </row>
    <row r="20" spans="1:24" ht="20.100000000000001" customHeight="1">
      <c r="A20" s="119" t="s">
        <v>267</v>
      </c>
      <c r="B20" s="115" t="s">
        <v>357</v>
      </c>
      <c r="C20" s="116">
        <v>2100000</v>
      </c>
      <c r="D20" s="116">
        <v>2100000</v>
      </c>
      <c r="E20" s="116">
        <v>1680000</v>
      </c>
      <c r="F20" s="116">
        <v>0</v>
      </c>
      <c r="G20" s="116">
        <v>1680000</v>
      </c>
      <c r="H20" s="120">
        <v>0</v>
      </c>
      <c r="I20" s="118">
        <v>100</v>
      </c>
      <c r="J20" s="38"/>
      <c r="K20" s="1"/>
      <c r="L20" s="285"/>
      <c r="R20" s="21"/>
      <c r="S20" s="21"/>
      <c r="T20" s="22"/>
      <c r="U20" s="22"/>
      <c r="V20" s="22"/>
      <c r="W20" s="22"/>
      <c r="X20" s="22"/>
    </row>
    <row r="21" spans="1:24" ht="20.100000000000001" customHeight="1" thickBot="1">
      <c r="A21" s="121"/>
      <c r="B21" s="122"/>
      <c r="C21" s="122"/>
      <c r="D21" s="111"/>
      <c r="E21" s="111" t="s">
        <v>6</v>
      </c>
      <c r="F21" s="111" t="s">
        <v>6</v>
      </c>
      <c r="G21" s="111" t="s">
        <v>6</v>
      </c>
      <c r="H21" s="123"/>
      <c r="I21" s="113"/>
      <c r="J21" s="37"/>
      <c r="K21" s="1"/>
      <c r="L21" s="285"/>
      <c r="R21" s="21"/>
      <c r="S21" s="21"/>
      <c r="T21" s="22"/>
      <c r="U21" s="22"/>
      <c r="V21" s="22"/>
      <c r="W21" s="22"/>
      <c r="X21" s="22"/>
    </row>
    <row r="22" spans="1:24" ht="20.100000000000001" customHeight="1" thickTop="1">
      <c r="A22" s="281" t="s">
        <v>14</v>
      </c>
      <c r="B22" s="124"/>
      <c r="C22" s="106">
        <v>219005926</v>
      </c>
      <c r="D22" s="106">
        <v>204229187</v>
      </c>
      <c r="E22" s="106">
        <v>161182864</v>
      </c>
      <c r="F22" s="106">
        <v>11501205</v>
      </c>
      <c r="G22" s="106">
        <v>106962039</v>
      </c>
      <c r="H22" s="125">
        <v>-54220825</v>
      </c>
      <c r="I22" s="108">
        <v>66.360676529485175</v>
      </c>
      <c r="J22" s="39"/>
      <c r="K22" s="380">
        <v>63187378</v>
      </c>
      <c r="L22" s="285"/>
      <c r="R22" s="23"/>
      <c r="S22" s="23"/>
      <c r="T22" s="22"/>
      <c r="U22" s="22"/>
      <c r="V22" s="22"/>
      <c r="W22" s="22"/>
      <c r="X22" s="22"/>
    </row>
    <row r="23" spans="1:24" ht="20.100000000000001" customHeight="1">
      <c r="A23" s="104" t="s">
        <v>6</v>
      </c>
      <c r="B23" s="124"/>
      <c r="C23" s="106"/>
      <c r="D23" s="106"/>
      <c r="E23" s="106"/>
      <c r="F23" s="106"/>
      <c r="G23" s="106">
        <v>0</v>
      </c>
      <c r="H23" s="125"/>
      <c r="I23" s="108"/>
      <c r="J23" s="39"/>
      <c r="K23" s="381">
        <v>0</v>
      </c>
      <c r="L23" s="285"/>
      <c r="R23" s="21"/>
      <c r="S23" s="21"/>
      <c r="T23" s="22"/>
      <c r="U23" s="22"/>
      <c r="V23" s="22"/>
      <c r="W23" s="22"/>
      <c r="X23" s="22"/>
    </row>
    <row r="24" spans="1:24" ht="33" customHeight="1">
      <c r="A24" s="126" t="s">
        <v>34</v>
      </c>
      <c r="B24" s="124" t="s">
        <v>35</v>
      </c>
      <c r="C24" s="106">
        <v>145413761</v>
      </c>
      <c r="D24" s="106">
        <v>145413761</v>
      </c>
      <c r="E24" s="106">
        <v>102367438</v>
      </c>
      <c r="F24" s="106">
        <v>11445541</v>
      </c>
      <c r="G24" s="106">
        <v>70093953</v>
      </c>
      <c r="H24" s="125">
        <v>-32273485</v>
      </c>
      <c r="I24" s="108">
        <v>68.472899556204581</v>
      </c>
      <c r="J24" s="39"/>
      <c r="K24" s="381">
        <f>SUM(K26:K28)</f>
        <v>58648412</v>
      </c>
      <c r="L24" s="283" t="s">
        <v>6</v>
      </c>
      <c r="R24" s="23"/>
      <c r="S24" s="23"/>
      <c r="T24" s="22"/>
      <c r="U24" s="22"/>
      <c r="V24" s="22"/>
      <c r="W24" s="22"/>
      <c r="X24" s="22"/>
    </row>
    <row r="25" spans="1:24" ht="17.45" customHeight="1">
      <c r="A25" s="126"/>
      <c r="B25" s="124"/>
      <c r="C25" s="106"/>
      <c r="D25" s="106"/>
      <c r="E25" s="106"/>
      <c r="F25" s="106"/>
      <c r="G25" s="106"/>
      <c r="H25" s="125"/>
      <c r="I25" s="108"/>
      <c r="J25" s="39"/>
      <c r="K25" s="381"/>
      <c r="L25" s="285"/>
      <c r="Q25" s="1"/>
      <c r="R25" s="23"/>
      <c r="S25" s="23"/>
      <c r="T25" s="22"/>
      <c r="U25" s="22"/>
      <c r="V25" s="22"/>
      <c r="W25" s="22"/>
      <c r="X25" s="22"/>
    </row>
    <row r="26" spans="1:24" ht="20.100000000000001" customHeight="1">
      <c r="A26" s="119" t="s">
        <v>268</v>
      </c>
      <c r="B26" s="122"/>
      <c r="C26" s="116">
        <v>130068447</v>
      </c>
      <c r="D26" s="116">
        <v>130068447</v>
      </c>
      <c r="E26" s="116">
        <v>92009139</v>
      </c>
      <c r="F26" s="116">
        <v>8922570</v>
      </c>
      <c r="G26" s="116">
        <v>60972816</v>
      </c>
      <c r="H26" s="117">
        <v>-31036323</v>
      </c>
      <c r="I26" s="118">
        <v>66.268217116997477</v>
      </c>
      <c r="J26" s="38"/>
      <c r="K26" s="382">
        <v>52050246</v>
      </c>
      <c r="L26" s="285"/>
      <c r="R26" s="21"/>
      <c r="S26" s="21"/>
      <c r="T26" s="22"/>
      <c r="U26" s="22"/>
      <c r="V26" s="22"/>
      <c r="W26" s="22"/>
      <c r="X26" s="22"/>
    </row>
    <row r="27" spans="1:24" ht="20.100000000000001" customHeight="1">
      <c r="A27" s="119" t="s">
        <v>269</v>
      </c>
      <c r="B27" s="115" t="s">
        <v>6</v>
      </c>
      <c r="C27" s="116">
        <v>170400</v>
      </c>
      <c r="D27" s="116">
        <v>170400</v>
      </c>
      <c r="E27" s="116">
        <v>127800</v>
      </c>
      <c r="F27" s="116">
        <v>42600</v>
      </c>
      <c r="G27" s="116">
        <v>127800</v>
      </c>
      <c r="H27" s="117">
        <v>0</v>
      </c>
      <c r="I27" s="118">
        <v>100</v>
      </c>
      <c r="J27" s="36"/>
      <c r="K27" s="382">
        <v>85200</v>
      </c>
      <c r="L27" s="285"/>
      <c r="R27" s="21"/>
      <c r="S27" s="21"/>
      <c r="T27" s="22"/>
      <c r="U27" s="22"/>
      <c r="V27" s="22"/>
      <c r="W27" s="22"/>
      <c r="X27" s="22"/>
    </row>
    <row r="28" spans="1:24" ht="20.100000000000001" customHeight="1">
      <c r="A28" s="119" t="s">
        <v>270</v>
      </c>
      <c r="B28" s="115"/>
      <c r="C28" s="116">
        <v>15174914</v>
      </c>
      <c r="D28" s="116">
        <v>15174914</v>
      </c>
      <c r="E28" s="116">
        <v>10230499</v>
      </c>
      <c r="F28" s="116">
        <v>2480371</v>
      </c>
      <c r="G28" s="116">
        <v>8993337</v>
      </c>
      <c r="H28" s="117">
        <v>-1237162</v>
      </c>
      <c r="I28" s="118">
        <v>87.907119682040928</v>
      </c>
      <c r="J28" s="36"/>
      <c r="K28" s="382">
        <v>6512966</v>
      </c>
      <c r="L28" s="285"/>
      <c r="R28" s="21"/>
      <c r="S28" s="21"/>
      <c r="T28" s="22"/>
      <c r="U28" s="22"/>
      <c r="V28" s="22"/>
      <c r="W28" s="22"/>
      <c r="X28" s="22"/>
    </row>
    <row r="29" spans="1:24" ht="20.100000000000001" customHeight="1">
      <c r="A29" s="121" t="s">
        <v>6</v>
      </c>
      <c r="B29" s="122"/>
      <c r="C29" s="111" t="s">
        <v>6</v>
      </c>
      <c r="D29" s="111" t="s">
        <v>6</v>
      </c>
      <c r="E29" s="127" t="s">
        <v>6</v>
      </c>
      <c r="F29" s="116" t="s">
        <v>6</v>
      </c>
      <c r="G29" s="111" t="s">
        <v>6</v>
      </c>
      <c r="H29" s="128"/>
      <c r="I29" s="113"/>
      <c r="J29" s="37"/>
      <c r="K29" s="383" t="s">
        <v>6</v>
      </c>
      <c r="L29" s="285"/>
      <c r="R29" s="21"/>
      <c r="S29" s="21"/>
      <c r="T29" s="22"/>
      <c r="U29" s="22"/>
      <c r="V29" s="22"/>
      <c r="W29" s="22"/>
      <c r="X29" s="22"/>
    </row>
    <row r="30" spans="1:24" ht="23.25" customHeight="1" thickBot="1">
      <c r="A30" s="126" t="s">
        <v>36</v>
      </c>
      <c r="B30" s="124" t="s">
        <v>37</v>
      </c>
      <c r="C30" s="106">
        <v>73592165</v>
      </c>
      <c r="D30" s="106">
        <v>58815426</v>
      </c>
      <c r="E30" s="106">
        <v>58815426</v>
      </c>
      <c r="F30" s="106">
        <v>55664</v>
      </c>
      <c r="G30" s="106">
        <v>36868086</v>
      </c>
      <c r="H30" s="107">
        <v>-21947340</v>
      </c>
      <c r="I30" s="108">
        <v>62.68438147502323</v>
      </c>
      <c r="J30" s="39"/>
      <c r="K30" s="384">
        <v>36812422</v>
      </c>
      <c r="L30" s="285"/>
      <c r="R30" s="24"/>
      <c r="S30" s="24"/>
      <c r="T30" s="22"/>
      <c r="U30" s="22"/>
      <c r="V30" s="22"/>
      <c r="W30" s="22"/>
      <c r="X30" s="22"/>
    </row>
    <row r="31" spans="1:24" ht="20.100000000000001" customHeight="1" thickTop="1" thickBot="1">
      <c r="A31" s="46" t="s">
        <v>6</v>
      </c>
      <c r="B31" s="47"/>
      <c r="C31" s="47"/>
      <c r="D31" s="48"/>
      <c r="E31" s="48">
        <v>0</v>
      </c>
      <c r="F31" s="51" t="s">
        <v>6</v>
      </c>
      <c r="G31" s="48" t="s">
        <v>6</v>
      </c>
      <c r="H31" s="44"/>
      <c r="I31" s="45"/>
      <c r="L31" s="52" t="s">
        <v>6</v>
      </c>
    </row>
    <row r="32" spans="1:24" ht="15.75">
      <c r="A32" s="33" t="s">
        <v>6</v>
      </c>
      <c r="B32" s="32"/>
      <c r="C32" s="32"/>
      <c r="D32" s="32"/>
      <c r="E32" s="32"/>
      <c r="F32" s="32"/>
      <c r="G32" s="32"/>
      <c r="H32" s="32"/>
      <c r="I32" s="32"/>
    </row>
    <row r="33" spans="1:9" ht="15.75">
      <c r="A33" s="32" t="s">
        <v>6</v>
      </c>
      <c r="B33" s="32"/>
      <c r="C33" s="32"/>
      <c r="D33" s="32"/>
      <c r="E33" s="32" t="s">
        <v>6</v>
      </c>
      <c r="F33" s="32"/>
      <c r="G33" s="32"/>
      <c r="H33" s="32"/>
      <c r="I33" s="32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zoomScaleNormal="100" workbookViewId="0">
      <selection activeCell="A25" sqref="A25"/>
    </sheetView>
  </sheetViews>
  <sheetFormatPr baseColWidth="10" defaultColWidth="11.42578125" defaultRowHeight="12.75"/>
  <cols>
    <col min="1" max="1" width="41.7109375" style="7" customWidth="1"/>
    <col min="2" max="2" width="13.140625" style="7" customWidth="1"/>
    <col min="3" max="4" width="15" style="7" customWidth="1"/>
    <col min="5" max="5" width="14" style="7" customWidth="1"/>
    <col min="6" max="6" width="13.85546875" style="7" customWidth="1"/>
    <col min="7" max="7" width="4" customWidth="1"/>
    <col min="11" max="11" width="12.7109375" bestFit="1" customWidth="1"/>
  </cols>
  <sheetData>
    <row r="1" spans="1:11" ht="19.899999999999999" customHeight="1">
      <c r="A1" s="495" t="s">
        <v>150</v>
      </c>
      <c r="B1" s="495"/>
      <c r="C1" s="495"/>
      <c r="D1" s="495"/>
      <c r="E1" s="495"/>
      <c r="F1" s="495"/>
    </row>
    <row r="2" spans="1:11" ht="19.899999999999999" customHeight="1">
      <c r="A2" s="495" t="s">
        <v>151</v>
      </c>
      <c r="B2" s="495"/>
      <c r="C2" s="495"/>
      <c r="D2" s="495"/>
      <c r="E2" s="495"/>
      <c r="F2" s="495"/>
    </row>
    <row r="3" spans="1:11" ht="18" customHeight="1">
      <c r="A3" s="495" t="s">
        <v>191</v>
      </c>
      <c r="B3" s="495"/>
      <c r="C3" s="495"/>
      <c r="D3" s="495"/>
      <c r="E3" s="495"/>
      <c r="F3" s="495"/>
    </row>
    <row r="4" spans="1:11" ht="18" customHeight="1">
      <c r="A4" s="495" t="s">
        <v>367</v>
      </c>
      <c r="B4" s="495"/>
      <c r="C4" s="495"/>
      <c r="D4" s="495"/>
      <c r="E4" s="495"/>
      <c r="F4" s="495"/>
    </row>
    <row r="5" spans="1:11" ht="7.9" customHeight="1">
      <c r="A5" s="40"/>
      <c r="B5" s="40"/>
      <c r="C5" s="40"/>
      <c r="D5" s="40"/>
      <c r="E5" s="40"/>
      <c r="F5" s="40" t="s">
        <v>6</v>
      </c>
    </row>
    <row r="6" spans="1:11" ht="20.25" customHeight="1">
      <c r="A6" s="497" t="s">
        <v>0</v>
      </c>
      <c r="B6" s="499" t="s">
        <v>24</v>
      </c>
      <c r="C6" s="500"/>
      <c r="D6" s="500"/>
      <c r="E6" s="501"/>
      <c r="F6" s="502" t="s">
        <v>337</v>
      </c>
    </row>
    <row r="7" spans="1:11" ht="24" customHeight="1">
      <c r="A7" s="498"/>
      <c r="B7" s="301" t="s">
        <v>58</v>
      </c>
      <c r="C7" s="302" t="s">
        <v>10</v>
      </c>
      <c r="D7" s="302" t="s">
        <v>2</v>
      </c>
      <c r="E7" s="303" t="s">
        <v>335</v>
      </c>
      <c r="F7" s="503"/>
    </row>
    <row r="8" spans="1:11" ht="24.95" customHeight="1">
      <c r="A8" s="65" t="s">
        <v>271</v>
      </c>
      <c r="B8" s="129">
        <f>+BALANCE!C11</f>
        <v>158641933</v>
      </c>
      <c r="C8" s="129">
        <f>+BALANCE!D11</f>
        <v>158641933</v>
      </c>
      <c r="D8" s="129">
        <f>+BALANCE!E11</f>
        <v>114964195</v>
      </c>
      <c r="E8" s="69">
        <f>+BALANCE!G11</f>
        <v>77181144.140000001</v>
      </c>
      <c r="F8" s="130">
        <f>E8/D8*100</f>
        <v>67.134940700450258</v>
      </c>
      <c r="G8" s="5"/>
    </row>
    <row r="9" spans="1:11" ht="12.6" customHeight="1">
      <c r="A9" s="65"/>
      <c r="B9" s="129"/>
      <c r="C9" s="129"/>
      <c r="D9" s="69"/>
      <c r="E9" s="69"/>
      <c r="F9" s="131"/>
      <c r="G9" s="5" t="s">
        <v>6</v>
      </c>
    </row>
    <row r="10" spans="1:11" ht="13.15" customHeight="1">
      <c r="A10" s="132" t="s">
        <v>272</v>
      </c>
      <c r="B10" s="129">
        <v>158641933</v>
      </c>
      <c r="C10" s="129">
        <v>155666077</v>
      </c>
      <c r="D10" s="129">
        <v>111988339</v>
      </c>
      <c r="E10" s="129">
        <v>77554985.405000016</v>
      </c>
      <c r="F10" s="130">
        <v>69.252733005531951</v>
      </c>
    </row>
    <row r="11" spans="1:11" ht="7.15" customHeight="1">
      <c r="A11" s="133"/>
      <c r="B11" s="129" t="s">
        <v>6</v>
      </c>
      <c r="C11" s="129" t="s">
        <v>6</v>
      </c>
      <c r="D11" s="134"/>
      <c r="E11" s="134" t="s">
        <v>6</v>
      </c>
      <c r="F11" s="135"/>
    </row>
    <row r="12" spans="1:11" ht="17.45" customHeight="1">
      <c r="A12" s="136" t="s">
        <v>200</v>
      </c>
      <c r="B12" s="137">
        <v>145122874</v>
      </c>
      <c r="C12" s="137">
        <v>147172674</v>
      </c>
      <c r="D12" s="137">
        <v>103687870</v>
      </c>
      <c r="E12" s="137">
        <v>75994696.975000009</v>
      </c>
      <c r="F12" s="138">
        <v>73.291791002168338</v>
      </c>
      <c r="K12" s="20"/>
    </row>
    <row r="13" spans="1:11" ht="16.149999999999999" customHeight="1">
      <c r="A13" s="139" t="s">
        <v>202</v>
      </c>
      <c r="B13" s="129">
        <v>0</v>
      </c>
      <c r="C13" s="129" t="s">
        <v>30</v>
      </c>
      <c r="D13" s="137">
        <v>0</v>
      </c>
      <c r="E13" s="129" t="s">
        <v>6</v>
      </c>
      <c r="F13" s="138" t="s">
        <v>6</v>
      </c>
      <c r="G13" t="s">
        <v>6</v>
      </c>
      <c r="K13" s="20"/>
    </row>
    <row r="14" spans="1:11" ht="17.45" customHeight="1">
      <c r="A14" s="139" t="s">
        <v>203</v>
      </c>
      <c r="B14" s="137">
        <v>13519059</v>
      </c>
      <c r="C14" s="137">
        <v>8493403</v>
      </c>
      <c r="D14" s="137">
        <v>8300469</v>
      </c>
      <c r="E14" s="137">
        <v>1560289.43</v>
      </c>
      <c r="F14" s="138">
        <v>18.797605653367295</v>
      </c>
      <c r="K14" s="20"/>
    </row>
    <row r="15" spans="1:11" ht="10.15" customHeight="1">
      <c r="A15" s="139"/>
      <c r="B15" s="140"/>
      <c r="C15" s="137"/>
      <c r="D15" s="137"/>
      <c r="E15" s="137"/>
      <c r="F15" s="138" t="s">
        <v>6</v>
      </c>
      <c r="J15" s="1" t="s">
        <v>6</v>
      </c>
      <c r="K15" s="20"/>
    </row>
    <row r="16" spans="1:11" ht="17.45" customHeight="1">
      <c r="A16" s="132" t="s">
        <v>273</v>
      </c>
      <c r="B16" s="141"/>
      <c r="C16" s="142">
        <f>+C8-C10</f>
        <v>2975856</v>
      </c>
      <c r="D16" s="142">
        <v>0</v>
      </c>
      <c r="E16" s="143">
        <f>E8-E10</f>
        <v>-373841.2650000155</v>
      </c>
      <c r="F16" s="138" t="s">
        <v>6</v>
      </c>
      <c r="K16" s="20"/>
    </row>
    <row r="17" spans="1:11" ht="12" customHeight="1">
      <c r="A17" s="139" t="s">
        <v>6</v>
      </c>
      <c r="B17" s="140"/>
      <c r="C17" s="137"/>
      <c r="D17" s="137"/>
      <c r="E17" s="137"/>
      <c r="F17" s="138" t="s">
        <v>6</v>
      </c>
      <c r="K17" s="20"/>
    </row>
    <row r="18" spans="1:11" ht="15" customHeight="1">
      <c r="A18" s="132" t="s">
        <v>274</v>
      </c>
      <c r="B18" s="129">
        <f>SUM(B20)</f>
        <v>75692165</v>
      </c>
      <c r="C18" s="129">
        <f>SUM(C20:C21)</f>
        <v>14651260</v>
      </c>
      <c r="D18" s="129">
        <f>+D20</f>
        <v>14651260</v>
      </c>
      <c r="E18" s="129">
        <f>SUM(E20:E21)</f>
        <v>12766357.77</v>
      </c>
      <c r="F18" s="130">
        <f>+F20</f>
        <v>87.134879662227007</v>
      </c>
    </row>
    <row r="19" spans="1:11" ht="6" customHeight="1">
      <c r="A19" s="139"/>
      <c r="B19" s="140"/>
      <c r="C19" s="137" t="s">
        <v>6</v>
      </c>
      <c r="D19" s="137" t="s">
        <v>6</v>
      </c>
      <c r="E19" s="137"/>
      <c r="F19" s="138" t="s">
        <v>6</v>
      </c>
    </row>
    <row r="20" spans="1:11" ht="17.45" customHeight="1">
      <c r="A20" s="139" t="s">
        <v>280</v>
      </c>
      <c r="B20" s="137">
        <f>+'BALANCE GASTOS'!B37</f>
        <v>75692165</v>
      </c>
      <c r="C20" s="137">
        <f>+'BALANCE GASTOS'!C37</f>
        <v>14651260</v>
      </c>
      <c r="D20" s="137">
        <f>+'BALANCE GASTOS'!D37</f>
        <v>14651260</v>
      </c>
      <c r="E20" s="137">
        <f>+'BALANCE GASTOS'!F37+1</f>
        <v>12766357.77</v>
      </c>
      <c r="F20" s="138">
        <f>E20/D20*100</f>
        <v>87.134879662227007</v>
      </c>
      <c r="G20" t="s">
        <v>6</v>
      </c>
    </row>
    <row r="21" spans="1:11" ht="14.45" customHeight="1">
      <c r="A21" s="139" t="s">
        <v>199</v>
      </c>
      <c r="B21" s="140"/>
      <c r="C21" s="137">
        <v>0</v>
      </c>
      <c r="D21" s="137">
        <v>0</v>
      </c>
      <c r="E21" s="137" t="s">
        <v>6</v>
      </c>
      <c r="F21" s="138" t="s">
        <v>6</v>
      </c>
    </row>
    <row r="22" spans="1:11" ht="11.45" customHeight="1">
      <c r="A22" s="139"/>
      <c r="B22" s="140"/>
      <c r="C22" s="137"/>
      <c r="D22" s="137"/>
      <c r="E22" s="137" t="s">
        <v>6</v>
      </c>
      <c r="F22" s="138" t="s">
        <v>6</v>
      </c>
    </row>
    <row r="23" spans="1:11" ht="12.6" customHeight="1">
      <c r="A23" s="132" t="s">
        <v>275</v>
      </c>
      <c r="B23" s="129">
        <f>SUM(B25:B27)</f>
        <v>75692165</v>
      </c>
      <c r="C23" s="129">
        <f>SUM(C25:C27)</f>
        <v>60915426</v>
      </c>
      <c r="D23" s="129">
        <f>SUM(D25:D27)</f>
        <v>60495426</v>
      </c>
      <c r="E23" s="129">
        <f>SUM(E25:E27)</f>
        <v>38548086</v>
      </c>
      <c r="F23" s="130">
        <f>E23/D23*100</f>
        <v>63.720662120802317</v>
      </c>
    </row>
    <row r="24" spans="1:11" ht="9" customHeight="1">
      <c r="A24" s="139"/>
      <c r="B24" s="140"/>
      <c r="C24" s="137"/>
      <c r="D24" s="137"/>
      <c r="E24" s="137"/>
      <c r="F24" s="138" t="s">
        <v>6</v>
      </c>
    </row>
    <row r="25" spans="1:11" ht="15.6" customHeight="1">
      <c r="A25" s="139" t="s">
        <v>38</v>
      </c>
      <c r="B25" s="137">
        <f>+BALANCE!C40</f>
        <v>2100000</v>
      </c>
      <c r="C25" s="137">
        <f>+BALANCE!D40</f>
        <v>2100000</v>
      </c>
      <c r="D25" s="137">
        <f>+BALANCE!E40</f>
        <v>1680000</v>
      </c>
      <c r="E25" s="137">
        <f>+BALANCE!G41</f>
        <v>1680000</v>
      </c>
      <c r="F25" s="138">
        <f>E25/D25*100</f>
        <v>100</v>
      </c>
    </row>
    <row r="26" spans="1:11" ht="16.149999999999999" customHeight="1">
      <c r="A26" s="139" t="s">
        <v>281</v>
      </c>
      <c r="B26" s="140"/>
      <c r="C26" s="137">
        <v>0</v>
      </c>
      <c r="D26" s="137">
        <v>0</v>
      </c>
      <c r="E26" s="137">
        <v>0</v>
      </c>
      <c r="F26" s="138" t="s">
        <v>6</v>
      </c>
      <c r="I26" t="s">
        <v>6</v>
      </c>
    </row>
    <row r="27" spans="1:11" ht="15" customHeight="1">
      <c r="A27" s="139" t="s">
        <v>39</v>
      </c>
      <c r="B27" s="137">
        <f>+BALANCE!C37</f>
        <v>73592165</v>
      </c>
      <c r="C27" s="137">
        <f>+BALANCE!D37</f>
        <v>58815426</v>
      </c>
      <c r="D27" s="137">
        <f>+BALANCE!E37</f>
        <v>58815426</v>
      </c>
      <c r="E27" s="137">
        <f>+BALANCE!G37</f>
        <v>36868086</v>
      </c>
      <c r="F27" s="138">
        <f>E27/D27*100</f>
        <v>62.68438147502323</v>
      </c>
    </row>
    <row r="28" spans="1:11" ht="8.25" customHeight="1">
      <c r="A28" s="144"/>
      <c r="B28" s="145"/>
      <c r="C28" s="146" t="s">
        <v>6</v>
      </c>
      <c r="D28" s="146" t="s">
        <v>6</v>
      </c>
      <c r="E28" s="134" t="s">
        <v>6</v>
      </c>
      <c r="F28" s="135" t="s">
        <v>6</v>
      </c>
    </row>
    <row r="29" spans="1:11" ht="24.95" customHeight="1">
      <c r="A29" s="147" t="s">
        <v>282</v>
      </c>
      <c r="B29" s="149">
        <f>B16-B18+B23</f>
        <v>0</v>
      </c>
      <c r="C29" s="148" t="s">
        <v>6</v>
      </c>
      <c r="D29" s="148" t="s">
        <v>6</v>
      </c>
      <c r="E29" s="149">
        <f>E16-E18+E23+1</f>
        <v>25407887.964999985</v>
      </c>
      <c r="F29" s="150" t="s">
        <v>6</v>
      </c>
    </row>
    <row r="30" spans="1:11" ht="11.45" customHeight="1">
      <c r="A30" s="151" t="s">
        <v>6</v>
      </c>
      <c r="B30" s="151"/>
      <c r="C30" s="152"/>
      <c r="D30" s="152"/>
      <c r="E30" s="152"/>
      <c r="F30" s="152"/>
      <c r="G30" s="13"/>
      <c r="H30" s="7"/>
      <c r="I30" s="7"/>
    </row>
    <row r="31" spans="1:11" ht="13.5" customHeight="1">
      <c r="A31" t="s">
        <v>6</v>
      </c>
      <c r="B31"/>
      <c r="C31"/>
      <c r="D31"/>
      <c r="E31"/>
      <c r="F31"/>
      <c r="G31" s="7"/>
      <c r="H31" s="18"/>
      <c r="I31" s="7"/>
    </row>
    <row r="32" spans="1:11" ht="18.600000000000001" customHeight="1">
      <c r="A32"/>
      <c r="B32"/>
      <c r="C32"/>
      <c r="D32"/>
      <c r="E32" s="496" t="s">
        <v>6</v>
      </c>
      <c r="F32" s="496"/>
      <c r="G32" s="7"/>
      <c r="H32" s="19" t="s">
        <v>6</v>
      </c>
      <c r="I32" s="7"/>
    </row>
    <row r="33" spans="1:8" ht="14.25" customHeight="1">
      <c r="C33" s="13"/>
      <c r="D33" s="13"/>
      <c r="E33" s="13"/>
      <c r="F33" s="13"/>
    </row>
    <row r="34" spans="1:8" ht="11.25" customHeight="1">
      <c r="A34" s="13" t="s">
        <v>6</v>
      </c>
      <c r="B34" s="13"/>
    </row>
    <row r="35" spans="1:8" ht="11.25" customHeight="1">
      <c r="A35" s="13"/>
      <c r="B35" s="13"/>
      <c r="H35" t="s">
        <v>6</v>
      </c>
    </row>
    <row r="36" spans="1:8" ht="11.25" customHeight="1">
      <c r="A36" s="13"/>
      <c r="B36" s="13"/>
    </row>
    <row r="53" spans="5:5">
      <c r="E53" s="7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horizontalDpi="4294967294" verticalDpi="4294967294" r:id="rId1"/>
  <headerFooter alignWithMargins="0"/>
  <ignoredErrors>
    <ignoredError sqref="D1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topLeftCell="A22" workbookViewId="0">
      <selection activeCell="K39" sqref="K39:K40"/>
    </sheetView>
  </sheetViews>
  <sheetFormatPr baseColWidth="10" defaultColWidth="11.42578125" defaultRowHeight="12.75"/>
  <cols>
    <col min="1" max="1" width="33" style="7" customWidth="1"/>
    <col min="2" max="2" width="10.7109375" style="7" customWidth="1"/>
    <col min="3" max="3" width="1.7109375" style="7" hidden="1" customWidth="1"/>
    <col min="4" max="4" width="12.85546875" style="7" customWidth="1"/>
    <col min="5" max="5" width="13" style="7" customWidth="1"/>
    <col min="6" max="6" width="13.140625" style="7" customWidth="1"/>
    <col min="7" max="7" width="13.85546875" style="7" hidden="1" customWidth="1"/>
    <col min="8" max="8" width="14.28515625" style="7" customWidth="1"/>
  </cols>
  <sheetData>
    <row r="1" spans="1:9" ht="17.45" customHeight="1">
      <c r="A1" s="472" t="s">
        <v>150</v>
      </c>
      <c r="B1" s="472"/>
      <c r="C1" s="472"/>
      <c r="D1" s="472"/>
      <c r="E1" s="472"/>
      <c r="F1" s="472"/>
      <c r="G1" s="472"/>
      <c r="H1" s="472"/>
    </row>
    <row r="2" spans="1:9" ht="17.45" customHeight="1">
      <c r="A2" s="472" t="s">
        <v>151</v>
      </c>
      <c r="B2" s="472"/>
      <c r="C2" s="472"/>
      <c r="D2" s="472"/>
      <c r="E2" s="472"/>
      <c r="F2" s="472"/>
      <c r="G2" s="472"/>
      <c r="H2" s="472"/>
    </row>
    <row r="3" spans="1:9" ht="18" customHeight="1">
      <c r="A3" s="472" t="s">
        <v>192</v>
      </c>
      <c r="B3" s="472"/>
      <c r="C3" s="472"/>
      <c r="D3" s="472"/>
      <c r="E3" s="472"/>
      <c r="F3" s="472"/>
      <c r="G3" s="472"/>
      <c r="H3" s="472"/>
    </row>
    <row r="4" spans="1:9" ht="18" customHeight="1">
      <c r="A4" s="472" t="s">
        <v>370</v>
      </c>
      <c r="B4" s="472"/>
      <c r="C4" s="472"/>
      <c r="D4" s="472"/>
      <c r="E4" s="472"/>
      <c r="F4" s="472"/>
      <c r="G4" s="472"/>
      <c r="H4" s="472"/>
    </row>
    <row r="5" spans="1:9" ht="3" customHeight="1">
      <c r="A5" s="95"/>
      <c r="B5" s="95"/>
      <c r="C5" s="95"/>
      <c r="D5" s="95"/>
      <c r="E5" s="95"/>
      <c r="F5" s="95"/>
      <c r="G5" s="95"/>
      <c r="H5" s="95"/>
    </row>
    <row r="6" spans="1:9" ht="8.25" customHeight="1">
      <c r="A6" s="95"/>
      <c r="B6" s="95"/>
      <c r="C6" s="95"/>
      <c r="D6" s="4"/>
      <c r="E6" s="4"/>
      <c r="F6" s="4"/>
      <c r="G6" s="4"/>
      <c r="H6" s="40"/>
    </row>
    <row r="7" spans="1:9" ht="20.100000000000001" customHeight="1">
      <c r="A7" s="504" t="s">
        <v>0</v>
      </c>
      <c r="B7" s="506" t="s">
        <v>24</v>
      </c>
      <c r="C7" s="506"/>
      <c r="D7" s="506"/>
      <c r="E7" s="506"/>
      <c r="F7" s="506"/>
      <c r="G7" s="304"/>
      <c r="H7" s="502" t="s">
        <v>337</v>
      </c>
    </row>
    <row r="8" spans="1:9" ht="24" customHeight="1">
      <c r="A8" s="505"/>
      <c r="B8" s="305" t="s">
        <v>58</v>
      </c>
      <c r="C8" s="306" t="s">
        <v>10</v>
      </c>
      <c r="D8" s="301" t="s">
        <v>10</v>
      </c>
      <c r="E8" s="301" t="s">
        <v>2</v>
      </c>
      <c r="F8" s="301" t="s">
        <v>335</v>
      </c>
      <c r="G8" s="307" t="s">
        <v>17</v>
      </c>
      <c r="H8" s="503"/>
    </row>
    <row r="9" spans="1:9" ht="14.25" customHeight="1">
      <c r="A9" s="154"/>
      <c r="B9" s="155"/>
      <c r="C9" s="156"/>
      <c r="D9" s="157"/>
      <c r="E9" s="158"/>
      <c r="F9" s="158"/>
      <c r="G9" s="158"/>
      <c r="H9" s="159"/>
    </row>
    <row r="10" spans="1:9" ht="18" customHeight="1">
      <c r="A10" s="277" t="s">
        <v>18</v>
      </c>
      <c r="B10" s="160"/>
      <c r="C10" s="161"/>
      <c r="D10" s="161"/>
      <c r="E10" s="161"/>
      <c r="F10" s="161"/>
      <c r="G10" s="161"/>
      <c r="H10" s="162"/>
    </row>
    <row r="11" spans="1:9" ht="9" customHeight="1">
      <c r="A11" s="65"/>
      <c r="B11" s="163"/>
      <c r="C11" s="163"/>
      <c r="D11" s="163"/>
      <c r="E11" s="163"/>
      <c r="F11" s="163"/>
      <c r="G11" s="163"/>
      <c r="H11" s="71"/>
    </row>
    <row r="12" spans="1:9" ht="15" customHeight="1">
      <c r="A12" s="65" t="s">
        <v>201</v>
      </c>
      <c r="B12" s="164">
        <f>B15</f>
        <v>158641.93299999999</v>
      </c>
      <c r="C12" s="164" t="e">
        <f>+C15</f>
        <v>#REF!</v>
      </c>
      <c r="D12" s="164">
        <f>+D15</f>
        <v>158641.93299999999</v>
      </c>
      <c r="E12" s="164">
        <f>+E15+E20</f>
        <v>114964.19499999999</v>
      </c>
      <c r="F12" s="164">
        <f>+F15</f>
        <v>77181.144140000004</v>
      </c>
      <c r="G12" s="165">
        <f>+F12-D12</f>
        <v>-81460.788859999986</v>
      </c>
      <c r="H12" s="68">
        <f>F12/E12*100</f>
        <v>67.134940700450258</v>
      </c>
    </row>
    <row r="13" spans="1:9" ht="10.9" customHeight="1">
      <c r="A13" s="166"/>
      <c r="B13" s="167"/>
      <c r="C13" s="167"/>
      <c r="D13" s="167"/>
      <c r="E13" s="167"/>
      <c r="F13" s="167"/>
      <c r="G13" s="167"/>
      <c r="H13" s="168" t="s">
        <v>6</v>
      </c>
    </row>
    <row r="14" spans="1:9" ht="15" customHeight="1">
      <c r="A14" s="65" t="s">
        <v>40</v>
      </c>
      <c r="B14" s="167"/>
      <c r="C14" s="167"/>
      <c r="D14" s="167"/>
      <c r="E14" s="167"/>
      <c r="F14" s="167"/>
      <c r="G14" s="167"/>
      <c r="H14" s="168" t="s">
        <v>6</v>
      </c>
    </row>
    <row r="15" spans="1:9" ht="15" customHeight="1">
      <c r="A15" s="65" t="s">
        <v>41</v>
      </c>
      <c r="B15" s="164">
        <f>SUM(B16:B19)</f>
        <v>158641.93299999999</v>
      </c>
      <c r="C15" s="164" t="e">
        <f>SUM(C16:C19)</f>
        <v>#REF!</v>
      </c>
      <c r="D15" s="164">
        <f>SUM(D16:D19)</f>
        <v>158641.93299999999</v>
      </c>
      <c r="E15" s="164">
        <f>+E16+E17+E18+E19</f>
        <v>114964.19499999999</v>
      </c>
      <c r="F15" s="164">
        <f>+(BALANCE!G13)/1000</f>
        <v>77181.144140000004</v>
      </c>
      <c r="G15" s="165">
        <f>+F15-D15</f>
        <v>-81460.788859999986</v>
      </c>
      <c r="H15" s="68">
        <f t="shared" ref="H15:H53" si="0">F15/E15*100</f>
        <v>67.134940700450258</v>
      </c>
    </row>
    <row r="16" spans="1:9" ht="15" customHeight="1">
      <c r="A16" s="78" t="s">
        <v>42</v>
      </c>
      <c r="B16" s="169">
        <f>+(BALANCE!D15)/1000</f>
        <v>5476.4920000000002</v>
      </c>
      <c r="C16" s="169" t="e">
        <f>+(BALANCE!#REF!)/1000</f>
        <v>#REF!</v>
      </c>
      <c r="D16" s="169">
        <f>+(BALANCE!D15)/1000</f>
        <v>5476.4920000000002</v>
      </c>
      <c r="E16" s="169">
        <f>+(BALANCE!E15)/1000</f>
        <v>5041.674</v>
      </c>
      <c r="F16" s="169">
        <f>+(BALANCE!G15)/1000</f>
        <v>1737.1906000000001</v>
      </c>
      <c r="G16" s="170">
        <f>+F16-D16</f>
        <v>-3739.3014000000003</v>
      </c>
      <c r="H16" s="77">
        <f t="shared" si="0"/>
        <v>34.456622939126966</v>
      </c>
      <c r="I16" t="s">
        <v>6</v>
      </c>
    </row>
    <row r="17" spans="1:10" ht="15" customHeight="1">
      <c r="A17" s="78" t="s">
        <v>154</v>
      </c>
      <c r="B17" s="169">
        <f>+(BALANCE!D20)/1000</f>
        <v>145413.761</v>
      </c>
      <c r="C17" s="169">
        <f>+(BALANCE!D20)/1000</f>
        <v>145413.761</v>
      </c>
      <c r="D17" s="169">
        <f>+(BALANCE!D20)/1000</f>
        <v>145413.761</v>
      </c>
      <c r="E17" s="169">
        <f>+(BALANCE!E20)/1000</f>
        <v>102367.43799999999</v>
      </c>
      <c r="F17" s="169">
        <f>+(BALANCE!G20)/1000</f>
        <v>70093.952999999994</v>
      </c>
      <c r="G17" s="170">
        <f>+F17-D17</f>
        <v>-75319.808000000005</v>
      </c>
      <c r="H17" s="77">
        <f t="shared" si="0"/>
        <v>68.472899556204581</v>
      </c>
      <c r="J17" t="s">
        <v>6</v>
      </c>
    </row>
    <row r="18" spans="1:10" ht="15" customHeight="1">
      <c r="A18" s="78" t="s">
        <v>43</v>
      </c>
      <c r="B18" s="169">
        <f>+(BALANCE!D24)/1000</f>
        <v>5251.68</v>
      </c>
      <c r="C18" s="169" t="e">
        <f>+(BALANCE!#REF!)/1000</f>
        <v>#REF!</v>
      </c>
      <c r="D18" s="169">
        <f>+(BALANCE!D24)/1000</f>
        <v>5251.68</v>
      </c>
      <c r="E18" s="169">
        <f>+(BALANCE!E24)/1000</f>
        <v>5088.5230000000001</v>
      </c>
      <c r="F18" s="169">
        <f>+(BALANCE!G24)/1000</f>
        <v>4939.1715000000004</v>
      </c>
      <c r="G18" s="170">
        <f>+F18-D18</f>
        <v>-312.50849999999991</v>
      </c>
      <c r="H18" s="77">
        <f t="shared" si="0"/>
        <v>97.064934166554821</v>
      </c>
    </row>
    <row r="19" spans="1:10" ht="15" customHeight="1">
      <c r="A19" s="78" t="s">
        <v>44</v>
      </c>
      <c r="B19" s="169">
        <f>+(BALANCE!D29)/1000</f>
        <v>2500</v>
      </c>
      <c r="C19" s="169" t="e">
        <f>+(BALANCE!#REF!)/1000</f>
        <v>#REF!</v>
      </c>
      <c r="D19" s="169">
        <f>+(BALANCE!D29)/1000</f>
        <v>2500</v>
      </c>
      <c r="E19" s="169">
        <f>+(BALANCE!E29)/1000</f>
        <v>2466.56</v>
      </c>
      <c r="F19" s="169">
        <f>+(BALANCE!G29)/1000</f>
        <v>410.82904000000002</v>
      </c>
      <c r="G19" s="170">
        <f>+F19-D19</f>
        <v>-2089.1709599999999</v>
      </c>
      <c r="H19" s="77">
        <f t="shared" si="0"/>
        <v>16.655951608718215</v>
      </c>
    </row>
    <row r="20" spans="1:10" ht="15" customHeight="1">
      <c r="A20" s="65" t="s">
        <v>204</v>
      </c>
      <c r="B20" s="169"/>
      <c r="C20" s="169"/>
      <c r="D20" s="164">
        <v>2944.9</v>
      </c>
      <c r="E20" s="164">
        <v>0</v>
      </c>
      <c r="F20" s="164" t="s">
        <v>6</v>
      </c>
      <c r="G20" s="165"/>
      <c r="H20" s="68" t="s">
        <v>6</v>
      </c>
    </row>
    <row r="21" spans="1:10" ht="9" customHeight="1">
      <c r="A21" s="166"/>
      <c r="B21" s="167"/>
      <c r="C21" s="167"/>
      <c r="D21" s="167"/>
      <c r="E21" s="167"/>
      <c r="F21" s="167"/>
      <c r="G21" s="167"/>
      <c r="H21" s="168" t="s">
        <v>6</v>
      </c>
    </row>
    <row r="22" spans="1:10" ht="15" customHeight="1">
      <c r="A22" s="65" t="s">
        <v>205</v>
      </c>
      <c r="B22" s="164">
        <f>SUM(B24:B26)</f>
        <v>75692.164999999994</v>
      </c>
      <c r="C22" s="164" t="e">
        <f>SUM(C24:C26)</f>
        <v>#REF!</v>
      </c>
      <c r="D22" s="164">
        <f>SUM(D24:D26)</f>
        <v>60915.425999999999</v>
      </c>
      <c r="E22" s="164">
        <f>SUM(E24:E26)</f>
        <v>60495.425999999999</v>
      </c>
      <c r="F22" s="164">
        <f>SUM(F24:F26)</f>
        <v>38548.086000000003</v>
      </c>
      <c r="G22" s="165">
        <f>+F22-D22</f>
        <v>-22367.339999999997</v>
      </c>
      <c r="H22" s="68">
        <f t="shared" si="0"/>
        <v>63.720662120802331</v>
      </c>
    </row>
    <row r="23" spans="1:10" ht="9" customHeight="1">
      <c r="A23" s="166"/>
      <c r="B23" s="167"/>
      <c r="C23" s="167"/>
      <c r="D23" s="167"/>
      <c r="E23" s="167"/>
      <c r="F23" s="167"/>
      <c r="G23" s="171"/>
      <c r="H23" s="168" t="s">
        <v>6</v>
      </c>
    </row>
    <row r="24" spans="1:10" ht="15" customHeight="1">
      <c r="A24" s="78" t="s">
        <v>206</v>
      </c>
      <c r="B24" s="169">
        <f>+(BALANCE!C40)/1000</f>
        <v>2100</v>
      </c>
      <c r="C24" s="169" t="e">
        <f>+(BALANCE!#REF!)/1000</f>
        <v>#REF!</v>
      </c>
      <c r="D24" s="169">
        <f>+(BALANCE!D40)/1000</f>
        <v>2100</v>
      </c>
      <c r="E24" s="169">
        <f>+(BALANCE!E40)/1000</f>
        <v>1680</v>
      </c>
      <c r="F24" s="169">
        <f>+(BALANCE!G40)/1000</f>
        <v>1680</v>
      </c>
      <c r="G24" s="170">
        <f>+F24-D24</f>
        <v>-420</v>
      </c>
      <c r="H24" s="77">
        <f t="shared" si="0"/>
        <v>100</v>
      </c>
    </row>
    <row r="25" spans="1:10" ht="15" customHeight="1">
      <c r="A25" s="78" t="s">
        <v>207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0">
        <f>+F25-D25</f>
        <v>0</v>
      </c>
      <c r="H25" s="77" t="s">
        <v>6</v>
      </c>
    </row>
    <row r="26" spans="1:10" ht="15" customHeight="1">
      <c r="A26" s="78" t="s">
        <v>208</v>
      </c>
      <c r="B26" s="164">
        <f>SUM(B27)</f>
        <v>73592.164999999994</v>
      </c>
      <c r="C26" s="164" t="e">
        <f>SUM(C27)</f>
        <v>#REF!</v>
      </c>
      <c r="D26" s="164">
        <f>SUM(D27)</f>
        <v>58815.425999999999</v>
      </c>
      <c r="E26" s="164">
        <f>SUM(E27)</f>
        <v>58815.425999999999</v>
      </c>
      <c r="F26" s="164">
        <f>SUM(F27)</f>
        <v>36868.086000000003</v>
      </c>
      <c r="G26" s="165">
        <f>+F26-D26</f>
        <v>-21947.339999999997</v>
      </c>
      <c r="H26" s="68">
        <f t="shared" si="0"/>
        <v>62.684381475023244</v>
      </c>
    </row>
    <row r="27" spans="1:10" ht="15" customHeight="1">
      <c r="A27" s="78" t="s">
        <v>209</v>
      </c>
      <c r="B27" s="169">
        <f>+(BALANCE!C39)/1000</f>
        <v>73592.164999999994</v>
      </c>
      <c r="C27" s="169" t="e">
        <f>+(BALANCE!#REF!)/1000</f>
        <v>#REF!</v>
      </c>
      <c r="D27" s="169">
        <f>+(BALANCE!D39)/1000</f>
        <v>58815.425999999999</v>
      </c>
      <c r="E27" s="169">
        <f>+(BALANCE!E39)/1000</f>
        <v>58815.425999999999</v>
      </c>
      <c r="F27" s="169">
        <f>+(BALANCE!G37)/1000</f>
        <v>36868.086000000003</v>
      </c>
      <c r="G27" s="170">
        <f>+F27-D27</f>
        <v>-21947.339999999997</v>
      </c>
      <c r="H27" s="77">
        <f t="shared" si="0"/>
        <v>62.684381475023244</v>
      </c>
    </row>
    <row r="28" spans="1:10" ht="15" customHeight="1">
      <c r="A28" s="78" t="s">
        <v>45</v>
      </c>
      <c r="B28" s="169"/>
      <c r="C28" s="169"/>
      <c r="D28" s="169"/>
      <c r="E28" s="169"/>
      <c r="F28" s="169"/>
      <c r="G28" s="170"/>
      <c r="H28" s="77" t="s">
        <v>6</v>
      </c>
    </row>
    <row r="29" spans="1:10" ht="9" customHeight="1">
      <c r="A29" s="78"/>
      <c r="B29" s="169"/>
      <c r="C29" s="169"/>
      <c r="D29" s="169"/>
      <c r="E29" s="169"/>
      <c r="F29" s="169"/>
      <c r="G29" s="170"/>
      <c r="H29" s="77" t="s">
        <v>6</v>
      </c>
    </row>
    <row r="30" spans="1:10" ht="18" customHeight="1">
      <c r="A30" s="65" t="s">
        <v>46</v>
      </c>
      <c r="B30" s="164">
        <f>+B12+B22</f>
        <v>234334.098</v>
      </c>
      <c r="C30" s="164" t="e">
        <f>+C12+C22</f>
        <v>#REF!</v>
      </c>
      <c r="D30" s="164">
        <f>+D12+D22</f>
        <v>219557.359</v>
      </c>
      <c r="E30" s="164">
        <f>+E12+E22</f>
        <v>175459.62099999998</v>
      </c>
      <c r="F30" s="164">
        <f>+F12+F22</f>
        <v>115729.23014</v>
      </c>
      <c r="G30" s="165">
        <f>+F30-D30</f>
        <v>-103828.12886</v>
      </c>
      <c r="H30" s="68">
        <f t="shared" si="0"/>
        <v>65.957756822009785</v>
      </c>
    </row>
    <row r="31" spans="1:10" ht="9" customHeight="1">
      <c r="A31" s="78"/>
      <c r="B31" s="74"/>
      <c r="C31" s="169"/>
      <c r="D31" s="169"/>
      <c r="E31" s="169"/>
      <c r="F31" s="169"/>
      <c r="G31" s="169"/>
      <c r="H31" s="77" t="s">
        <v>6</v>
      </c>
    </row>
    <row r="32" spans="1:10" ht="18" customHeight="1">
      <c r="A32" s="277" t="s">
        <v>19</v>
      </c>
      <c r="B32" s="172"/>
      <c r="C32" s="169"/>
      <c r="D32" s="169"/>
      <c r="E32" s="169"/>
      <c r="F32" s="169"/>
      <c r="G32" s="169"/>
      <c r="H32" s="77" t="s">
        <v>6</v>
      </c>
    </row>
    <row r="33" spans="1:9" ht="9" customHeight="1">
      <c r="A33" s="78"/>
      <c r="B33" s="74"/>
      <c r="C33" s="169"/>
      <c r="D33" s="169"/>
      <c r="E33" s="169"/>
      <c r="F33" s="169"/>
      <c r="G33" s="169"/>
      <c r="H33" s="77" t="s">
        <v>6</v>
      </c>
    </row>
    <row r="34" spans="1:9" ht="15" customHeight="1">
      <c r="A34" s="65" t="s">
        <v>210</v>
      </c>
      <c r="B34" s="164">
        <v>158641.93299999999</v>
      </c>
      <c r="C34" s="164" t="e">
        <v>#REF!</v>
      </c>
      <c r="D34" s="164">
        <v>155666.07700000002</v>
      </c>
      <c r="E34" s="164">
        <v>111988.33900000001</v>
      </c>
      <c r="F34" s="164">
        <v>77554.985405000014</v>
      </c>
      <c r="G34" s="164">
        <v>78111.091595000005</v>
      </c>
      <c r="H34" s="68">
        <v>69.252733005531951</v>
      </c>
    </row>
    <row r="35" spans="1:9" ht="7.15" customHeight="1">
      <c r="A35" s="78"/>
      <c r="B35" s="169"/>
      <c r="C35" s="169"/>
      <c r="D35" s="169"/>
      <c r="E35" s="169"/>
      <c r="F35" s="169"/>
      <c r="G35" s="169"/>
      <c r="H35" s="77" t="s">
        <v>6</v>
      </c>
    </row>
    <row r="36" spans="1:9" ht="18" customHeight="1">
      <c r="A36" s="65" t="s">
        <v>211</v>
      </c>
      <c r="B36" s="164">
        <v>145122.87399999998</v>
      </c>
      <c r="C36" s="164" t="e">
        <v>#REF!</v>
      </c>
      <c r="D36" s="164">
        <v>147172.67400000003</v>
      </c>
      <c r="E36" s="164">
        <v>103687.87000000001</v>
      </c>
      <c r="F36" s="164">
        <v>75994.69597500001</v>
      </c>
      <c r="G36" s="164">
        <v>71177.978025000019</v>
      </c>
      <c r="H36" s="68">
        <v>73.291790037735367</v>
      </c>
      <c r="I36" s="6"/>
    </row>
    <row r="37" spans="1:9" ht="20.25" customHeight="1">
      <c r="A37" s="78" t="s">
        <v>212</v>
      </c>
      <c r="B37" s="169">
        <v>116348.656</v>
      </c>
      <c r="C37" s="169" t="e">
        <v>#REF!</v>
      </c>
      <c r="D37" s="169">
        <v>118776.45600000001</v>
      </c>
      <c r="E37" s="169">
        <v>79772.032000000007</v>
      </c>
      <c r="F37" s="169">
        <v>67769.079590000008</v>
      </c>
      <c r="G37" s="169">
        <v>51007.376409999997</v>
      </c>
      <c r="H37" s="77">
        <v>84.953432789577192</v>
      </c>
      <c r="I37" s="6"/>
    </row>
    <row r="38" spans="1:9" ht="17.25" customHeight="1">
      <c r="A38" s="78" t="s">
        <v>213</v>
      </c>
      <c r="B38" s="169">
        <v>18526.745999999999</v>
      </c>
      <c r="C38" s="169" t="e">
        <v>#REF!</v>
      </c>
      <c r="D38" s="169">
        <v>17021.766</v>
      </c>
      <c r="E38" s="169">
        <v>12659.886</v>
      </c>
      <c r="F38" s="169">
        <v>4563.8917199999996</v>
      </c>
      <c r="G38" s="169">
        <v>12457.87428</v>
      </c>
      <c r="H38" s="77">
        <v>36.050022251385201</v>
      </c>
      <c r="I38" s="6"/>
    </row>
    <row r="39" spans="1:9" ht="15.75" customHeight="1">
      <c r="A39" s="78" t="s">
        <v>214</v>
      </c>
      <c r="B39" s="169">
        <v>7743.9030000000002</v>
      </c>
      <c r="C39" s="169" t="e">
        <v>#REF!</v>
      </c>
      <c r="D39" s="169">
        <v>8717.0429999999997</v>
      </c>
      <c r="E39" s="169">
        <v>8717.0429999999997</v>
      </c>
      <c r="F39" s="169">
        <v>2400.249135</v>
      </c>
      <c r="G39" s="169">
        <v>6316.7938649999996</v>
      </c>
      <c r="H39" s="77">
        <v>27.535130146771102</v>
      </c>
      <c r="I39" s="6"/>
    </row>
    <row r="40" spans="1:9" ht="15" customHeight="1">
      <c r="A40" s="78" t="s">
        <v>215</v>
      </c>
      <c r="B40" s="169" t="s">
        <v>6</v>
      </c>
      <c r="C40" s="169" t="e">
        <v>#REF!</v>
      </c>
      <c r="D40" s="169" t="s">
        <v>6</v>
      </c>
      <c r="E40" s="169" t="s">
        <v>6</v>
      </c>
      <c r="F40" s="169" t="s">
        <v>6</v>
      </c>
      <c r="G40" s="169" t="e">
        <v>#VALUE!</v>
      </c>
      <c r="H40" s="77" t="s">
        <v>6</v>
      </c>
      <c r="I40" s="6"/>
    </row>
    <row r="41" spans="1:9" ht="17.25" customHeight="1">
      <c r="A41" s="78" t="s">
        <v>283</v>
      </c>
      <c r="B41" s="169">
        <v>2503.569</v>
      </c>
      <c r="C41" s="169" t="e">
        <v>#REF!</v>
      </c>
      <c r="D41" s="169">
        <v>2657.4090000000001</v>
      </c>
      <c r="E41" s="169">
        <v>2538.9090000000001</v>
      </c>
      <c r="F41" s="169">
        <v>1261.4755299999999</v>
      </c>
      <c r="G41" s="169">
        <v>1395.9334700000002</v>
      </c>
      <c r="H41" s="77">
        <v>49.685732336212126</v>
      </c>
      <c r="I41" s="6"/>
    </row>
    <row r="42" spans="1:9" ht="9" customHeight="1">
      <c r="A42" s="78" t="s">
        <v>6</v>
      </c>
      <c r="B42" s="169">
        <v>0</v>
      </c>
      <c r="C42" s="169">
        <v>0</v>
      </c>
      <c r="D42" s="169">
        <v>0</v>
      </c>
      <c r="E42" s="169" t="s">
        <v>6</v>
      </c>
      <c r="F42" s="169" t="s">
        <v>6</v>
      </c>
      <c r="G42" s="169"/>
      <c r="H42" s="77" t="s">
        <v>6</v>
      </c>
    </row>
    <row r="43" spans="1:9" ht="15" customHeight="1">
      <c r="A43" s="65" t="s">
        <v>216</v>
      </c>
      <c r="B43" s="164">
        <v>13519.058999999999</v>
      </c>
      <c r="C43" s="164" t="e">
        <v>#REF!</v>
      </c>
      <c r="D43" s="164">
        <v>8493.4030000000002</v>
      </c>
      <c r="E43" s="164">
        <v>8300.4689999999991</v>
      </c>
      <c r="F43" s="164">
        <v>1560.28943</v>
      </c>
      <c r="G43" s="164">
        <v>6933.1135700000004</v>
      </c>
      <c r="H43" s="68">
        <v>18.797605653367299</v>
      </c>
    </row>
    <row r="44" spans="1:9" ht="15" customHeight="1">
      <c r="A44" s="65" t="s">
        <v>217</v>
      </c>
      <c r="B44" s="74"/>
      <c r="C44" s="169">
        <v>0</v>
      </c>
      <c r="D44" s="169">
        <v>0</v>
      </c>
      <c r="E44" s="169">
        <v>0</v>
      </c>
      <c r="F44" s="169">
        <v>0</v>
      </c>
      <c r="G44" s="169">
        <v>0</v>
      </c>
      <c r="H44" s="77" t="s">
        <v>6</v>
      </c>
    </row>
    <row r="45" spans="1:9" ht="8.25" customHeight="1">
      <c r="A45" s="78"/>
      <c r="B45" s="74"/>
      <c r="C45" s="169"/>
      <c r="D45" s="169"/>
      <c r="E45" s="169"/>
      <c r="F45" s="169"/>
      <c r="G45" s="169"/>
      <c r="H45" s="77" t="s">
        <v>6</v>
      </c>
    </row>
    <row r="46" spans="1:9" ht="15" customHeight="1">
      <c r="A46" s="65" t="s">
        <v>218</v>
      </c>
      <c r="B46" s="164">
        <v>75692.164999999994</v>
      </c>
      <c r="C46" s="164" t="e">
        <v>#REF!</v>
      </c>
      <c r="D46" s="164">
        <v>14651.26</v>
      </c>
      <c r="E46" s="164">
        <v>14651.26</v>
      </c>
      <c r="F46" s="164">
        <v>12766.35677</v>
      </c>
      <c r="G46" s="164">
        <v>1884.9032299999999</v>
      </c>
      <c r="H46" s="68">
        <v>87.134872836875459</v>
      </c>
      <c r="I46" t="s">
        <v>6</v>
      </c>
    </row>
    <row r="47" spans="1:9" ht="7.15" customHeight="1">
      <c r="A47" s="78"/>
      <c r="B47" s="74"/>
      <c r="C47" s="169"/>
      <c r="D47" s="74"/>
      <c r="E47" s="169"/>
      <c r="F47" s="169"/>
      <c r="G47" s="169"/>
      <c r="H47" s="77" t="s">
        <v>6</v>
      </c>
    </row>
    <row r="48" spans="1:9" ht="15" customHeight="1">
      <c r="A48" s="78" t="s">
        <v>219</v>
      </c>
      <c r="B48" s="350">
        <v>75692.164999999994</v>
      </c>
      <c r="C48" s="169" t="e">
        <v>#REF!</v>
      </c>
      <c r="D48" s="350">
        <v>14651.26</v>
      </c>
      <c r="E48" s="350">
        <v>14651.26</v>
      </c>
      <c r="F48" s="350">
        <v>12766.35677</v>
      </c>
      <c r="G48" s="169">
        <v>1884.9032299999999</v>
      </c>
      <c r="H48" s="77">
        <v>87.134872836875459</v>
      </c>
    </row>
    <row r="49" spans="1:8" ht="14.25" customHeight="1">
      <c r="A49" s="78" t="s">
        <v>220</v>
      </c>
      <c r="B49" s="74"/>
      <c r="C49" s="169">
        <v>0</v>
      </c>
      <c r="D49" s="74"/>
      <c r="E49" s="169">
        <v>0</v>
      </c>
      <c r="F49" s="169">
        <v>0</v>
      </c>
      <c r="G49" s="169">
        <v>0</v>
      </c>
      <c r="H49" s="77" t="s">
        <v>6</v>
      </c>
    </row>
    <row r="50" spans="1:8" ht="15" customHeight="1">
      <c r="A50" s="78" t="s">
        <v>221</v>
      </c>
      <c r="B50" s="74"/>
      <c r="C50" s="169" t="s">
        <v>6</v>
      </c>
      <c r="D50" s="74"/>
      <c r="E50" s="169" t="s">
        <v>6</v>
      </c>
      <c r="F50" s="169" t="s">
        <v>6</v>
      </c>
      <c r="G50" s="169" t="s">
        <v>6</v>
      </c>
      <c r="H50" s="77" t="s">
        <v>6</v>
      </c>
    </row>
    <row r="51" spans="1:8" ht="15" customHeight="1">
      <c r="A51" s="78" t="s">
        <v>222</v>
      </c>
      <c r="B51" s="74"/>
      <c r="C51" s="169">
        <v>0</v>
      </c>
      <c r="D51" s="74"/>
      <c r="E51" s="169">
        <v>0</v>
      </c>
      <c r="F51" s="169">
        <v>0</v>
      </c>
      <c r="G51" s="169">
        <v>0</v>
      </c>
      <c r="H51" s="77" t="s">
        <v>6</v>
      </c>
    </row>
    <row r="52" spans="1:8" ht="8.25" customHeight="1">
      <c r="A52" s="78"/>
      <c r="B52" s="74"/>
      <c r="C52" s="169"/>
      <c r="D52" s="74"/>
      <c r="E52" s="169"/>
      <c r="F52" s="169"/>
      <c r="G52" s="169"/>
      <c r="H52" s="77" t="s">
        <v>6</v>
      </c>
    </row>
    <row r="53" spans="1:8" ht="18" customHeight="1">
      <c r="A53" s="65" t="s">
        <v>47</v>
      </c>
      <c r="B53" s="164">
        <v>234334.098</v>
      </c>
      <c r="C53" s="164" t="e">
        <v>#REF!</v>
      </c>
      <c r="D53" s="164">
        <v>170317.33700000003</v>
      </c>
      <c r="E53" s="164">
        <v>126639.599</v>
      </c>
      <c r="F53" s="164">
        <v>90321.342175000013</v>
      </c>
      <c r="G53" s="164">
        <v>79995.994825000002</v>
      </c>
      <c r="H53" s="68">
        <v>71.321563624818495</v>
      </c>
    </row>
    <row r="54" spans="1:8" ht="9" customHeight="1">
      <c r="A54" s="78"/>
      <c r="B54" s="74"/>
      <c r="C54" s="169"/>
      <c r="D54" s="169"/>
      <c r="E54" s="169"/>
      <c r="F54" s="169"/>
      <c r="G54" s="169"/>
      <c r="H54" s="77" t="s">
        <v>6</v>
      </c>
    </row>
    <row r="55" spans="1:8" ht="18.600000000000001" customHeight="1">
      <c r="A55" s="231" t="s">
        <v>20</v>
      </c>
      <c r="B55" s="173"/>
      <c r="C55" s="174" t="s">
        <v>6</v>
      </c>
      <c r="D55" s="174" t="s">
        <v>6</v>
      </c>
      <c r="E55" s="175" t="s">
        <v>6</v>
      </c>
      <c r="F55" s="176">
        <v>25407.887964999987</v>
      </c>
      <c r="G55" s="175" t="s">
        <v>6</v>
      </c>
      <c r="H55" s="177" t="s">
        <v>6</v>
      </c>
    </row>
    <row r="56" spans="1:8" ht="15" customHeight="1">
      <c r="A56" s="178"/>
      <c r="B56" s="4"/>
      <c r="C56" s="178"/>
      <c r="D56" s="179"/>
      <c r="E56" s="179"/>
      <c r="F56" s="179"/>
      <c r="G56" s="180"/>
      <c r="H56" s="181"/>
    </row>
    <row r="57" spans="1:8" ht="22.5" customHeight="1">
      <c r="A57" s="42"/>
      <c r="B57" s="42"/>
      <c r="C57" s="42"/>
      <c r="D57" s="4"/>
      <c r="E57" s="4" t="s">
        <v>6</v>
      </c>
      <c r="F57" s="4"/>
      <c r="G57" s="41"/>
      <c r="H57" s="40"/>
    </row>
    <row r="58" spans="1:8" ht="15" customHeight="1">
      <c r="A58" t="s">
        <v>6</v>
      </c>
      <c r="B58"/>
      <c r="C58"/>
      <c r="D58"/>
      <c r="E58"/>
      <c r="F58"/>
      <c r="G58" s="41"/>
      <c r="H58" s="40"/>
    </row>
    <row r="59" spans="1:8" ht="15" customHeight="1">
      <c r="A59"/>
      <c r="B59"/>
      <c r="C59"/>
      <c r="D59"/>
      <c r="E59" s="182" t="s">
        <v>6</v>
      </c>
      <c r="F59" s="182"/>
      <c r="G59" s="41"/>
      <c r="H59" s="40"/>
    </row>
    <row r="60" spans="1:8" ht="15" customHeight="1">
      <c r="A60" s="95"/>
      <c r="B60" s="95"/>
      <c r="C60" s="95"/>
      <c r="D60" s="183"/>
      <c r="E60" s="183"/>
      <c r="F60" s="183" t="s">
        <v>6</v>
      </c>
      <c r="G60" s="41"/>
      <c r="H60" s="40"/>
    </row>
    <row r="61" spans="1:8" ht="15" customHeight="1">
      <c r="A61" s="95"/>
      <c r="B61" s="95"/>
      <c r="C61" s="95"/>
      <c r="D61" s="183"/>
      <c r="E61" s="183"/>
      <c r="F61" s="183"/>
      <c r="G61" s="41"/>
      <c r="H61" s="40"/>
    </row>
    <row r="62" spans="1:8" ht="15" customHeight="1">
      <c r="A62" s="95"/>
      <c r="B62" s="95"/>
      <c r="C62" s="95"/>
      <c r="D62" s="183"/>
      <c r="E62" s="183"/>
      <c r="F62" s="183"/>
      <c r="G62" s="41"/>
      <c r="H62" s="40"/>
    </row>
    <row r="63" spans="1:8" ht="15" customHeight="1">
      <c r="A63" s="4"/>
      <c r="B63" s="4"/>
      <c r="C63" s="4"/>
      <c r="D63" s="4"/>
      <c r="E63" s="4"/>
      <c r="F63"/>
      <c r="G63" s="41"/>
      <c r="H63" s="40"/>
    </row>
    <row r="64" spans="1:8" ht="15" customHeight="1">
      <c r="A64" s="4"/>
      <c r="B64" s="4"/>
      <c r="C64" s="4"/>
      <c r="D64" s="4"/>
      <c r="E64" s="4"/>
      <c r="F64"/>
      <c r="G64"/>
      <c r="H64" s="40"/>
    </row>
    <row r="65" spans="1:8" ht="15" customHeight="1">
      <c r="A65" s="4"/>
      <c r="B65" s="4"/>
      <c r="C65" s="4"/>
      <c r="D65"/>
      <c r="E65"/>
      <c r="F65"/>
      <c r="G65"/>
      <c r="H65" s="40"/>
    </row>
    <row r="66" spans="1:8">
      <c r="A66" s="4"/>
      <c r="B66" s="4"/>
      <c r="C66" s="4"/>
      <c r="D66"/>
      <c r="E66"/>
      <c r="F66"/>
      <c r="G66"/>
      <c r="H66" s="40"/>
    </row>
    <row r="67" spans="1:8">
      <c r="A67" s="4"/>
      <c r="B67" s="4"/>
      <c r="C67" s="4"/>
      <c r="D67"/>
      <c r="E67"/>
      <c r="F67"/>
      <c r="G67"/>
      <c r="H67" s="40"/>
    </row>
    <row r="68" spans="1:8">
      <c r="A68" s="4"/>
      <c r="B68" s="4"/>
      <c r="C68" s="4"/>
      <c r="D68"/>
      <c r="E68"/>
      <c r="F68"/>
      <c r="G68"/>
      <c r="H68" s="40"/>
    </row>
    <row r="69" spans="1:8" ht="15">
      <c r="A69" s="4"/>
      <c r="B69" s="4"/>
      <c r="C69" s="4"/>
      <c r="D69" s="60"/>
      <c r="E69" s="60"/>
      <c r="F69" s="60"/>
      <c r="G69" s="97"/>
      <c r="H69" s="40"/>
    </row>
    <row r="70" spans="1:8" ht="15">
      <c r="A70" s="4"/>
      <c r="B70" s="4"/>
      <c r="C70" s="4"/>
      <c r="D70" s="60"/>
      <c r="E70" s="60"/>
      <c r="F70" s="60"/>
      <c r="G70" s="97"/>
      <c r="H70" s="40"/>
    </row>
    <row r="71" spans="1:8">
      <c r="A71" s="4"/>
      <c r="B71" s="4"/>
      <c r="C71" s="4"/>
      <c r="D71"/>
      <c r="E71"/>
      <c r="F71"/>
      <c r="G71"/>
      <c r="H71" s="40"/>
    </row>
    <row r="72" spans="1:8">
      <c r="A72"/>
      <c r="B72"/>
      <c r="C72"/>
      <c r="D72"/>
      <c r="E72"/>
      <c r="F72"/>
      <c r="G72"/>
      <c r="H72" s="40"/>
    </row>
    <row r="73" spans="1:8">
      <c r="A73"/>
      <c r="B73"/>
      <c r="C73"/>
      <c r="D73"/>
      <c r="E73"/>
      <c r="F73"/>
      <c r="G73"/>
      <c r="H73" s="40"/>
    </row>
    <row r="74" spans="1:8">
      <c r="A74"/>
      <c r="B74"/>
      <c r="C74"/>
      <c r="D74"/>
      <c r="E74"/>
      <c r="F74"/>
      <c r="G74"/>
      <c r="H74" s="40"/>
    </row>
    <row r="75" spans="1:8">
      <c r="A75"/>
      <c r="B75"/>
      <c r="C75"/>
      <c r="D75"/>
      <c r="E75"/>
      <c r="F75"/>
      <c r="G75"/>
      <c r="H75" s="40"/>
    </row>
    <row r="76" spans="1:8">
      <c r="A76"/>
      <c r="B76"/>
      <c r="C76"/>
      <c r="D76"/>
      <c r="E76"/>
      <c r="F76"/>
      <c r="G76"/>
      <c r="H76" s="40"/>
    </row>
    <row r="77" spans="1:8">
      <c r="H77" s="15"/>
    </row>
    <row r="78" spans="1:8">
      <c r="H78" s="15"/>
    </row>
    <row r="79" spans="1:8">
      <c r="H79" s="15"/>
    </row>
    <row r="80" spans="1:8">
      <c r="H80" s="15"/>
    </row>
    <row r="81" spans="8:8">
      <c r="H81" s="15"/>
    </row>
    <row r="82" spans="8:8">
      <c r="H82" s="15"/>
    </row>
    <row r="83" spans="8:8">
      <c r="H83" s="15"/>
    </row>
    <row r="84" spans="8:8">
      <c r="H84" s="15"/>
    </row>
    <row r="85" spans="8:8">
      <c r="H85" s="15"/>
    </row>
    <row r="86" spans="8:8">
      <c r="H86" s="15"/>
    </row>
    <row r="87" spans="8:8">
      <c r="H87" s="15"/>
    </row>
    <row r="88" spans="8:8">
      <c r="H88" s="15"/>
    </row>
    <row r="89" spans="8:8">
      <c r="H89" s="15"/>
    </row>
    <row r="90" spans="8:8">
      <c r="H90" s="15"/>
    </row>
    <row r="91" spans="8:8">
      <c r="H91" s="15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horizontalDpi="4294967294" verticalDpi="4294967294" r:id="rId1"/>
  <headerFooter alignWithMargins="0"/>
  <ignoredErrors>
    <ignoredError sqref="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topLeftCell="A12" workbookViewId="0">
      <selection activeCell="N22" sqref="N22"/>
    </sheetView>
  </sheetViews>
  <sheetFormatPr baseColWidth="10" defaultColWidth="11.42578125" defaultRowHeight="12.75"/>
  <cols>
    <col min="1" max="1" width="33.7109375" style="7" customWidth="1"/>
    <col min="2" max="2" width="12.42578125" style="7" customWidth="1"/>
    <col min="3" max="3" width="13.5703125" style="7" customWidth="1"/>
    <col min="4" max="4" width="11.28515625" style="7" customWidth="1"/>
    <col min="5" max="5" width="10.42578125" style="7" hidden="1" customWidth="1"/>
    <col min="6" max="7" width="11.42578125" style="7" customWidth="1"/>
    <col min="8" max="8" width="10.7109375" style="7" customWidth="1"/>
    <col min="9" max="9" width="10.28515625" style="7" customWidth="1"/>
    <col min="10" max="10" width="0.140625" style="7" hidden="1" customWidth="1"/>
    <col min="11" max="11" width="9.5703125" style="7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472" t="s">
        <v>259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4" ht="18" customHeight="1">
      <c r="A2" s="472" t="s">
        <v>151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</row>
    <row r="3" spans="1:14" ht="18" customHeight="1">
      <c r="A3" s="472" t="s">
        <v>195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</row>
    <row r="4" spans="1:14" ht="18" customHeight="1">
      <c r="A4" s="472" t="s">
        <v>367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</row>
    <row r="5" spans="1:14" ht="13.5" thickBot="1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 t="s">
        <v>6</v>
      </c>
      <c r="L5" t="s">
        <v>6</v>
      </c>
    </row>
    <row r="6" spans="1:14" ht="20.100000000000001" customHeight="1">
      <c r="A6" s="507" t="s">
        <v>0</v>
      </c>
      <c r="B6" s="511" t="s">
        <v>58</v>
      </c>
      <c r="C6" s="513" t="s">
        <v>48</v>
      </c>
      <c r="D6" s="514"/>
      <c r="E6" s="514"/>
      <c r="F6" s="514"/>
      <c r="G6" s="514"/>
      <c r="H6" s="515"/>
      <c r="I6" s="329" t="s">
        <v>15</v>
      </c>
      <c r="J6" s="330"/>
      <c r="K6" s="509" t="s">
        <v>337</v>
      </c>
      <c r="L6" t="s">
        <v>6</v>
      </c>
    </row>
    <row r="7" spans="1:14" ht="21.75" customHeight="1">
      <c r="A7" s="508"/>
      <c r="B7" s="512"/>
      <c r="C7" s="331" t="s">
        <v>10</v>
      </c>
      <c r="D7" s="331" t="s">
        <v>2</v>
      </c>
      <c r="E7" s="406" t="s">
        <v>28</v>
      </c>
      <c r="F7" s="332" t="s">
        <v>335</v>
      </c>
      <c r="G7" s="333" t="s">
        <v>285</v>
      </c>
      <c r="H7" s="332" t="s">
        <v>143</v>
      </c>
      <c r="I7" s="325" t="s">
        <v>16</v>
      </c>
      <c r="J7" s="325" t="s">
        <v>17</v>
      </c>
      <c r="K7" s="510"/>
      <c r="L7" t="s">
        <v>3</v>
      </c>
      <c r="M7" t="s">
        <v>6</v>
      </c>
    </row>
    <row r="8" spans="1:14" ht="7.9" customHeight="1">
      <c r="A8" s="320"/>
      <c r="B8" s="321"/>
      <c r="C8" s="322"/>
      <c r="D8" s="322"/>
      <c r="E8" s="407"/>
      <c r="F8" s="322"/>
      <c r="G8" s="322"/>
      <c r="H8" s="322"/>
      <c r="I8" s="322"/>
      <c r="J8" s="322"/>
      <c r="K8" s="323"/>
    </row>
    <row r="9" spans="1:14" ht="24.75" customHeight="1">
      <c r="A9" s="324" t="s">
        <v>50</v>
      </c>
      <c r="B9" s="334">
        <v>234334098</v>
      </c>
      <c r="C9" s="334">
        <v>170317337</v>
      </c>
      <c r="D9" s="334">
        <v>126639599</v>
      </c>
      <c r="E9" s="408">
        <v>13529953.68</v>
      </c>
      <c r="F9" s="334">
        <v>90321342.175000012</v>
      </c>
      <c r="G9" s="334">
        <v>80282302.129999995</v>
      </c>
      <c r="H9" s="334">
        <v>81413957.430000022</v>
      </c>
      <c r="I9" s="334">
        <v>36318256.824999988</v>
      </c>
      <c r="J9" s="334">
        <v>79995994.824999988</v>
      </c>
      <c r="K9" s="348">
        <v>71.321563624818495</v>
      </c>
      <c r="L9">
        <f>84817700.79</f>
        <v>84817700.790000007</v>
      </c>
    </row>
    <row r="10" spans="1:14" ht="11.1" customHeight="1">
      <c r="A10" s="184"/>
      <c r="B10" s="185"/>
      <c r="C10" s="186"/>
      <c r="D10" s="186"/>
      <c r="E10" s="409"/>
      <c r="F10" s="186" t="s">
        <v>6</v>
      </c>
      <c r="G10" s="186"/>
      <c r="H10" s="186" t="s">
        <v>6</v>
      </c>
      <c r="I10" s="186" t="s">
        <v>6</v>
      </c>
      <c r="J10" s="186" t="s">
        <v>6</v>
      </c>
      <c r="K10" s="187" t="s">
        <v>6</v>
      </c>
      <c r="L10" t="s">
        <v>6</v>
      </c>
    </row>
    <row r="11" spans="1:14">
      <c r="A11" s="346" t="s">
        <v>226</v>
      </c>
      <c r="B11" s="337">
        <v>158641933</v>
      </c>
      <c r="C11" s="337">
        <v>155666077</v>
      </c>
      <c r="D11" s="337">
        <v>111988339</v>
      </c>
      <c r="E11" s="410">
        <v>11282291.779999999</v>
      </c>
      <c r="F11" s="337">
        <v>77554985.405000016</v>
      </c>
      <c r="G11" s="337">
        <v>71310321.799999997</v>
      </c>
      <c r="H11" s="337">
        <v>73486435.480000019</v>
      </c>
      <c r="I11" s="337">
        <v>34433353.594999984</v>
      </c>
      <c r="J11" s="337">
        <v>81086947.594999984</v>
      </c>
      <c r="K11" s="338">
        <v>69.252733005531951</v>
      </c>
      <c r="L11">
        <f>71948551.65-1</f>
        <v>71948550.650000006</v>
      </c>
      <c r="N11" t="s">
        <v>6</v>
      </c>
    </row>
    <row r="12" spans="1:14" ht="10.35" customHeight="1">
      <c r="A12" s="55"/>
      <c r="B12" s="347"/>
      <c r="C12" s="337"/>
      <c r="D12" s="337"/>
      <c r="E12" s="410"/>
      <c r="F12" s="337" t="s">
        <v>6</v>
      </c>
      <c r="G12" s="337"/>
      <c r="H12" s="337"/>
      <c r="I12" s="337"/>
      <c r="J12" s="337" t="s">
        <v>6</v>
      </c>
      <c r="K12" s="338"/>
      <c r="L12" t="s">
        <v>6</v>
      </c>
    </row>
    <row r="13" spans="1:14" ht="18" customHeight="1">
      <c r="A13" s="346" t="s">
        <v>228</v>
      </c>
      <c r="B13" s="337">
        <v>145122874</v>
      </c>
      <c r="C13" s="337">
        <v>147172674</v>
      </c>
      <c r="D13" s="337">
        <v>103687870</v>
      </c>
      <c r="E13" s="410">
        <v>11006268.539999999</v>
      </c>
      <c r="F13" s="337">
        <v>75994696.975000009</v>
      </c>
      <c r="G13" s="337">
        <v>69817981.5</v>
      </c>
      <c r="H13" s="337">
        <v>72043302.62000002</v>
      </c>
      <c r="I13" s="337">
        <v>27693173.024999991</v>
      </c>
      <c r="J13" s="337">
        <v>69128177.024999991</v>
      </c>
      <c r="K13" s="338">
        <v>73.291791002168338</v>
      </c>
      <c r="L13">
        <v>71049250.590000004</v>
      </c>
      <c r="M13" s="1" t="s">
        <v>6</v>
      </c>
    </row>
    <row r="14" spans="1:14" ht="11.1" customHeight="1">
      <c r="A14" s="55"/>
      <c r="B14" s="185"/>
      <c r="C14" s="186"/>
      <c r="D14" s="186"/>
      <c r="E14" s="409"/>
      <c r="F14" s="186" t="s">
        <v>6</v>
      </c>
      <c r="G14" s="186"/>
      <c r="H14" s="186"/>
      <c r="I14" s="186"/>
      <c r="J14" s="186"/>
      <c r="K14" s="187"/>
      <c r="L14" t="s">
        <v>6</v>
      </c>
    </row>
    <row r="15" spans="1:14" ht="18" customHeight="1">
      <c r="A15" s="341" t="s">
        <v>51</v>
      </c>
      <c r="B15" s="339">
        <v>116348656</v>
      </c>
      <c r="C15" s="339">
        <v>118776456</v>
      </c>
      <c r="D15" s="339">
        <v>79772032</v>
      </c>
      <c r="E15" s="411">
        <v>10312212.880000001</v>
      </c>
      <c r="F15" s="339">
        <v>67769079.590000004</v>
      </c>
      <c r="G15" s="339">
        <v>63457623.080000006</v>
      </c>
      <c r="H15" s="339">
        <v>66506286.120000005</v>
      </c>
      <c r="I15" s="339">
        <v>12002952.409999996</v>
      </c>
      <c r="J15" s="339">
        <v>51007376.409999996</v>
      </c>
      <c r="K15" s="340">
        <v>84.953432789577192</v>
      </c>
      <c r="L15">
        <v>67328817.609999999</v>
      </c>
    </row>
    <row r="16" spans="1:14" ht="18" customHeight="1">
      <c r="A16" s="341" t="s">
        <v>155</v>
      </c>
      <c r="B16" s="339">
        <v>18526746</v>
      </c>
      <c r="C16" s="339">
        <v>17021766</v>
      </c>
      <c r="D16" s="339">
        <v>12659886</v>
      </c>
      <c r="E16" s="411">
        <v>399788.59999999986</v>
      </c>
      <c r="F16" s="339">
        <v>4563891.72</v>
      </c>
      <c r="G16" s="339">
        <v>3743197.0299999993</v>
      </c>
      <c r="H16" s="339">
        <v>3230680.04</v>
      </c>
      <c r="I16" s="339">
        <v>8095994.2800000003</v>
      </c>
      <c r="J16" s="339">
        <v>12457874.280000001</v>
      </c>
      <c r="K16" s="340">
        <v>36.050022251385201</v>
      </c>
      <c r="L16">
        <v>2361674.9099999997</v>
      </c>
    </row>
    <row r="17" spans="1:16" ht="18" customHeight="1">
      <c r="A17" s="341" t="s">
        <v>52</v>
      </c>
      <c r="B17" s="339">
        <v>7743903</v>
      </c>
      <c r="C17" s="339">
        <v>8717043</v>
      </c>
      <c r="D17" s="339">
        <v>8717043</v>
      </c>
      <c r="E17" s="411">
        <v>224682.87000000002</v>
      </c>
      <c r="F17" s="339">
        <v>2400249.1350000002</v>
      </c>
      <c r="G17" s="339">
        <v>1813444.88</v>
      </c>
      <c r="H17" s="339">
        <v>1624439.73</v>
      </c>
      <c r="I17" s="339">
        <v>5343653.8650000002</v>
      </c>
      <c r="J17" s="339">
        <v>6316793.8650000002</v>
      </c>
      <c r="K17" s="340">
        <v>27.535130146771102</v>
      </c>
      <c r="L17">
        <v>1178096.594</v>
      </c>
    </row>
    <row r="18" spans="1:16" ht="18.75" customHeight="1">
      <c r="A18" s="341" t="s">
        <v>278</v>
      </c>
      <c r="B18" s="339">
        <v>2503569</v>
      </c>
      <c r="C18" s="339">
        <v>2657409</v>
      </c>
      <c r="D18" s="339">
        <v>2538909</v>
      </c>
      <c r="E18" s="411">
        <v>69584.19</v>
      </c>
      <c r="F18" s="339">
        <v>1261476.53</v>
      </c>
      <c r="G18" s="339">
        <v>803716.51</v>
      </c>
      <c r="H18" s="339">
        <v>681896.73</v>
      </c>
      <c r="I18" s="339">
        <v>514873.59</v>
      </c>
      <c r="J18" s="339">
        <v>1395932.47</v>
      </c>
      <c r="K18" s="340">
        <v>49.685771723208674</v>
      </c>
      <c r="L18">
        <v>105848.37</v>
      </c>
      <c r="N18" s="20"/>
    </row>
    <row r="19" spans="1:16" ht="9.75" customHeight="1">
      <c r="A19" s="55"/>
      <c r="B19" s="335"/>
      <c r="C19" s="335"/>
      <c r="D19" s="335"/>
      <c r="E19" s="412"/>
      <c r="F19" s="335" t="s">
        <v>6</v>
      </c>
      <c r="G19" s="335"/>
      <c r="H19" s="335"/>
      <c r="I19" s="335"/>
      <c r="J19" s="335"/>
      <c r="K19" s="336" t="s">
        <v>6</v>
      </c>
      <c r="L19" t="s">
        <v>6</v>
      </c>
      <c r="P19" t="s">
        <v>6</v>
      </c>
    </row>
    <row r="20" spans="1:16" ht="18" customHeight="1">
      <c r="A20" s="346" t="s">
        <v>229</v>
      </c>
      <c r="B20" s="337">
        <v>13519059</v>
      </c>
      <c r="C20" s="337">
        <v>8493403</v>
      </c>
      <c r="D20" s="337">
        <v>8300469</v>
      </c>
      <c r="E20" s="410">
        <v>276023.24</v>
      </c>
      <c r="F20" s="337">
        <v>1560289.43</v>
      </c>
      <c r="G20" s="337">
        <v>1492340.2999999998</v>
      </c>
      <c r="H20" s="337">
        <v>1443132.8599999999</v>
      </c>
      <c r="I20" s="337">
        <v>6740179.5700000003</v>
      </c>
      <c r="J20" s="337">
        <v>6933113.5700000003</v>
      </c>
      <c r="K20" s="338">
        <v>18.797605653367295</v>
      </c>
      <c r="L20">
        <v>899301.06000000017</v>
      </c>
    </row>
    <row r="21" spans="1:16" ht="12.75" customHeight="1">
      <c r="A21" s="55" t="s">
        <v>141</v>
      </c>
      <c r="B21" s="335"/>
      <c r="C21" s="335"/>
      <c r="D21" s="335"/>
      <c r="E21" s="412"/>
      <c r="F21" s="335" t="s">
        <v>6</v>
      </c>
      <c r="G21" s="335"/>
      <c r="H21" s="335"/>
      <c r="I21" s="335"/>
      <c r="J21" s="335"/>
      <c r="K21" s="336" t="s">
        <v>6</v>
      </c>
      <c r="L21" t="s">
        <v>6</v>
      </c>
    </row>
    <row r="22" spans="1:16" ht="18" customHeight="1">
      <c r="A22" s="341" t="s">
        <v>334</v>
      </c>
      <c r="B22" s="335">
        <v>13393044</v>
      </c>
      <c r="C22" s="335">
        <v>8314388</v>
      </c>
      <c r="D22" s="335">
        <v>8121454</v>
      </c>
      <c r="E22" s="412">
        <v>276023.24</v>
      </c>
      <c r="F22" s="335">
        <v>1510642.9700000002</v>
      </c>
      <c r="G22" s="335">
        <v>1442693.8399999999</v>
      </c>
      <c r="H22" s="335">
        <v>1442232.8599999999</v>
      </c>
      <c r="I22" s="335">
        <v>6610811.0299999993</v>
      </c>
      <c r="J22" s="335">
        <v>6803745.0299999993</v>
      </c>
      <c r="K22" s="336">
        <v>18.600646756110422</v>
      </c>
      <c r="L22">
        <v>59671.520000000004</v>
      </c>
    </row>
    <row r="23" spans="1:16" ht="12.75" hidden="1" customHeight="1">
      <c r="A23" s="55" t="s">
        <v>53</v>
      </c>
      <c r="B23" s="335"/>
      <c r="C23" s="335" t="s">
        <v>6</v>
      </c>
      <c r="D23" s="335" t="s">
        <v>6</v>
      </c>
      <c r="E23" s="412"/>
      <c r="F23" s="335" t="e">
        <v>#REF!</v>
      </c>
      <c r="G23" s="339">
        <v>11513.2</v>
      </c>
      <c r="H23" s="335"/>
      <c r="I23" s="335"/>
      <c r="J23" s="339" t="e">
        <v>#VALUE!</v>
      </c>
      <c r="K23" s="336" t="s">
        <v>6</v>
      </c>
      <c r="L23">
        <v>1231</v>
      </c>
    </row>
    <row r="24" spans="1:16" ht="12.75" hidden="1" customHeight="1">
      <c r="A24" s="55" t="s">
        <v>156</v>
      </c>
      <c r="B24" s="335"/>
      <c r="C24" s="335"/>
      <c r="D24" s="335"/>
      <c r="E24" s="412"/>
      <c r="F24" s="335" t="e">
        <v>#REF!</v>
      </c>
      <c r="G24" s="339">
        <v>3037.9</v>
      </c>
      <c r="H24" s="335"/>
      <c r="I24" s="335"/>
      <c r="J24" s="339" t="e">
        <v>#REF!</v>
      </c>
      <c r="K24" s="336" t="s">
        <v>6</v>
      </c>
      <c r="L24">
        <v>1231</v>
      </c>
    </row>
    <row r="25" spans="1:16" ht="12.75" hidden="1" customHeight="1">
      <c r="A25" s="55" t="s">
        <v>157</v>
      </c>
      <c r="B25" s="335"/>
      <c r="C25" s="335"/>
      <c r="D25" s="335"/>
      <c r="E25" s="412"/>
      <c r="F25" s="335" t="e">
        <v>#REF!</v>
      </c>
      <c r="G25" s="339">
        <v>30220.959999999999</v>
      </c>
      <c r="H25" s="335"/>
      <c r="I25" s="335"/>
      <c r="J25" s="339" t="e">
        <v>#REF!</v>
      </c>
      <c r="K25" s="336" t="s">
        <v>6</v>
      </c>
      <c r="L25">
        <v>1231</v>
      </c>
    </row>
    <row r="26" spans="1:16" ht="12.75" hidden="1" customHeight="1">
      <c r="A26" s="55" t="s">
        <v>54</v>
      </c>
      <c r="B26" s="335"/>
      <c r="C26" s="335"/>
      <c r="D26" s="335"/>
      <c r="E26" s="412"/>
      <c r="F26" s="335" t="e">
        <v>#REF!</v>
      </c>
      <c r="G26" s="335"/>
      <c r="H26" s="335"/>
      <c r="I26" s="335"/>
      <c r="J26" s="339" t="e">
        <v>#REF!</v>
      </c>
      <c r="K26" s="336" t="s">
        <v>6</v>
      </c>
      <c r="L26">
        <v>1231</v>
      </c>
    </row>
    <row r="27" spans="1:16" ht="12.75" customHeight="1">
      <c r="A27" s="55"/>
      <c r="B27" s="335"/>
      <c r="C27" s="335"/>
      <c r="D27" s="335"/>
      <c r="E27" s="412"/>
      <c r="F27" s="335"/>
      <c r="G27" s="335"/>
      <c r="H27" s="335"/>
      <c r="I27" s="335"/>
      <c r="J27" s="339">
        <v>0</v>
      </c>
      <c r="K27" s="336"/>
    </row>
    <row r="28" spans="1:16" ht="18" customHeight="1">
      <c r="A28" s="341" t="s">
        <v>224</v>
      </c>
      <c r="B28" s="339">
        <v>13393044</v>
      </c>
      <c r="C28" s="339">
        <v>8314388</v>
      </c>
      <c r="D28" s="339">
        <v>8121454</v>
      </c>
      <c r="E28" s="411">
        <v>276023.24</v>
      </c>
      <c r="F28" s="339">
        <v>1510642.9700000002</v>
      </c>
      <c r="G28" s="339">
        <v>1442693.8399999999</v>
      </c>
      <c r="H28" s="339">
        <v>1442232.8599999999</v>
      </c>
      <c r="I28" s="339">
        <v>6610811.0299999993</v>
      </c>
      <c r="J28" s="339">
        <v>6803745.0299999993</v>
      </c>
      <c r="K28" s="340">
        <v>18.600646756110422</v>
      </c>
      <c r="L28">
        <v>59671.520000000004</v>
      </c>
      <c r="N28" s="1"/>
      <c r="O28" s="1"/>
    </row>
    <row r="29" spans="1:16" ht="18" customHeight="1">
      <c r="A29" s="341" t="s">
        <v>225</v>
      </c>
      <c r="B29" s="339"/>
      <c r="C29" s="339" t="s">
        <v>6</v>
      </c>
      <c r="D29" s="339" t="s">
        <v>6</v>
      </c>
      <c r="E29" s="411"/>
      <c r="F29" s="339" t="s">
        <v>6</v>
      </c>
      <c r="G29" s="339"/>
      <c r="H29" s="339"/>
      <c r="I29" s="339"/>
      <c r="J29" s="339" t="s">
        <v>6</v>
      </c>
      <c r="K29" s="340" t="s">
        <v>6</v>
      </c>
      <c r="L29" t="s">
        <v>6</v>
      </c>
    </row>
    <row r="30" spans="1:16" ht="18" customHeight="1">
      <c r="A30" s="341" t="s">
        <v>284</v>
      </c>
      <c r="B30" s="339"/>
      <c r="C30" s="339" t="s">
        <v>6</v>
      </c>
      <c r="D30" s="339" t="s">
        <v>6</v>
      </c>
      <c r="E30" s="411"/>
      <c r="F30" s="339" t="s">
        <v>6</v>
      </c>
      <c r="G30" s="339"/>
      <c r="H30" s="339"/>
      <c r="I30" s="339"/>
      <c r="J30" s="339" t="s">
        <v>6</v>
      </c>
      <c r="K30" s="340" t="s">
        <v>6</v>
      </c>
      <c r="L30">
        <v>0</v>
      </c>
      <c r="N30" s="1"/>
    </row>
    <row r="31" spans="1:16" ht="18" customHeight="1">
      <c r="A31" s="341" t="s">
        <v>223</v>
      </c>
      <c r="B31" s="339">
        <v>126015</v>
      </c>
      <c r="C31" s="339">
        <v>134015</v>
      </c>
      <c r="D31" s="339">
        <v>134015</v>
      </c>
      <c r="E31" s="411">
        <v>-400</v>
      </c>
      <c r="F31" s="339">
        <v>40579.949999999997</v>
      </c>
      <c r="G31" s="339">
        <v>40579.949999999997</v>
      </c>
      <c r="H31" s="339">
        <v>900</v>
      </c>
      <c r="I31" s="339">
        <v>93435.05</v>
      </c>
      <c r="J31" s="339">
        <v>93435.05</v>
      </c>
      <c r="K31" s="340">
        <v>30.280155206506731</v>
      </c>
      <c r="L31">
        <v>5963.5599999999995</v>
      </c>
    </row>
    <row r="32" spans="1:16" ht="18" customHeight="1">
      <c r="A32" s="341" t="s">
        <v>358</v>
      </c>
      <c r="B32" s="339"/>
      <c r="C32" s="339">
        <v>45000</v>
      </c>
      <c r="D32" s="339">
        <v>45000</v>
      </c>
      <c r="E32" s="411"/>
      <c r="F32" s="339">
        <v>9065.51</v>
      </c>
      <c r="G32" s="339">
        <v>9066.51</v>
      </c>
      <c r="H32" s="339"/>
      <c r="I32" s="339">
        <v>35934.49</v>
      </c>
      <c r="J32" s="339"/>
      <c r="K32" s="340">
        <v>20.145577777777778</v>
      </c>
    </row>
    <row r="33" spans="1:17" ht="12.6" customHeight="1">
      <c r="A33" s="55" t="s">
        <v>6</v>
      </c>
      <c r="B33" s="335"/>
      <c r="C33" s="335"/>
      <c r="D33" s="335"/>
      <c r="E33" s="412"/>
      <c r="F33" s="335"/>
      <c r="G33" s="335"/>
      <c r="H33" s="335"/>
      <c r="I33" s="335"/>
      <c r="J33" s="335"/>
      <c r="K33" s="336"/>
    </row>
    <row r="34" spans="1:17" ht="7.9" customHeight="1">
      <c r="A34" s="55" t="s">
        <v>6</v>
      </c>
      <c r="B34" s="335"/>
      <c r="C34" s="335"/>
      <c r="D34" s="335"/>
      <c r="E34" s="412"/>
      <c r="F34" s="335" t="s">
        <v>6</v>
      </c>
      <c r="G34" s="335"/>
      <c r="H34" s="335"/>
      <c r="I34" s="335" t="s">
        <v>6</v>
      </c>
      <c r="J34" s="335" t="s">
        <v>6</v>
      </c>
      <c r="K34" s="336" t="s">
        <v>6</v>
      </c>
      <c r="L34">
        <v>0</v>
      </c>
    </row>
    <row r="35" spans="1:17">
      <c r="A35" s="346" t="s">
        <v>227</v>
      </c>
      <c r="B35" s="337">
        <v>75692165</v>
      </c>
      <c r="C35" s="337">
        <v>14651260</v>
      </c>
      <c r="D35" s="337">
        <v>14651260</v>
      </c>
      <c r="E35" s="410">
        <v>2247661.9</v>
      </c>
      <c r="F35" s="337">
        <v>12766356.77</v>
      </c>
      <c r="G35" s="337">
        <v>8971980.3300000001</v>
      </c>
      <c r="H35" s="337">
        <v>7927521.9500000011</v>
      </c>
      <c r="I35" s="337">
        <v>1884903.2300000004</v>
      </c>
      <c r="J35" s="337">
        <v>1884903.2300000004</v>
      </c>
      <c r="K35" s="338">
        <v>87.134872836875459</v>
      </c>
      <c r="L35">
        <v>12869150.130000001</v>
      </c>
    </row>
    <row r="36" spans="1:17" ht="4.5" customHeight="1">
      <c r="A36" s="55"/>
      <c r="B36" s="337"/>
      <c r="C36" s="337" t="s">
        <v>6</v>
      </c>
      <c r="D36" s="429" t="s">
        <v>6</v>
      </c>
      <c r="E36" s="413"/>
      <c r="F36" s="337" t="s">
        <v>6</v>
      </c>
      <c r="G36" s="337"/>
      <c r="H36" s="7" t="s">
        <v>6</v>
      </c>
      <c r="I36" s="337"/>
      <c r="J36" s="337"/>
      <c r="K36" s="338" t="s">
        <v>6</v>
      </c>
      <c r="L36" t="s">
        <v>6</v>
      </c>
    </row>
    <row r="37" spans="1:17">
      <c r="A37" s="346" t="s">
        <v>230</v>
      </c>
      <c r="B37" s="337">
        <v>75692165</v>
      </c>
      <c r="C37" s="337">
        <v>14651260</v>
      </c>
      <c r="D37" s="337">
        <v>14651260</v>
      </c>
      <c r="E37" s="410">
        <v>2247661.9</v>
      </c>
      <c r="F37" s="337">
        <v>12766356.77</v>
      </c>
      <c r="G37" s="337">
        <v>8971980.3300000001</v>
      </c>
      <c r="H37" s="337">
        <v>7927521.9500000011</v>
      </c>
      <c r="I37" s="337">
        <v>1884903.2300000004</v>
      </c>
      <c r="J37" s="337">
        <v>1884903.2300000004</v>
      </c>
      <c r="K37" s="338">
        <v>87.134872836875459</v>
      </c>
      <c r="L37">
        <v>12869150.130000001</v>
      </c>
      <c r="M37" s="1" t="s">
        <v>6</v>
      </c>
      <c r="N37" t="s">
        <v>6</v>
      </c>
    </row>
    <row r="38" spans="1:17" ht="6" customHeight="1">
      <c r="A38" s="55"/>
      <c r="B38" s="335"/>
      <c r="C38" s="335"/>
      <c r="D38" s="335"/>
      <c r="E38" s="412"/>
      <c r="F38" s="335" t="s">
        <v>6</v>
      </c>
      <c r="G38" s="335"/>
      <c r="H38" s="335"/>
      <c r="I38" s="335" t="s">
        <v>6</v>
      </c>
      <c r="J38" s="335" t="s">
        <v>6</v>
      </c>
      <c r="K38" s="336"/>
      <c r="L38" t="s">
        <v>6</v>
      </c>
    </row>
    <row r="39" spans="1:17">
      <c r="A39" s="341" t="s">
        <v>158</v>
      </c>
      <c r="B39" s="339">
        <v>28748221</v>
      </c>
      <c r="C39" s="339">
        <v>2582973</v>
      </c>
      <c r="D39" s="339">
        <v>2582973</v>
      </c>
      <c r="E39" s="411">
        <v>1036302</v>
      </c>
      <c r="F39" s="411">
        <v>2584065.44</v>
      </c>
      <c r="G39" s="339">
        <v>2584066</v>
      </c>
      <c r="H39" s="339">
        <v>2584066</v>
      </c>
      <c r="I39" s="339">
        <v>-1092.4399999999441</v>
      </c>
      <c r="J39" s="339">
        <v>-1092.4399999999441</v>
      </c>
      <c r="K39" s="340">
        <v>100.0422938993168</v>
      </c>
      <c r="L39" s="27">
        <v>12221531.41</v>
      </c>
      <c r="N39" s="1"/>
      <c r="O39" s="1"/>
      <c r="Q39" s="17"/>
    </row>
    <row r="40" spans="1:17">
      <c r="A40" s="341" t="s">
        <v>165</v>
      </c>
      <c r="B40" s="339">
        <v>25866664</v>
      </c>
      <c r="C40" s="339">
        <v>6336492</v>
      </c>
      <c r="D40" s="339">
        <v>6336492</v>
      </c>
      <c r="E40" s="411">
        <v>683105.23</v>
      </c>
      <c r="F40" s="339">
        <v>6416907.1900000013</v>
      </c>
      <c r="G40" s="339">
        <v>3584885.1500000004</v>
      </c>
      <c r="H40" s="339">
        <v>2585770.8800000004</v>
      </c>
      <c r="I40" s="339">
        <v>-80415.190000001341</v>
      </c>
      <c r="J40" s="339">
        <v>-80415.190000001341</v>
      </c>
      <c r="K40" s="340">
        <v>101.26908058907046</v>
      </c>
      <c r="L40" s="27">
        <v>647618.71999999986</v>
      </c>
      <c r="N40" s="1"/>
      <c r="O40" s="1"/>
      <c r="Q40" s="17"/>
    </row>
    <row r="41" spans="1:17">
      <c r="A41" s="341" t="s">
        <v>166</v>
      </c>
      <c r="B41" s="339">
        <v>21077280</v>
      </c>
      <c r="C41" s="339">
        <v>5731795</v>
      </c>
      <c r="D41" s="339">
        <v>5731795</v>
      </c>
      <c r="E41" s="411">
        <v>528254.67000000004</v>
      </c>
      <c r="F41" s="339">
        <v>3765384.1399999997</v>
      </c>
      <c r="G41" s="339">
        <v>2803029.18</v>
      </c>
      <c r="H41" s="339">
        <v>2757685.07</v>
      </c>
      <c r="I41" s="339">
        <v>1966410.8600000003</v>
      </c>
      <c r="J41" s="339">
        <v>1966410.8600000003</v>
      </c>
      <c r="K41" s="340">
        <v>65.69293109750086</v>
      </c>
      <c r="L41" s="27">
        <v>0</v>
      </c>
      <c r="N41" s="1"/>
      <c r="O41" s="1"/>
    </row>
    <row r="42" spans="1:17" ht="7.5" customHeight="1">
      <c r="A42" s="55"/>
      <c r="B42" s="335"/>
      <c r="C42" s="335"/>
      <c r="D42" s="335"/>
      <c r="E42" s="412"/>
      <c r="F42" s="335" t="s">
        <v>6</v>
      </c>
      <c r="G42" s="335"/>
      <c r="H42" s="335"/>
      <c r="I42" s="335" t="s">
        <v>6</v>
      </c>
      <c r="J42" s="335" t="s">
        <v>6</v>
      </c>
      <c r="K42" s="336" t="s">
        <v>6</v>
      </c>
      <c r="L42" t="s">
        <v>6</v>
      </c>
    </row>
    <row r="43" spans="1:17">
      <c r="A43" s="346" t="s">
        <v>231</v>
      </c>
      <c r="B43" s="335"/>
      <c r="C43" s="335">
        <v>0</v>
      </c>
      <c r="D43" s="335">
        <v>0</v>
      </c>
      <c r="E43" s="412"/>
      <c r="F43" s="335" t="s">
        <v>6</v>
      </c>
      <c r="G43" s="335"/>
      <c r="H43" s="335">
        <v>0</v>
      </c>
      <c r="I43" s="335" t="s">
        <v>6</v>
      </c>
      <c r="J43" s="335" t="s">
        <v>6</v>
      </c>
      <c r="K43" s="336" t="s">
        <v>6</v>
      </c>
      <c r="L43" t="s">
        <v>6</v>
      </c>
    </row>
    <row r="44" spans="1:17" ht="9" customHeight="1">
      <c r="A44" s="341"/>
      <c r="B44" s="335"/>
      <c r="C44" s="335"/>
      <c r="D44" s="335"/>
      <c r="E44" s="412"/>
      <c r="F44" s="335" t="s">
        <v>6</v>
      </c>
      <c r="G44" s="335"/>
      <c r="H44" s="335" t="s">
        <v>6</v>
      </c>
      <c r="I44" s="335" t="s">
        <v>6</v>
      </c>
      <c r="J44" s="335" t="s">
        <v>6</v>
      </c>
      <c r="K44" s="336" t="s">
        <v>6</v>
      </c>
      <c r="L44" t="s">
        <v>6</v>
      </c>
    </row>
    <row r="45" spans="1:17">
      <c r="A45" s="341" t="s">
        <v>159</v>
      </c>
      <c r="B45" s="335"/>
      <c r="C45" s="335"/>
      <c r="D45" s="335"/>
      <c r="E45" s="412"/>
      <c r="F45" s="335" t="s">
        <v>6</v>
      </c>
      <c r="G45" s="335"/>
      <c r="H45" s="335"/>
      <c r="I45" s="335" t="s">
        <v>6</v>
      </c>
      <c r="J45" s="335" t="s">
        <v>6</v>
      </c>
      <c r="K45" s="336" t="s">
        <v>6</v>
      </c>
      <c r="L45" t="s">
        <v>6</v>
      </c>
    </row>
    <row r="46" spans="1:17">
      <c r="A46" s="341" t="s">
        <v>160</v>
      </c>
      <c r="B46" s="335"/>
      <c r="C46" s="335"/>
      <c r="D46" s="335"/>
      <c r="E46" s="412"/>
      <c r="F46" s="335" t="s">
        <v>6</v>
      </c>
      <c r="G46" s="335"/>
      <c r="H46" s="335"/>
      <c r="I46" s="335" t="s">
        <v>6</v>
      </c>
      <c r="J46" s="335" t="s">
        <v>6</v>
      </c>
      <c r="K46" s="336" t="s">
        <v>6</v>
      </c>
      <c r="L46" t="s">
        <v>6</v>
      </c>
    </row>
    <row r="47" spans="1:17">
      <c r="A47" s="341" t="s">
        <v>161</v>
      </c>
      <c r="B47" s="335"/>
      <c r="C47" s="335"/>
      <c r="D47" s="335"/>
      <c r="E47" s="412"/>
      <c r="F47" s="335" t="s">
        <v>6</v>
      </c>
      <c r="G47" s="335"/>
      <c r="H47" s="335"/>
      <c r="I47" s="335" t="s">
        <v>6</v>
      </c>
      <c r="J47" s="335" t="s">
        <v>6</v>
      </c>
      <c r="K47" s="336" t="s">
        <v>6</v>
      </c>
      <c r="L47" t="s">
        <v>6</v>
      </c>
    </row>
    <row r="48" spans="1:17">
      <c r="A48" s="341" t="s">
        <v>162</v>
      </c>
      <c r="B48" s="335"/>
      <c r="C48" s="335" t="s">
        <v>6</v>
      </c>
      <c r="D48" s="335" t="s">
        <v>6</v>
      </c>
      <c r="E48" s="412"/>
      <c r="F48" s="335" t="s">
        <v>6</v>
      </c>
      <c r="G48" s="335"/>
      <c r="H48" s="335"/>
      <c r="I48" s="335" t="s">
        <v>6</v>
      </c>
      <c r="J48" s="335" t="s">
        <v>6</v>
      </c>
      <c r="K48" s="336" t="s">
        <v>6</v>
      </c>
      <c r="L48" t="s">
        <v>6</v>
      </c>
    </row>
    <row r="49" spans="1:12">
      <c r="A49" s="341" t="s">
        <v>163</v>
      </c>
      <c r="B49" s="335"/>
      <c r="C49" s="335" t="s">
        <v>6</v>
      </c>
      <c r="D49" s="335" t="s">
        <v>6</v>
      </c>
      <c r="E49" s="412"/>
      <c r="F49" s="335" t="s">
        <v>6</v>
      </c>
      <c r="G49" s="335"/>
      <c r="H49" s="335"/>
      <c r="I49" s="335" t="s">
        <v>30</v>
      </c>
      <c r="J49" s="335" t="s">
        <v>6</v>
      </c>
      <c r="K49" s="336" t="s">
        <v>6</v>
      </c>
      <c r="L49" t="s">
        <v>6</v>
      </c>
    </row>
    <row r="50" spans="1:12" ht="6.75" customHeight="1">
      <c r="A50" s="55"/>
      <c r="B50" s="186"/>
      <c r="C50" s="186"/>
      <c r="D50" s="186"/>
      <c r="E50" s="409"/>
      <c r="F50" s="186" t="s">
        <v>6</v>
      </c>
      <c r="G50" s="186"/>
      <c r="H50" s="186"/>
      <c r="I50" s="186" t="s">
        <v>6</v>
      </c>
      <c r="J50" s="186" t="s">
        <v>6</v>
      </c>
      <c r="K50" s="187" t="s">
        <v>6</v>
      </c>
      <c r="L50" t="s">
        <v>6</v>
      </c>
    </row>
    <row r="51" spans="1:12" ht="13.5">
      <c r="A51" s="346" t="s">
        <v>232</v>
      </c>
      <c r="B51" s="186"/>
      <c r="C51" s="186">
        <v>0</v>
      </c>
      <c r="D51" s="186">
        <v>0</v>
      </c>
      <c r="E51" s="409"/>
      <c r="F51" s="186" t="s">
        <v>6</v>
      </c>
      <c r="G51" s="186"/>
      <c r="H51" s="186">
        <v>0</v>
      </c>
      <c r="I51" s="186" t="s">
        <v>30</v>
      </c>
      <c r="J51" s="186" t="s">
        <v>6</v>
      </c>
      <c r="K51" s="187" t="s">
        <v>6</v>
      </c>
      <c r="L51" t="s">
        <v>6</v>
      </c>
    </row>
    <row r="52" spans="1:12" ht="7.5" customHeight="1">
      <c r="A52" s="55"/>
      <c r="B52" s="186"/>
      <c r="C52" s="186" t="s">
        <v>6</v>
      </c>
      <c r="D52" s="186"/>
      <c r="E52" s="409"/>
      <c r="F52" s="186" t="s">
        <v>6</v>
      </c>
      <c r="G52" s="186"/>
      <c r="H52" s="186"/>
      <c r="I52" s="186" t="s">
        <v>6</v>
      </c>
      <c r="J52" s="186" t="s">
        <v>6</v>
      </c>
      <c r="K52" s="187" t="s">
        <v>6</v>
      </c>
      <c r="L52" t="s">
        <v>6</v>
      </c>
    </row>
    <row r="53" spans="1:12" ht="13.5">
      <c r="A53" s="341" t="s">
        <v>55</v>
      </c>
      <c r="B53" s="186"/>
      <c r="C53" s="186" t="s">
        <v>6</v>
      </c>
      <c r="D53" s="186"/>
      <c r="E53" s="409"/>
      <c r="F53" s="186" t="s">
        <v>6</v>
      </c>
      <c r="G53" s="186"/>
      <c r="H53" s="186"/>
      <c r="I53" s="186" t="s">
        <v>6</v>
      </c>
      <c r="J53" s="186" t="s">
        <v>6</v>
      </c>
      <c r="K53" s="187" t="s">
        <v>6</v>
      </c>
      <c r="L53" t="s">
        <v>6</v>
      </c>
    </row>
    <row r="54" spans="1:12" ht="13.5">
      <c r="A54" s="341" t="s">
        <v>164</v>
      </c>
      <c r="B54" s="186"/>
      <c r="C54" s="186" t="s">
        <v>6</v>
      </c>
      <c r="D54" s="186"/>
      <c r="E54" s="409"/>
      <c r="F54" s="186" t="s">
        <v>6</v>
      </c>
      <c r="G54" s="186"/>
      <c r="H54" s="186"/>
      <c r="I54" s="186" t="s">
        <v>6</v>
      </c>
      <c r="J54" s="186" t="s">
        <v>6</v>
      </c>
      <c r="K54" s="187" t="s">
        <v>6</v>
      </c>
      <c r="L54" t="s">
        <v>6</v>
      </c>
    </row>
    <row r="55" spans="1:12" ht="4.5" customHeight="1">
      <c r="A55" s="342"/>
      <c r="B55" s="188"/>
      <c r="C55" s="189"/>
      <c r="D55" s="189"/>
      <c r="E55" s="414"/>
      <c r="F55" s="189" t="s">
        <v>6</v>
      </c>
      <c r="G55" s="189"/>
      <c r="H55" s="189"/>
      <c r="I55" s="189" t="s">
        <v>6</v>
      </c>
      <c r="J55" s="189" t="s">
        <v>6</v>
      </c>
      <c r="K55" s="190" t="s">
        <v>6</v>
      </c>
      <c r="L55" t="s">
        <v>6</v>
      </c>
    </row>
    <row r="56" spans="1:12" ht="15" hidden="1">
      <c r="A56" s="343" t="s">
        <v>332</v>
      </c>
      <c r="B56" s="191"/>
      <c r="C56" s="54">
        <f>SUM(C57)</f>
        <v>0</v>
      </c>
      <c r="D56" s="54">
        <f>SUM(D57)</f>
        <v>0</v>
      </c>
      <c r="E56" s="415"/>
      <c r="F56" s="54" t="e">
        <f>+#REF!+L55</f>
        <v>#REF!</v>
      </c>
      <c r="G56" s="54"/>
      <c r="H56" s="54">
        <f>SUM(H57)</f>
        <v>32083</v>
      </c>
      <c r="I56" s="54" t="e">
        <f>+D56-F56</f>
        <v>#REF!</v>
      </c>
      <c r="J56" s="54" t="e">
        <f>+C56-F56</f>
        <v>#REF!</v>
      </c>
      <c r="K56" s="192" t="e">
        <f>+F56/D56*100</f>
        <v>#REF!</v>
      </c>
    </row>
    <row r="57" spans="1:12" ht="12.75" hidden="1" customHeight="1">
      <c r="A57" s="341" t="s">
        <v>56</v>
      </c>
      <c r="B57" s="193"/>
      <c r="C57" s="56">
        <v>0</v>
      </c>
      <c r="D57" s="56">
        <v>0</v>
      </c>
      <c r="E57" s="416"/>
      <c r="F57" s="54" t="e">
        <f>+#REF!+L56</f>
        <v>#REF!</v>
      </c>
      <c r="G57" s="54"/>
      <c r="H57" s="56">
        <v>32083</v>
      </c>
      <c r="I57" s="54" t="e">
        <f>+D57-F57</f>
        <v>#REF!</v>
      </c>
      <c r="J57" s="54" t="e">
        <f>+C57-F57</f>
        <v>#REF!</v>
      </c>
      <c r="K57" s="59" t="e">
        <f>+F57/D57*100</f>
        <v>#REF!</v>
      </c>
    </row>
    <row r="58" spans="1:12" ht="14.25" hidden="1">
      <c r="A58" s="344" t="s">
        <v>57</v>
      </c>
      <c r="B58" s="194"/>
      <c r="C58" s="56">
        <v>0</v>
      </c>
      <c r="D58" s="56">
        <v>0</v>
      </c>
      <c r="E58" s="416"/>
      <c r="F58" s="54" t="e">
        <f>+#REF!+L57</f>
        <v>#REF!</v>
      </c>
      <c r="G58" s="54"/>
      <c r="H58" s="56"/>
      <c r="I58" s="56"/>
      <c r="J58" s="54" t="e">
        <f>+C58-F58</f>
        <v>#REF!</v>
      </c>
      <c r="K58" s="59"/>
    </row>
    <row r="59" spans="1:12" ht="6" customHeight="1" thickBot="1">
      <c r="A59" s="345"/>
      <c r="B59" s="195"/>
      <c r="C59" s="196"/>
      <c r="D59" s="196"/>
      <c r="E59" s="417"/>
      <c r="F59" s="197" t="s">
        <v>6</v>
      </c>
      <c r="G59" s="197"/>
      <c r="H59" s="196"/>
      <c r="I59" s="196"/>
      <c r="J59" s="197" t="s">
        <v>6</v>
      </c>
      <c r="K59" s="198"/>
    </row>
    <row r="60" spans="1:12" ht="15.75">
      <c r="A60" s="95"/>
      <c r="B60" s="95"/>
      <c r="C60" s="34"/>
      <c r="D60" s="34"/>
      <c r="E60" s="34"/>
      <c r="F60" s="34"/>
      <c r="G60" s="34"/>
      <c r="H60" s="34"/>
      <c r="I60" s="34"/>
      <c r="J60" s="34"/>
      <c r="K60" s="199"/>
    </row>
    <row r="61" spans="1:12">
      <c r="A61" s="13" t="s">
        <v>30</v>
      </c>
      <c r="B61" s="13"/>
      <c r="C61" s="16"/>
      <c r="D61" s="16"/>
      <c r="E61" s="16"/>
      <c r="F61" s="14"/>
      <c r="G61" s="14"/>
      <c r="H61" s="14"/>
      <c r="I61" s="14"/>
      <c r="J61" s="14"/>
      <c r="K61" s="15"/>
    </row>
    <row r="62" spans="1:12">
      <c r="A62" s="13" t="s">
        <v>6</v>
      </c>
      <c r="B62" s="13"/>
      <c r="C62" s="16"/>
      <c r="D62" s="16"/>
      <c r="E62" s="16"/>
      <c r="F62" s="14"/>
      <c r="G62" s="14"/>
      <c r="H62" s="14"/>
      <c r="I62" s="14"/>
      <c r="J62" s="14"/>
      <c r="K62" s="15"/>
    </row>
    <row r="63" spans="1:12">
      <c r="A63" s="13" t="s">
        <v>6</v>
      </c>
      <c r="B63" s="13"/>
      <c r="C63" s="16"/>
      <c r="D63" s="16"/>
      <c r="E63" s="16"/>
      <c r="F63" s="14"/>
      <c r="G63" s="14"/>
      <c r="H63" s="14"/>
      <c r="I63" s="14"/>
      <c r="J63" s="14"/>
      <c r="K63" s="15"/>
    </row>
    <row r="64" spans="1:12">
      <c r="A64" s="13" t="s">
        <v>6</v>
      </c>
      <c r="B64" s="13"/>
      <c r="C64" s="12"/>
      <c r="D64" s="12"/>
      <c r="E64" s="12"/>
      <c r="F64" s="12"/>
      <c r="G64" s="12"/>
      <c r="H64" s="12"/>
      <c r="I64" s="12"/>
      <c r="J64" s="12"/>
      <c r="K64" s="15"/>
    </row>
    <row r="65" spans="1:11">
      <c r="A65" s="13" t="s">
        <v>6</v>
      </c>
      <c r="B65" s="13"/>
      <c r="C65" s="12"/>
      <c r="D65" s="12"/>
      <c r="E65" s="12"/>
      <c r="F65" s="12"/>
      <c r="G65" s="12"/>
      <c r="H65" s="12"/>
      <c r="I65" s="12"/>
      <c r="J65" s="12"/>
      <c r="K65" s="15"/>
    </row>
    <row r="66" spans="1:11">
      <c r="A66" s="13" t="s">
        <v>6</v>
      </c>
      <c r="B66" s="13"/>
      <c r="C66" s="12"/>
      <c r="D66" s="12"/>
      <c r="E66" s="12"/>
      <c r="F66" s="12"/>
      <c r="G66" s="12"/>
      <c r="H66" s="12"/>
      <c r="I66" s="12"/>
      <c r="J66" s="12"/>
      <c r="K66" s="15"/>
    </row>
    <row r="67" spans="1:11">
      <c r="A67" s="13" t="s">
        <v>6</v>
      </c>
      <c r="B67" s="13"/>
      <c r="C67" s="12"/>
      <c r="D67" s="12"/>
      <c r="E67" s="12"/>
      <c r="F67" s="12"/>
      <c r="G67" s="12"/>
      <c r="H67" s="12"/>
      <c r="I67" s="12"/>
      <c r="J67" s="12"/>
      <c r="K67" s="15"/>
    </row>
    <row r="68" spans="1:11">
      <c r="A68" s="13" t="s">
        <v>6</v>
      </c>
      <c r="B68" s="13"/>
      <c r="C68" s="12"/>
      <c r="D68" s="12"/>
      <c r="E68" s="12"/>
      <c r="F68" s="12"/>
      <c r="G68" s="12"/>
      <c r="H68" s="12"/>
      <c r="I68" s="12"/>
      <c r="J68" s="12"/>
      <c r="K68" s="15"/>
    </row>
    <row r="69" spans="1:11">
      <c r="A69" s="13" t="s">
        <v>6</v>
      </c>
      <c r="B69" s="13"/>
      <c r="C69" s="12"/>
      <c r="D69" s="12"/>
      <c r="E69" s="12"/>
      <c r="F69" s="12"/>
      <c r="G69" s="12"/>
      <c r="H69" s="12"/>
      <c r="I69" s="12"/>
      <c r="J69" s="12"/>
      <c r="K69" s="15"/>
    </row>
    <row r="70" spans="1:11" ht="74.25" customHeight="1">
      <c r="A70" s="13" t="s">
        <v>6</v>
      </c>
      <c r="B70" s="13"/>
      <c r="C70" s="12"/>
      <c r="D70" s="12"/>
      <c r="E70" s="12"/>
      <c r="F70" s="12"/>
      <c r="G70" s="12"/>
      <c r="H70" s="12"/>
      <c r="I70" s="12"/>
      <c r="J70" s="12"/>
      <c r="K70" s="15"/>
    </row>
    <row r="71" spans="1:11">
      <c r="A71" s="7" t="s">
        <v>6</v>
      </c>
      <c r="C71" s="12"/>
      <c r="D71" s="12"/>
      <c r="E71" s="12"/>
      <c r="F71" s="12"/>
      <c r="G71" s="12"/>
      <c r="H71" s="12"/>
      <c r="I71" s="12"/>
      <c r="J71" s="12"/>
      <c r="K71" s="15"/>
    </row>
    <row r="72" spans="1:11">
      <c r="C72" s="12"/>
      <c r="D72" s="12"/>
      <c r="E72" s="12"/>
      <c r="F72" s="12"/>
      <c r="G72" s="12"/>
      <c r="H72" s="12"/>
      <c r="I72" s="12"/>
      <c r="J72" s="12"/>
      <c r="K72" s="15"/>
    </row>
    <row r="73" spans="1:11">
      <c r="A73" s="7" t="s">
        <v>6</v>
      </c>
      <c r="C73" s="12"/>
      <c r="D73" s="12"/>
      <c r="E73" s="12"/>
      <c r="F73" s="12"/>
      <c r="G73" s="12"/>
      <c r="H73" s="12"/>
      <c r="I73" s="12"/>
      <c r="J73" s="12"/>
      <c r="K73" s="15"/>
    </row>
    <row r="74" spans="1:11">
      <c r="A74" s="7" t="s">
        <v>6</v>
      </c>
      <c r="C74" s="12"/>
      <c r="D74" s="12"/>
      <c r="E74" s="12"/>
      <c r="F74" s="12"/>
      <c r="G74" s="12"/>
      <c r="H74" s="12"/>
      <c r="I74" s="12"/>
      <c r="J74" s="12"/>
      <c r="K74" s="15"/>
    </row>
    <row r="75" spans="1:11">
      <c r="C75" s="12"/>
      <c r="D75" s="12"/>
      <c r="E75" s="12"/>
      <c r="F75" s="12"/>
      <c r="G75" s="12"/>
      <c r="H75" s="12"/>
      <c r="I75" s="12"/>
      <c r="J75" s="12"/>
      <c r="K75" s="15"/>
    </row>
    <row r="76" spans="1:11">
      <c r="C76" s="12"/>
      <c r="D76" s="12"/>
      <c r="E76" s="12"/>
      <c r="F76" s="12"/>
      <c r="G76" s="12"/>
      <c r="H76" s="12"/>
      <c r="I76" s="12"/>
      <c r="J76" s="12"/>
      <c r="K76" s="15"/>
    </row>
    <row r="77" spans="1:11">
      <c r="C77" s="12"/>
      <c r="D77" s="12"/>
      <c r="E77" s="12"/>
      <c r="F77" s="12"/>
      <c r="G77" s="12"/>
      <c r="H77" s="12"/>
      <c r="I77" s="12"/>
      <c r="J77" s="12"/>
      <c r="K77" s="15"/>
    </row>
    <row r="78" spans="1:11">
      <c r="C78" s="12"/>
      <c r="D78" s="12"/>
      <c r="E78" s="12"/>
      <c r="F78" s="12"/>
      <c r="G78" s="12"/>
      <c r="H78" s="12"/>
      <c r="I78" s="12"/>
      <c r="J78" s="12"/>
      <c r="K78" s="15"/>
    </row>
    <row r="79" spans="1:11">
      <c r="C79" s="12"/>
      <c r="D79" s="12"/>
      <c r="E79" s="12"/>
      <c r="F79" s="12"/>
      <c r="G79" s="12"/>
      <c r="H79" s="12"/>
      <c r="I79" s="12"/>
      <c r="J79" s="12"/>
      <c r="K79" s="15"/>
    </row>
    <row r="80" spans="1:11">
      <c r="C80" s="12"/>
      <c r="D80" s="12"/>
      <c r="E80" s="12"/>
      <c r="F80" s="12"/>
      <c r="G80" s="12"/>
      <c r="H80" s="12"/>
      <c r="I80" s="12"/>
      <c r="J80" s="12"/>
      <c r="K80" s="15"/>
    </row>
    <row r="81" spans="3:11">
      <c r="C81" s="12"/>
      <c r="D81" s="12"/>
      <c r="E81" s="12"/>
      <c r="F81" s="12"/>
      <c r="G81" s="12"/>
      <c r="H81" s="12"/>
      <c r="I81" s="12"/>
      <c r="J81" s="12"/>
      <c r="K81" s="15"/>
    </row>
    <row r="82" spans="3:11">
      <c r="C82" s="12"/>
      <c r="D82" s="12"/>
      <c r="E82" s="12"/>
      <c r="F82" s="12"/>
      <c r="G82" s="12"/>
      <c r="H82" s="12"/>
      <c r="I82" s="12"/>
      <c r="J82" s="12"/>
      <c r="K82" s="15"/>
    </row>
    <row r="83" spans="3:11">
      <c r="C83" s="12"/>
      <c r="D83" s="12"/>
      <c r="E83" s="12"/>
      <c r="F83" s="12"/>
      <c r="G83" s="12"/>
      <c r="H83" s="12"/>
      <c r="I83" s="12"/>
      <c r="J83" s="12"/>
      <c r="K83" s="15"/>
    </row>
    <row r="84" spans="3:11">
      <c r="C84" s="12"/>
      <c r="D84" s="12"/>
      <c r="E84" s="12"/>
      <c r="F84" s="12"/>
      <c r="G84" s="12"/>
      <c r="H84" s="12"/>
      <c r="I84" s="12"/>
      <c r="J84" s="12"/>
      <c r="K84" s="15"/>
    </row>
    <row r="85" spans="3:11">
      <c r="C85" s="12"/>
      <c r="D85" s="12"/>
      <c r="E85" s="12"/>
      <c r="F85" s="12"/>
      <c r="G85" s="12"/>
      <c r="H85" s="12"/>
      <c r="I85" s="12"/>
      <c r="J85" s="12"/>
      <c r="K85" s="15"/>
    </row>
    <row r="86" spans="3:11">
      <c r="C86" s="12"/>
      <c r="D86" s="12"/>
      <c r="E86" s="12"/>
      <c r="F86" s="12"/>
      <c r="G86" s="12"/>
      <c r="H86" s="12"/>
      <c r="I86" s="12"/>
      <c r="J86" s="12"/>
      <c r="K86" s="15"/>
    </row>
    <row r="87" spans="3:11">
      <c r="C87" s="12"/>
      <c r="D87" s="12"/>
      <c r="E87" s="12"/>
      <c r="F87" s="12"/>
      <c r="G87" s="12"/>
      <c r="H87" s="12"/>
      <c r="I87" s="12"/>
      <c r="J87" s="12"/>
      <c r="K87" s="15"/>
    </row>
    <row r="88" spans="3:11">
      <c r="C88" s="12"/>
      <c r="D88" s="12"/>
      <c r="E88" s="12"/>
      <c r="F88" s="12"/>
      <c r="G88" s="12"/>
      <c r="H88" s="12"/>
      <c r="I88" s="12"/>
      <c r="J88" s="12"/>
      <c r="K88" s="15"/>
    </row>
    <row r="89" spans="3:11">
      <c r="C89" s="12"/>
      <c r="D89" s="12"/>
      <c r="E89" s="12"/>
      <c r="F89" s="12"/>
      <c r="G89" s="12"/>
      <c r="H89" s="12"/>
      <c r="I89" s="12"/>
      <c r="J89" s="12"/>
      <c r="K89" s="15"/>
    </row>
    <row r="90" spans="3:11">
      <c r="C90" s="12"/>
      <c r="D90" s="12"/>
      <c r="E90" s="12"/>
      <c r="F90" s="12"/>
      <c r="G90" s="12"/>
      <c r="H90" s="12"/>
      <c r="I90" s="12"/>
      <c r="J90" s="12"/>
      <c r="K90" s="15"/>
    </row>
    <row r="91" spans="3:11">
      <c r="C91" s="12"/>
      <c r="D91" s="12"/>
      <c r="E91" s="12"/>
      <c r="F91" s="12"/>
      <c r="G91" s="12"/>
      <c r="H91" s="12"/>
      <c r="I91" s="12"/>
      <c r="J91" s="12"/>
      <c r="K91" s="15"/>
    </row>
    <row r="92" spans="3:11">
      <c r="C92" s="12"/>
      <c r="D92" s="12"/>
      <c r="E92" s="12"/>
      <c r="F92" s="12"/>
      <c r="G92" s="12"/>
      <c r="H92" s="12"/>
      <c r="I92" s="12"/>
      <c r="J92" s="12"/>
      <c r="K92" s="15"/>
    </row>
    <row r="93" spans="3:11">
      <c r="C93" s="12"/>
      <c r="D93" s="12"/>
      <c r="E93" s="12"/>
      <c r="F93" s="12"/>
      <c r="G93" s="12"/>
      <c r="H93" s="12"/>
      <c r="I93" s="12"/>
      <c r="J93" s="12"/>
      <c r="K93" s="15"/>
    </row>
    <row r="94" spans="3:11">
      <c r="C94" s="12"/>
      <c r="D94" s="12"/>
      <c r="E94" s="12"/>
      <c r="F94" s="12"/>
      <c r="G94" s="12"/>
      <c r="H94" s="12"/>
      <c r="I94" s="12"/>
      <c r="J94" s="12"/>
      <c r="K94" s="15"/>
    </row>
    <row r="95" spans="3:11">
      <c r="C95" s="12"/>
      <c r="D95" s="12"/>
      <c r="E95" s="12"/>
      <c r="F95" s="12"/>
      <c r="G95" s="12"/>
      <c r="H95" s="12"/>
      <c r="I95" s="12"/>
      <c r="J95" s="12"/>
      <c r="K95" s="15"/>
    </row>
    <row r="96" spans="3:11">
      <c r="C96" s="12"/>
      <c r="D96" s="12"/>
      <c r="E96" s="12"/>
      <c r="F96" s="12"/>
      <c r="G96" s="12"/>
      <c r="H96" s="12"/>
      <c r="I96" s="12"/>
      <c r="J96" s="12"/>
      <c r="K96" s="15"/>
    </row>
    <row r="97" spans="3:11">
      <c r="C97" s="12"/>
      <c r="D97" s="12"/>
      <c r="E97" s="12"/>
      <c r="F97" s="12"/>
      <c r="G97" s="12"/>
      <c r="H97" s="12"/>
      <c r="I97" s="12"/>
      <c r="J97" s="12"/>
      <c r="K97" s="15"/>
    </row>
    <row r="98" spans="3:11">
      <c r="C98" s="12"/>
      <c r="D98" s="12"/>
      <c r="E98" s="12"/>
      <c r="F98" s="12"/>
      <c r="G98" s="12"/>
      <c r="H98" s="12"/>
      <c r="I98" s="12"/>
      <c r="J98" s="12"/>
      <c r="K98" s="15"/>
    </row>
    <row r="99" spans="3:11">
      <c r="C99" s="12"/>
      <c r="D99" s="12"/>
      <c r="E99" s="12"/>
      <c r="F99" s="12"/>
      <c r="G99" s="12"/>
      <c r="H99" s="12"/>
      <c r="I99" s="12"/>
      <c r="J99" s="12"/>
      <c r="K99" s="15"/>
    </row>
    <row r="100" spans="3:11">
      <c r="C100" s="12"/>
      <c r="D100" s="12"/>
      <c r="E100" s="12"/>
      <c r="F100" s="12"/>
      <c r="G100" s="12"/>
      <c r="H100" s="12"/>
      <c r="I100" s="12"/>
      <c r="J100" s="12"/>
      <c r="K100" s="15"/>
    </row>
    <row r="101" spans="3:11">
      <c r="C101" s="12"/>
      <c r="D101" s="12"/>
      <c r="E101" s="12"/>
      <c r="F101" s="12"/>
      <c r="G101" s="12"/>
      <c r="H101" s="12"/>
      <c r="I101" s="12"/>
      <c r="J101" s="12"/>
      <c r="K101" s="15"/>
    </row>
    <row r="102" spans="3:11">
      <c r="C102" s="12"/>
      <c r="D102" s="12"/>
      <c r="E102" s="12"/>
      <c r="F102" s="12"/>
      <c r="G102" s="12"/>
      <c r="H102" s="12"/>
      <c r="I102" s="12"/>
      <c r="J102" s="12"/>
      <c r="K102" s="15"/>
    </row>
    <row r="103" spans="3:11">
      <c r="C103" s="12"/>
      <c r="D103" s="12"/>
      <c r="E103" s="12"/>
      <c r="F103" s="12"/>
      <c r="G103" s="12"/>
      <c r="H103" s="12"/>
      <c r="I103" s="12"/>
      <c r="J103" s="12"/>
      <c r="K103" s="15"/>
    </row>
    <row r="104" spans="3:11">
      <c r="C104" s="12"/>
      <c r="D104" s="12"/>
      <c r="E104" s="12"/>
      <c r="F104" s="12"/>
      <c r="G104" s="12"/>
      <c r="H104" s="12"/>
      <c r="I104" s="12"/>
      <c r="J104" s="12"/>
      <c r="K104" s="15"/>
    </row>
    <row r="105" spans="3:11">
      <c r="C105" s="12"/>
      <c r="D105" s="12"/>
      <c r="E105" s="12"/>
      <c r="F105" s="12"/>
      <c r="G105" s="12"/>
      <c r="H105" s="12"/>
      <c r="I105" s="12"/>
      <c r="J105" s="12"/>
      <c r="K105" s="15"/>
    </row>
    <row r="106" spans="3:11">
      <c r="C106" s="12"/>
      <c r="D106" s="12"/>
      <c r="E106" s="12"/>
      <c r="F106" s="12"/>
      <c r="G106" s="12"/>
      <c r="H106" s="12"/>
      <c r="I106" s="12"/>
      <c r="J106" s="12"/>
      <c r="K106" s="15"/>
    </row>
    <row r="107" spans="3:11">
      <c r="C107" s="12"/>
      <c r="D107" s="12"/>
      <c r="E107" s="12"/>
      <c r="F107" s="12"/>
      <c r="G107" s="12"/>
      <c r="H107" s="12"/>
      <c r="I107" s="12"/>
      <c r="J107" s="12"/>
      <c r="K107" s="15"/>
    </row>
    <row r="108" spans="3:11">
      <c r="C108" s="12"/>
      <c r="D108" s="12"/>
      <c r="E108" s="12"/>
      <c r="F108" s="12"/>
      <c r="G108" s="12"/>
      <c r="H108" s="12"/>
      <c r="I108" s="12"/>
      <c r="J108" s="12"/>
      <c r="K108" s="15"/>
    </row>
    <row r="109" spans="3:11">
      <c r="C109" s="12"/>
      <c r="D109" s="12"/>
      <c r="E109" s="12"/>
      <c r="F109" s="12"/>
      <c r="G109" s="12"/>
      <c r="H109" s="12"/>
      <c r="I109" s="12"/>
      <c r="J109" s="12"/>
      <c r="K109" s="15"/>
    </row>
    <row r="110" spans="3:11">
      <c r="C110" s="12"/>
      <c r="D110" s="12"/>
      <c r="E110" s="12"/>
      <c r="F110" s="12"/>
      <c r="G110" s="12"/>
      <c r="H110" s="12"/>
      <c r="I110" s="12"/>
      <c r="J110" s="12"/>
      <c r="K110" s="15"/>
    </row>
    <row r="111" spans="3:11">
      <c r="C111" s="12"/>
      <c r="D111" s="12"/>
      <c r="E111" s="12"/>
      <c r="F111" s="12"/>
      <c r="G111" s="12"/>
      <c r="H111" s="12"/>
      <c r="I111" s="12"/>
      <c r="J111" s="12"/>
      <c r="K111" s="15"/>
    </row>
    <row r="112" spans="3:11">
      <c r="C112" s="12"/>
      <c r="D112" s="12"/>
      <c r="E112" s="12"/>
      <c r="F112" s="12"/>
      <c r="G112" s="12"/>
      <c r="H112" s="12"/>
      <c r="I112" s="12"/>
      <c r="J112" s="12"/>
      <c r="K112" s="15"/>
    </row>
    <row r="113" spans="3:11">
      <c r="C113" s="12"/>
      <c r="D113" s="12"/>
      <c r="E113" s="12"/>
      <c r="F113" s="12"/>
      <c r="G113" s="12"/>
      <c r="H113" s="12"/>
      <c r="I113" s="12"/>
      <c r="J113" s="12"/>
      <c r="K113" s="15"/>
    </row>
    <row r="114" spans="3:11">
      <c r="C114" s="12"/>
      <c r="D114" s="12"/>
      <c r="E114" s="12"/>
      <c r="F114" s="12"/>
      <c r="G114" s="12"/>
      <c r="H114" s="12"/>
      <c r="I114" s="12"/>
      <c r="J114" s="12"/>
      <c r="K114" s="15"/>
    </row>
    <row r="115" spans="3:11">
      <c r="C115" s="12"/>
      <c r="D115" s="12"/>
      <c r="E115" s="12"/>
      <c r="F115" s="12"/>
      <c r="G115" s="12"/>
      <c r="H115" s="12"/>
      <c r="I115" s="12"/>
      <c r="J115" s="12"/>
      <c r="K115" s="15"/>
    </row>
    <row r="116" spans="3:11">
      <c r="C116" s="12"/>
      <c r="D116" s="12"/>
      <c r="E116" s="12"/>
      <c r="F116" s="12"/>
      <c r="G116" s="12"/>
      <c r="H116" s="12"/>
      <c r="I116" s="12"/>
      <c r="J116" s="12"/>
      <c r="K116" s="15"/>
    </row>
    <row r="117" spans="3:11">
      <c r="C117" s="12"/>
      <c r="D117" s="12"/>
      <c r="E117" s="12"/>
      <c r="F117" s="12"/>
      <c r="G117" s="12"/>
      <c r="H117" s="12"/>
      <c r="I117" s="12"/>
      <c r="J117" s="12"/>
      <c r="K117" s="15"/>
    </row>
    <row r="118" spans="3:11">
      <c r="C118" s="12"/>
      <c r="D118" s="12"/>
      <c r="E118" s="12"/>
      <c r="F118" s="12"/>
      <c r="G118" s="12"/>
      <c r="H118" s="12"/>
      <c r="I118" s="12"/>
      <c r="J118" s="12"/>
      <c r="K118" s="15"/>
    </row>
    <row r="119" spans="3:11">
      <c r="C119" s="12"/>
      <c r="D119" s="12"/>
      <c r="E119" s="12"/>
      <c r="F119" s="12"/>
      <c r="G119" s="12"/>
      <c r="H119" s="12"/>
      <c r="I119" s="12"/>
      <c r="J119" s="12"/>
      <c r="K119" s="15"/>
    </row>
    <row r="120" spans="3:11">
      <c r="C120" s="12"/>
      <c r="D120" s="12"/>
      <c r="E120" s="12"/>
      <c r="F120" s="12"/>
      <c r="G120" s="12"/>
      <c r="H120" s="12"/>
      <c r="I120" s="12"/>
      <c r="J120" s="12"/>
      <c r="K120" s="15"/>
    </row>
    <row r="121" spans="3:11">
      <c r="C121" s="12"/>
      <c r="D121" s="12"/>
      <c r="E121" s="12"/>
      <c r="F121" s="12"/>
      <c r="G121" s="12"/>
      <c r="H121" s="12"/>
      <c r="I121" s="12"/>
      <c r="J121" s="12"/>
      <c r="K121" s="15"/>
    </row>
    <row r="122" spans="3:11">
      <c r="C122" s="12"/>
      <c r="D122" s="12"/>
      <c r="E122" s="12"/>
      <c r="F122" s="12"/>
      <c r="G122" s="12"/>
      <c r="H122" s="12"/>
      <c r="I122" s="12"/>
      <c r="J122" s="12"/>
      <c r="K122" s="15"/>
    </row>
    <row r="123" spans="3:11">
      <c r="C123" s="12"/>
      <c r="D123" s="12"/>
      <c r="E123" s="12"/>
      <c r="F123" s="12"/>
      <c r="G123" s="12"/>
      <c r="H123" s="12"/>
      <c r="I123" s="12"/>
      <c r="J123" s="12"/>
      <c r="K123" s="15"/>
    </row>
    <row r="124" spans="3:11">
      <c r="C124" s="12"/>
      <c r="D124" s="12"/>
      <c r="E124" s="12"/>
      <c r="F124" s="12"/>
      <c r="G124" s="12"/>
      <c r="H124" s="12"/>
      <c r="I124" s="12"/>
      <c r="J124" s="12"/>
      <c r="K124" s="15"/>
    </row>
    <row r="125" spans="3:11">
      <c r="C125" s="12"/>
      <c r="D125" s="12"/>
      <c r="E125" s="12"/>
      <c r="F125" s="12"/>
      <c r="G125" s="12"/>
      <c r="H125" s="12"/>
      <c r="I125" s="12"/>
      <c r="J125" s="12"/>
      <c r="K125" s="15"/>
    </row>
    <row r="126" spans="3:11">
      <c r="C126" s="12"/>
      <c r="D126" s="12"/>
      <c r="E126" s="12"/>
      <c r="F126" s="12"/>
      <c r="G126" s="12"/>
      <c r="H126" s="12"/>
      <c r="I126" s="12"/>
      <c r="J126" s="12"/>
      <c r="K126" s="15"/>
    </row>
    <row r="127" spans="3:11">
      <c r="C127" s="12"/>
      <c r="D127" s="12"/>
      <c r="E127" s="12"/>
      <c r="F127" s="12"/>
      <c r="G127" s="12"/>
      <c r="H127" s="12"/>
      <c r="I127" s="12"/>
      <c r="J127" s="12"/>
      <c r="K127" s="15"/>
    </row>
    <row r="128" spans="3:11">
      <c r="C128" s="12"/>
      <c r="D128" s="12"/>
      <c r="E128" s="12"/>
      <c r="F128" s="12"/>
      <c r="G128" s="12"/>
      <c r="H128" s="12"/>
      <c r="I128" s="12"/>
      <c r="J128" s="12"/>
      <c r="K128" s="15"/>
    </row>
    <row r="129" spans="3:11">
      <c r="C129" s="12"/>
      <c r="D129" s="12"/>
      <c r="E129" s="12"/>
      <c r="F129" s="12"/>
      <c r="G129" s="12"/>
      <c r="H129" s="12"/>
      <c r="I129" s="12"/>
      <c r="J129" s="12"/>
      <c r="K129" s="15"/>
    </row>
    <row r="130" spans="3:11">
      <c r="K130" s="15"/>
    </row>
    <row r="131" spans="3:11">
      <c r="K131" s="15"/>
    </row>
    <row r="132" spans="3:11">
      <c r="K132" s="15"/>
    </row>
    <row r="133" spans="3:11">
      <c r="K133" s="15"/>
    </row>
    <row r="134" spans="3:11">
      <c r="K134" s="15"/>
    </row>
    <row r="135" spans="3:11">
      <c r="K135" s="15"/>
    </row>
    <row r="136" spans="3:11">
      <c r="K136" s="15"/>
    </row>
    <row r="137" spans="3:11">
      <c r="K137" s="15"/>
    </row>
    <row r="138" spans="3:11">
      <c r="K138" s="15"/>
    </row>
    <row r="139" spans="3:11">
      <c r="K139" s="15"/>
    </row>
    <row r="140" spans="3:11">
      <c r="K140" s="15"/>
    </row>
    <row r="141" spans="3:11">
      <c r="K141" s="15"/>
    </row>
    <row r="142" spans="3:11">
      <c r="K142" s="15"/>
    </row>
    <row r="143" spans="3:11">
      <c r="K143" s="15"/>
    </row>
    <row r="144" spans="3:11">
      <c r="K144" s="15"/>
    </row>
    <row r="145" spans="11:11">
      <c r="K145" s="15"/>
    </row>
    <row r="146" spans="11:11">
      <c r="K146" s="15"/>
    </row>
    <row r="147" spans="11:11">
      <c r="K147" s="15"/>
    </row>
    <row r="148" spans="11:11">
      <c r="K148" s="15"/>
    </row>
    <row r="149" spans="11:11">
      <c r="K149" s="15"/>
    </row>
    <row r="150" spans="11:11">
      <c r="K150" s="15"/>
    </row>
    <row r="151" spans="11:11">
      <c r="K151" s="15"/>
    </row>
    <row r="152" spans="11:11">
      <c r="K152" s="15"/>
    </row>
    <row r="153" spans="11:11">
      <c r="K153" s="15"/>
    </row>
    <row r="154" spans="11:11">
      <c r="K154" s="15"/>
    </row>
    <row r="155" spans="11:11">
      <c r="K155" s="15"/>
    </row>
    <row r="156" spans="11:11">
      <c r="K156" s="15"/>
    </row>
    <row r="157" spans="11:11">
      <c r="K157" s="15"/>
    </row>
    <row r="158" spans="11:11">
      <c r="K158" s="15"/>
    </row>
    <row r="159" spans="11:11">
      <c r="K159" s="15"/>
    </row>
    <row r="160" spans="11:11">
      <c r="K160" s="15"/>
    </row>
    <row r="161" spans="11:11">
      <c r="K161" s="15"/>
    </row>
    <row r="162" spans="11:11">
      <c r="K162" s="15"/>
    </row>
    <row r="163" spans="11:11">
      <c r="K163" s="15"/>
    </row>
    <row r="164" spans="11:11">
      <c r="K164" s="15"/>
    </row>
    <row r="165" spans="11:11">
      <c r="K165" s="15"/>
    </row>
    <row r="166" spans="11:11">
      <c r="K166" s="15"/>
    </row>
    <row r="167" spans="11:11">
      <c r="K167" s="15"/>
    </row>
    <row r="168" spans="11:11">
      <c r="K168" s="15"/>
    </row>
    <row r="169" spans="11:11">
      <c r="K169" s="15"/>
    </row>
    <row r="170" spans="11:11">
      <c r="K170" s="15"/>
    </row>
    <row r="171" spans="11:11">
      <c r="K171" s="15"/>
    </row>
    <row r="172" spans="11:11">
      <c r="K172" s="15"/>
    </row>
    <row r="173" spans="11:11">
      <c r="K173" s="15"/>
    </row>
    <row r="174" spans="11:11">
      <c r="K174" s="15"/>
    </row>
    <row r="175" spans="11:11">
      <c r="K175" s="15"/>
    </row>
    <row r="176" spans="11:11">
      <c r="K176" s="15"/>
    </row>
    <row r="177" spans="11:11">
      <c r="K177" s="15"/>
    </row>
    <row r="178" spans="11:11">
      <c r="K178" s="15"/>
    </row>
    <row r="179" spans="11:11">
      <c r="K179" s="15"/>
    </row>
    <row r="180" spans="11:11">
      <c r="K180" s="15"/>
    </row>
    <row r="181" spans="11:11">
      <c r="K181" s="15"/>
    </row>
    <row r="182" spans="11:11">
      <c r="K182" s="15"/>
    </row>
    <row r="183" spans="11:11">
      <c r="K183" s="15"/>
    </row>
    <row r="184" spans="11:11">
      <c r="K184" s="15"/>
    </row>
    <row r="185" spans="11:11">
      <c r="K185" s="15"/>
    </row>
    <row r="186" spans="11:11">
      <c r="K186" s="15"/>
    </row>
    <row r="187" spans="11:11">
      <c r="K187" s="15"/>
    </row>
    <row r="188" spans="11:11">
      <c r="K188" s="15"/>
    </row>
    <row r="189" spans="11:11">
      <c r="K189" s="15"/>
    </row>
  </sheetData>
  <mergeCells count="8">
    <mergeCell ref="A1:K1"/>
    <mergeCell ref="A2:K2"/>
    <mergeCell ref="A6:A7"/>
    <mergeCell ref="A3:K3"/>
    <mergeCell ref="A4:K4"/>
    <mergeCell ref="K6:K7"/>
    <mergeCell ref="B6:B7"/>
    <mergeCell ref="C6:H6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T20" sqref="T20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.140625" customWidth="1"/>
    <col min="5" max="5" width="11.85546875" customWidth="1"/>
    <col min="6" max="6" width="10.7109375" hidden="1" customWidth="1"/>
    <col min="7" max="7" width="14" customWidth="1"/>
    <col min="8" max="8" width="11.28515625" customWidth="1"/>
    <col min="9" max="9" width="11.42578125" customWidth="1"/>
    <col min="10" max="10" width="10.5703125" customWidth="1"/>
    <col min="11" max="11" width="10.7109375" hidden="1" customWidth="1"/>
    <col min="12" max="12" width="10" customWidth="1"/>
  </cols>
  <sheetData>
    <row r="1" spans="1:13" ht="18" customHeight="1">
      <c r="A1" s="472" t="s">
        <v>150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</row>
    <row r="2" spans="1:13" ht="18" customHeight="1">
      <c r="A2" s="472" t="s">
        <v>151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</row>
    <row r="3" spans="1:13" ht="19.899999999999999" customHeight="1">
      <c r="A3" s="495" t="s">
        <v>193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3" ht="19.899999999999999" customHeight="1">
      <c r="A4" s="495" t="s">
        <v>362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</row>
    <row r="5" spans="1:13" ht="6" customHeight="1">
      <c r="A5" s="518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</row>
    <row r="6" spans="1:13" ht="19.899999999999999" customHeight="1">
      <c r="A6" s="519" t="s">
        <v>149</v>
      </c>
      <c r="B6" s="521" t="s">
        <v>0</v>
      </c>
      <c r="C6" s="525" t="s">
        <v>189</v>
      </c>
      <c r="D6" s="526"/>
      <c r="E6" s="526"/>
      <c r="F6" s="526"/>
      <c r="G6" s="526"/>
      <c r="H6" s="527"/>
      <c r="I6" s="523" t="s">
        <v>49</v>
      </c>
      <c r="J6" s="379" t="s">
        <v>144</v>
      </c>
      <c r="K6" s="405"/>
      <c r="L6" s="516" t="s">
        <v>337</v>
      </c>
    </row>
    <row r="7" spans="1:13" ht="19.899999999999999" customHeight="1">
      <c r="A7" s="520"/>
      <c r="B7" s="522"/>
      <c r="C7" s="378" t="s">
        <v>58</v>
      </c>
      <c r="D7" s="378" t="s">
        <v>10</v>
      </c>
      <c r="E7" s="378" t="s">
        <v>2</v>
      </c>
      <c r="F7" s="308" t="s">
        <v>28</v>
      </c>
      <c r="G7" s="309" t="s">
        <v>335</v>
      </c>
      <c r="H7" s="385" t="s">
        <v>285</v>
      </c>
      <c r="I7" s="524"/>
      <c r="J7" s="310" t="s">
        <v>16</v>
      </c>
      <c r="K7" s="311" t="s">
        <v>17</v>
      </c>
      <c r="L7" s="517"/>
    </row>
    <row r="8" spans="1:13" ht="10.9" customHeight="1">
      <c r="A8" s="232"/>
      <c r="B8" s="233"/>
      <c r="C8" s="234"/>
      <c r="D8" s="234"/>
      <c r="E8" s="234"/>
      <c r="F8" s="290"/>
      <c r="G8" s="235"/>
      <c r="H8" s="386"/>
      <c r="I8" s="236"/>
      <c r="J8" s="237"/>
      <c r="K8" s="238"/>
      <c r="L8" s="239"/>
    </row>
    <row r="9" spans="1:13" ht="19.899999999999999" customHeight="1">
      <c r="A9" s="400" t="s">
        <v>60</v>
      </c>
      <c r="B9" s="389" t="s">
        <v>61</v>
      </c>
      <c r="C9" s="394">
        <v>116348656</v>
      </c>
      <c r="D9" s="394">
        <v>118776456</v>
      </c>
      <c r="E9" s="394">
        <v>79772032</v>
      </c>
      <c r="F9" s="394">
        <v>10312212.880000001</v>
      </c>
      <c r="G9" s="394">
        <v>67769079.590000004</v>
      </c>
      <c r="H9" s="394">
        <v>63457623.080000006</v>
      </c>
      <c r="I9" s="394">
        <v>66506286.120000005</v>
      </c>
      <c r="J9" s="394">
        <v>12002952.409999996</v>
      </c>
      <c r="K9" s="394">
        <v>51007376.409999996</v>
      </c>
      <c r="L9" s="399">
        <v>84.953432789577192</v>
      </c>
    </row>
    <row r="10" spans="1:13" ht="15" customHeight="1">
      <c r="A10" s="287" t="s">
        <v>62</v>
      </c>
      <c r="B10" s="390" t="s">
        <v>63</v>
      </c>
      <c r="C10" s="328">
        <v>81195659</v>
      </c>
      <c r="D10" s="328">
        <v>77855659</v>
      </c>
      <c r="E10" s="328">
        <v>51010896</v>
      </c>
      <c r="F10" s="328">
        <v>5815387.0499999998</v>
      </c>
      <c r="G10" s="328">
        <v>45663168.180000007</v>
      </c>
      <c r="H10" s="328">
        <v>45663168.18</v>
      </c>
      <c r="I10" s="328">
        <v>45663168.18</v>
      </c>
      <c r="J10" s="328">
        <v>5347727.8199999928</v>
      </c>
      <c r="K10" s="328">
        <v>32192490.819999993</v>
      </c>
      <c r="L10" s="401">
        <v>89.516498945637039</v>
      </c>
    </row>
    <row r="11" spans="1:13" ht="15" customHeight="1">
      <c r="A11" s="241" t="s">
        <v>64</v>
      </c>
      <c r="B11" s="391" t="s">
        <v>63</v>
      </c>
      <c r="C11" s="242">
        <v>70185320</v>
      </c>
      <c r="D11" s="242">
        <v>67445320</v>
      </c>
      <c r="E11" s="242">
        <v>43958236</v>
      </c>
      <c r="F11" s="242">
        <v>5007639.45</v>
      </c>
      <c r="G11" s="242">
        <v>39742823.260000005</v>
      </c>
      <c r="H11" s="242">
        <v>39742823.259999998</v>
      </c>
      <c r="I11" s="242">
        <v>39742823.259999998</v>
      </c>
      <c r="J11" s="242">
        <v>4215412.7399999946</v>
      </c>
      <c r="K11" s="242">
        <v>27702496.739999995</v>
      </c>
      <c r="L11" s="243">
        <v>90.410414239552296</v>
      </c>
    </row>
    <row r="12" spans="1:13" ht="15" customHeight="1">
      <c r="A12" s="241" t="s">
        <v>65</v>
      </c>
      <c r="B12" s="391" t="s">
        <v>66</v>
      </c>
      <c r="C12" s="242">
        <v>3855498</v>
      </c>
      <c r="D12" s="242">
        <v>3555498</v>
      </c>
      <c r="E12" s="242">
        <v>2270290</v>
      </c>
      <c r="F12" s="242">
        <v>263063.42</v>
      </c>
      <c r="G12" s="242">
        <v>1916347.5699999998</v>
      </c>
      <c r="H12" s="242">
        <v>1916347.57</v>
      </c>
      <c r="I12" s="242">
        <v>1916347.57</v>
      </c>
      <c r="J12" s="242">
        <v>353942.43000000017</v>
      </c>
      <c r="K12" s="242">
        <v>1639150.4300000002</v>
      </c>
      <c r="L12" s="243">
        <v>84.409814164710227</v>
      </c>
      <c r="M12" s="1"/>
    </row>
    <row r="13" spans="1:13" ht="15" customHeight="1">
      <c r="A13" s="241" t="s">
        <v>67</v>
      </c>
      <c r="B13" s="391" t="s">
        <v>68</v>
      </c>
      <c r="C13" s="242">
        <v>7154841</v>
      </c>
      <c r="D13" s="242">
        <v>6854841</v>
      </c>
      <c r="E13" s="242">
        <v>4782370</v>
      </c>
      <c r="F13" s="242">
        <v>544684.18000000005</v>
      </c>
      <c r="G13" s="242">
        <v>4003997.35</v>
      </c>
      <c r="H13" s="242">
        <v>4003997.35</v>
      </c>
      <c r="I13" s="242">
        <v>4003997.35</v>
      </c>
      <c r="J13" s="242">
        <v>778372.64999999991</v>
      </c>
      <c r="K13" s="242">
        <v>2850843.65</v>
      </c>
      <c r="L13" s="243">
        <v>83.724123185784464</v>
      </c>
    </row>
    <row r="14" spans="1:13" ht="15" customHeight="1">
      <c r="A14" s="241" t="s">
        <v>69</v>
      </c>
      <c r="B14" s="391" t="s">
        <v>70</v>
      </c>
      <c r="C14" s="242">
        <v>16549125</v>
      </c>
      <c r="D14" s="242">
        <v>15859125</v>
      </c>
      <c r="E14" s="242">
        <v>10320192</v>
      </c>
      <c r="F14" s="242">
        <v>1146894.57</v>
      </c>
      <c r="G14" s="242">
        <v>9036900.9900000002</v>
      </c>
      <c r="H14" s="242">
        <v>9036900.9900000002</v>
      </c>
      <c r="I14" s="242">
        <v>9036900.9900000002</v>
      </c>
      <c r="J14" s="242">
        <v>1283291.0099999998</v>
      </c>
      <c r="K14" s="242">
        <v>6822224.0099999998</v>
      </c>
      <c r="L14" s="243">
        <v>87.565240937377908</v>
      </c>
    </row>
    <row r="15" spans="1:13" ht="15" customHeight="1">
      <c r="A15" s="241" t="s">
        <v>71</v>
      </c>
      <c r="B15" s="391" t="s">
        <v>72</v>
      </c>
      <c r="C15" s="242">
        <v>223200</v>
      </c>
      <c r="D15" s="242">
        <v>223200</v>
      </c>
      <c r="E15" s="242">
        <v>148800</v>
      </c>
      <c r="F15" s="242">
        <v>18200</v>
      </c>
      <c r="G15" s="242">
        <v>145600</v>
      </c>
      <c r="H15" s="242">
        <v>145600</v>
      </c>
      <c r="I15" s="242">
        <v>145600</v>
      </c>
      <c r="J15" s="242">
        <v>3200</v>
      </c>
      <c r="K15" s="242">
        <v>77600</v>
      </c>
      <c r="L15" s="243">
        <v>97.849462365591393</v>
      </c>
    </row>
    <row r="16" spans="1:13" ht="15" customHeight="1">
      <c r="A16" s="241" t="s">
        <v>73</v>
      </c>
      <c r="B16" s="391" t="s">
        <v>74</v>
      </c>
      <c r="C16" s="242">
        <v>2405758</v>
      </c>
      <c r="D16" s="242">
        <v>8318558</v>
      </c>
      <c r="E16" s="242">
        <v>7516645</v>
      </c>
      <c r="F16" s="242">
        <v>2024302.27</v>
      </c>
      <c r="G16" s="242">
        <v>4041545.7800000003</v>
      </c>
      <c r="H16" s="242">
        <v>4041545.78</v>
      </c>
      <c r="I16" s="242">
        <v>4041545.78</v>
      </c>
      <c r="J16" s="242">
        <v>3475099.2199999997</v>
      </c>
      <c r="K16" s="242">
        <v>4277012.22</v>
      </c>
      <c r="L16" s="243">
        <v>53.767948067256079</v>
      </c>
    </row>
    <row r="17" spans="1:13" ht="15" customHeight="1">
      <c r="A17" s="241" t="s">
        <v>75</v>
      </c>
      <c r="B17" s="391" t="s">
        <v>76</v>
      </c>
      <c r="C17" s="242">
        <v>15174914</v>
      </c>
      <c r="D17" s="242">
        <v>15074914</v>
      </c>
      <c r="E17" s="242">
        <v>10130499</v>
      </c>
      <c r="F17" s="242">
        <v>1242085.0900000001</v>
      </c>
      <c r="G17" s="242">
        <v>8528847.5399999991</v>
      </c>
      <c r="H17" s="242">
        <v>4262158.6399999997</v>
      </c>
      <c r="I17" s="242">
        <v>7254171.1100000003</v>
      </c>
      <c r="J17" s="242">
        <v>1601651.4600000009</v>
      </c>
      <c r="K17" s="242">
        <v>6546066.4600000009</v>
      </c>
      <c r="L17" s="243">
        <v>84.189806839722308</v>
      </c>
    </row>
    <row r="18" spans="1:13" ht="15" customHeight="1">
      <c r="A18" s="241" t="s">
        <v>77</v>
      </c>
      <c r="B18" s="391" t="s">
        <v>78</v>
      </c>
      <c r="C18" s="242">
        <v>800000</v>
      </c>
      <c r="D18" s="242">
        <v>800000</v>
      </c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800000</v>
      </c>
      <c r="L18" s="243">
        <v>0</v>
      </c>
    </row>
    <row r="19" spans="1:13" ht="15" customHeight="1">
      <c r="A19" s="241" t="s">
        <v>79</v>
      </c>
      <c r="B19" s="391" t="s">
        <v>80</v>
      </c>
      <c r="C19" s="242">
        <v>0</v>
      </c>
      <c r="D19" s="242">
        <v>645000</v>
      </c>
      <c r="E19" s="242">
        <v>645000</v>
      </c>
      <c r="F19" s="242">
        <v>65343.9</v>
      </c>
      <c r="G19" s="242">
        <v>353017.1</v>
      </c>
      <c r="H19" s="242">
        <v>308249.49</v>
      </c>
      <c r="I19" s="242">
        <v>364900.06</v>
      </c>
      <c r="J19" s="242">
        <v>291982.90000000002</v>
      </c>
      <c r="K19" s="242">
        <v>-353017.1</v>
      </c>
      <c r="L19" s="243">
        <v>80.987449885840803</v>
      </c>
    </row>
    <row r="20" spans="1:13" ht="18" customHeight="1">
      <c r="A20" s="241"/>
      <c r="B20" s="391"/>
      <c r="C20" s="242"/>
      <c r="D20" s="242"/>
      <c r="E20" s="242"/>
      <c r="F20" s="242"/>
      <c r="G20" s="242"/>
      <c r="H20" s="242"/>
      <c r="I20" s="242"/>
      <c r="J20" s="242"/>
      <c r="K20" s="242"/>
      <c r="L20" s="243" t="s">
        <v>6</v>
      </c>
    </row>
    <row r="21" spans="1:13" ht="19.899999999999999" customHeight="1">
      <c r="A21" s="397" t="s">
        <v>81</v>
      </c>
      <c r="B21" s="392" t="s">
        <v>82</v>
      </c>
      <c r="C21" s="398">
        <v>18526746</v>
      </c>
      <c r="D21" s="398">
        <v>17021766</v>
      </c>
      <c r="E21" s="398">
        <v>12659886</v>
      </c>
      <c r="F21" s="394">
        <v>399788.59999999986</v>
      </c>
      <c r="G21" s="398">
        <v>4563891.7199999988</v>
      </c>
      <c r="H21" s="394">
        <v>3743197.0299999993</v>
      </c>
      <c r="I21" s="398">
        <v>3230680.04</v>
      </c>
      <c r="J21" s="398">
        <v>8095994.2800000012</v>
      </c>
      <c r="K21" s="394">
        <v>12457874.280000001</v>
      </c>
      <c r="L21" s="399">
        <v>36.050022251385201</v>
      </c>
      <c r="M21" s="1" t="s">
        <v>6</v>
      </c>
    </row>
    <row r="22" spans="1:13" ht="15" customHeight="1">
      <c r="A22" s="241">
        <v>100</v>
      </c>
      <c r="B22" s="391" t="s">
        <v>83</v>
      </c>
      <c r="C22" s="242">
        <v>246881</v>
      </c>
      <c r="D22" s="242">
        <v>177576</v>
      </c>
      <c r="E22" s="242">
        <v>177576</v>
      </c>
      <c r="F22" s="242">
        <v>13052.130000000001</v>
      </c>
      <c r="G22" s="242">
        <v>49167.68</v>
      </c>
      <c r="H22" s="242">
        <v>15224.57</v>
      </c>
      <c r="I22" s="242">
        <v>17732.04</v>
      </c>
      <c r="J22" s="242">
        <v>128408.32000000001</v>
      </c>
      <c r="K22" s="242">
        <v>128408.32000000001</v>
      </c>
      <c r="L22" s="243">
        <v>27.688246159390911</v>
      </c>
    </row>
    <row r="23" spans="1:13" ht="15" customHeight="1">
      <c r="A23" s="244" t="s">
        <v>84</v>
      </c>
      <c r="B23" s="327" t="s">
        <v>85</v>
      </c>
      <c r="C23" s="242">
        <v>4602128</v>
      </c>
      <c r="D23" s="242">
        <v>5403728</v>
      </c>
      <c r="E23" s="242">
        <v>3917658</v>
      </c>
      <c r="F23" s="242">
        <v>383499.05999999994</v>
      </c>
      <c r="G23" s="242">
        <v>2821872.97</v>
      </c>
      <c r="H23" s="242">
        <v>2612611.4700000002</v>
      </c>
      <c r="I23" s="242">
        <v>2498027.61</v>
      </c>
      <c r="J23" s="242">
        <v>1095785.0299999998</v>
      </c>
      <c r="K23" s="242">
        <v>2581855.0299999998</v>
      </c>
      <c r="L23" s="243">
        <v>72.029589361807496</v>
      </c>
    </row>
    <row r="24" spans="1:13" ht="15" customHeight="1">
      <c r="A24" s="244" t="s">
        <v>86</v>
      </c>
      <c r="B24" s="327" t="s">
        <v>87</v>
      </c>
      <c r="C24" s="242">
        <v>166433</v>
      </c>
      <c r="D24" s="242">
        <v>48233</v>
      </c>
      <c r="E24" s="242">
        <v>48233</v>
      </c>
      <c r="F24" s="242">
        <v>56.73</v>
      </c>
      <c r="G24" s="242">
        <v>7119.4</v>
      </c>
      <c r="H24" s="242">
        <v>6106.92</v>
      </c>
      <c r="I24" s="242">
        <v>1967.22</v>
      </c>
      <c r="J24" s="242">
        <v>41113.599999999999</v>
      </c>
      <c r="K24" s="242">
        <v>41113.599999999999</v>
      </c>
      <c r="L24" s="243">
        <v>14.760433727945596</v>
      </c>
    </row>
    <row r="25" spans="1:13" ht="15" customHeight="1">
      <c r="A25" s="244" t="s">
        <v>88</v>
      </c>
      <c r="B25" s="327" t="s">
        <v>89</v>
      </c>
      <c r="C25" s="242">
        <v>312205</v>
      </c>
      <c r="D25" s="242">
        <v>87205</v>
      </c>
      <c r="E25" s="242">
        <v>87205</v>
      </c>
      <c r="F25" s="242">
        <v>6206</v>
      </c>
      <c r="G25" s="242">
        <v>10549.76</v>
      </c>
      <c r="H25" s="242">
        <v>4343.76</v>
      </c>
      <c r="I25" s="242">
        <v>4343.76</v>
      </c>
      <c r="J25" s="242">
        <v>76655.240000000005</v>
      </c>
      <c r="K25" s="242">
        <v>76655.240000000005</v>
      </c>
      <c r="L25" s="243">
        <v>12.097654950977581</v>
      </c>
    </row>
    <row r="26" spans="1:13" ht="15" customHeight="1">
      <c r="A26" s="244" t="s">
        <v>90</v>
      </c>
      <c r="B26" s="327" t="s">
        <v>91</v>
      </c>
      <c r="C26" s="242">
        <v>1316173</v>
      </c>
      <c r="D26" s="242">
        <v>861373</v>
      </c>
      <c r="E26" s="242">
        <v>610800</v>
      </c>
      <c r="F26" s="242">
        <v>29602</v>
      </c>
      <c r="G26" s="242">
        <v>190543.41999999998</v>
      </c>
      <c r="H26" s="242">
        <v>190543.42</v>
      </c>
      <c r="I26" s="242">
        <v>188893.42</v>
      </c>
      <c r="J26" s="242">
        <v>420256.58</v>
      </c>
      <c r="K26" s="242">
        <v>670829.58000000007</v>
      </c>
      <c r="L26" s="243">
        <v>31.195713817943677</v>
      </c>
    </row>
    <row r="27" spans="1:13" ht="15" customHeight="1">
      <c r="A27" s="244" t="s">
        <v>93</v>
      </c>
      <c r="B27" s="327" t="s">
        <v>94</v>
      </c>
      <c r="C27" s="242">
        <v>707102</v>
      </c>
      <c r="D27" s="242">
        <v>549142</v>
      </c>
      <c r="E27" s="242">
        <v>453574</v>
      </c>
      <c r="F27" s="242">
        <v>16808.98</v>
      </c>
      <c r="G27" s="242">
        <v>68565.389999999985</v>
      </c>
      <c r="H27" s="242">
        <v>51133.91</v>
      </c>
      <c r="I27" s="242">
        <v>47031.49</v>
      </c>
      <c r="J27" s="242">
        <v>385008.61</v>
      </c>
      <c r="K27" s="242">
        <v>480576.61</v>
      </c>
      <c r="L27" s="243">
        <v>15.116693196699984</v>
      </c>
    </row>
    <row r="28" spans="1:13" ht="15" customHeight="1">
      <c r="A28" s="244" t="s">
        <v>95</v>
      </c>
      <c r="B28" s="327" t="s">
        <v>96</v>
      </c>
      <c r="C28" s="242">
        <v>5576534</v>
      </c>
      <c r="D28" s="242">
        <v>5449309</v>
      </c>
      <c r="E28" s="242">
        <v>4030972</v>
      </c>
      <c r="F28" s="242">
        <v>-75985.69</v>
      </c>
      <c r="G28" s="242">
        <v>452121.94999999995</v>
      </c>
      <c r="H28" s="242">
        <v>265762.45999999996</v>
      </c>
      <c r="I28" s="242">
        <v>107813.28</v>
      </c>
      <c r="J28" s="242">
        <v>3578850.05</v>
      </c>
      <c r="K28" s="242">
        <v>4997187.05</v>
      </c>
      <c r="L28" s="243">
        <v>19.926375659105425</v>
      </c>
    </row>
    <row r="29" spans="1:13" ht="15" customHeight="1">
      <c r="A29" s="245">
        <v>170</v>
      </c>
      <c r="B29" s="393" t="s">
        <v>142</v>
      </c>
      <c r="C29" s="242">
        <v>3333076</v>
      </c>
      <c r="D29" s="242">
        <v>1893076</v>
      </c>
      <c r="E29" s="242">
        <v>781744</v>
      </c>
      <c r="F29" s="242">
        <v>4750.29</v>
      </c>
      <c r="G29" s="242">
        <v>25768.44</v>
      </c>
      <c r="H29" s="242">
        <v>24035.11</v>
      </c>
      <c r="I29" s="242">
        <v>0</v>
      </c>
      <c r="J29" s="242">
        <v>755975.56</v>
      </c>
      <c r="K29" s="242">
        <v>1867307.56</v>
      </c>
      <c r="L29" s="243">
        <v>8.2437881653607139</v>
      </c>
    </row>
    <row r="30" spans="1:13" ht="15" customHeight="1">
      <c r="A30" s="244" t="s">
        <v>97</v>
      </c>
      <c r="B30" s="327" t="s">
        <v>98</v>
      </c>
      <c r="C30" s="242">
        <v>2266214</v>
      </c>
      <c r="D30" s="242">
        <v>2050514</v>
      </c>
      <c r="E30" s="242">
        <v>2050514</v>
      </c>
      <c r="F30" s="242">
        <v>6725.99</v>
      </c>
      <c r="G30" s="242">
        <v>497629.24</v>
      </c>
      <c r="H30" s="242">
        <v>156453.81999999998</v>
      </c>
      <c r="I30" s="242">
        <v>151199.85</v>
      </c>
      <c r="J30" s="242">
        <v>1552884.76</v>
      </c>
      <c r="K30" s="242">
        <v>1552884.76</v>
      </c>
      <c r="L30" s="243">
        <v>22.422524597027422</v>
      </c>
    </row>
    <row r="31" spans="1:13" ht="15" customHeight="1">
      <c r="A31" s="241">
        <v>190</v>
      </c>
      <c r="B31" s="391" t="s">
        <v>99</v>
      </c>
      <c r="C31" s="242">
        <v>0</v>
      </c>
      <c r="D31" s="242">
        <v>501610</v>
      </c>
      <c r="E31" s="242">
        <v>501610</v>
      </c>
      <c r="F31" s="431">
        <v>15073.11</v>
      </c>
      <c r="G31" s="242">
        <v>440553.47</v>
      </c>
      <c r="H31" s="242">
        <v>416981.59</v>
      </c>
      <c r="I31" s="242">
        <v>213671.37</v>
      </c>
      <c r="J31" s="242">
        <v>61056.530000000028</v>
      </c>
      <c r="K31" s="242">
        <v>-440553.47</v>
      </c>
      <c r="L31" s="243">
        <v>7.2968181818181819</v>
      </c>
    </row>
    <row r="32" spans="1:13" ht="18" customHeight="1">
      <c r="A32" s="241"/>
      <c r="B32" s="391"/>
      <c r="C32" s="242"/>
      <c r="D32" s="242"/>
      <c r="E32" s="242"/>
      <c r="F32" s="242"/>
      <c r="G32" s="242"/>
      <c r="H32" s="242"/>
      <c r="I32" s="242"/>
      <c r="J32" s="242"/>
      <c r="K32" s="242"/>
      <c r="L32" s="243">
        <v>0</v>
      </c>
    </row>
    <row r="33" spans="1:15" ht="19.899999999999999" customHeight="1">
      <c r="A33" s="400" t="s">
        <v>100</v>
      </c>
      <c r="B33" s="389" t="s">
        <v>101</v>
      </c>
      <c r="C33" s="394">
        <v>7743903</v>
      </c>
      <c r="D33" s="394">
        <v>8717043</v>
      </c>
      <c r="E33" s="398">
        <v>8717043</v>
      </c>
      <c r="F33" s="394">
        <v>224682.87000000002</v>
      </c>
      <c r="G33" s="394">
        <v>2400249.1350000002</v>
      </c>
      <c r="H33" s="394">
        <v>1813444.88</v>
      </c>
      <c r="I33" s="394">
        <v>1624439.73</v>
      </c>
      <c r="J33" s="394">
        <v>6316793.8650000002</v>
      </c>
      <c r="K33" s="394">
        <v>6316793.8650000002</v>
      </c>
      <c r="L33" s="399">
        <v>27.535130146771102</v>
      </c>
      <c r="M33" s="1" t="s">
        <v>6</v>
      </c>
      <c r="N33" s="1" t="s">
        <v>6</v>
      </c>
      <c r="O33" s="1"/>
    </row>
    <row r="34" spans="1:15" ht="15" customHeight="1">
      <c r="A34" s="241" t="s">
        <v>102</v>
      </c>
      <c r="B34" s="391" t="s">
        <v>103</v>
      </c>
      <c r="C34" s="242">
        <v>546753</v>
      </c>
      <c r="D34" s="242">
        <v>295653</v>
      </c>
      <c r="E34" s="242">
        <v>295653</v>
      </c>
      <c r="F34" s="242">
        <v>12709.12</v>
      </c>
      <c r="G34" s="242">
        <v>31879.409999999996</v>
      </c>
      <c r="H34" s="242">
        <v>29096.03</v>
      </c>
      <c r="I34" s="242">
        <v>20680.579999999998</v>
      </c>
      <c r="J34" s="242">
        <v>263773.59000000003</v>
      </c>
      <c r="K34" s="242">
        <v>263773.59000000003</v>
      </c>
      <c r="L34" s="243">
        <v>10.782711489482603</v>
      </c>
    </row>
    <row r="35" spans="1:15" ht="15" customHeight="1">
      <c r="A35" s="244" t="s">
        <v>104</v>
      </c>
      <c r="B35" s="327" t="s">
        <v>105</v>
      </c>
      <c r="C35" s="242">
        <v>997856</v>
      </c>
      <c r="D35" s="242">
        <v>625206</v>
      </c>
      <c r="E35" s="242">
        <v>625206</v>
      </c>
      <c r="F35" s="242">
        <v>19152.189999999995</v>
      </c>
      <c r="G35" s="242">
        <v>171770.32</v>
      </c>
      <c r="H35" s="242">
        <v>142331.68</v>
      </c>
      <c r="I35" s="242">
        <v>127591.42</v>
      </c>
      <c r="J35" s="242">
        <v>453435.68</v>
      </c>
      <c r="K35" s="242">
        <v>453435.68</v>
      </c>
      <c r="L35" s="243">
        <v>27.4741957050956</v>
      </c>
    </row>
    <row r="36" spans="1:15" ht="15" customHeight="1">
      <c r="A36" s="244" t="s">
        <v>106</v>
      </c>
      <c r="B36" s="327" t="s">
        <v>107</v>
      </c>
      <c r="C36" s="242">
        <v>1077438</v>
      </c>
      <c r="D36" s="242">
        <v>1171938</v>
      </c>
      <c r="E36" s="242">
        <v>1171938</v>
      </c>
      <c r="F36" s="242">
        <v>4842.71</v>
      </c>
      <c r="G36" s="242">
        <v>295263.55</v>
      </c>
      <c r="H36" s="242">
        <v>131860.19</v>
      </c>
      <c r="I36" s="242">
        <v>104046.39</v>
      </c>
      <c r="J36" s="242">
        <v>876674.45</v>
      </c>
      <c r="K36" s="242">
        <v>876674.45</v>
      </c>
      <c r="L36" s="243">
        <v>25.194468478707915</v>
      </c>
    </row>
    <row r="37" spans="1:15" ht="15" customHeight="1">
      <c r="A37" s="244" t="s">
        <v>108</v>
      </c>
      <c r="B37" s="327" t="s">
        <v>109</v>
      </c>
      <c r="C37" s="242">
        <v>406407</v>
      </c>
      <c r="D37" s="242">
        <v>309207</v>
      </c>
      <c r="E37" s="242">
        <v>309207</v>
      </c>
      <c r="F37" s="242">
        <v>7617.69</v>
      </c>
      <c r="G37" s="242">
        <v>101926.65999999999</v>
      </c>
      <c r="H37" s="242">
        <v>96036.67</v>
      </c>
      <c r="I37" s="242">
        <v>93495.849999999991</v>
      </c>
      <c r="J37" s="242">
        <v>207280.34000000003</v>
      </c>
      <c r="K37" s="242">
        <v>207280.34000000003</v>
      </c>
      <c r="L37" s="243">
        <v>32.963891503103092</v>
      </c>
    </row>
    <row r="38" spans="1:15" ht="15" customHeight="1">
      <c r="A38" s="244" t="s">
        <v>110</v>
      </c>
      <c r="B38" s="327" t="s">
        <v>111</v>
      </c>
      <c r="C38" s="242">
        <v>443589</v>
      </c>
      <c r="D38" s="242">
        <v>781869</v>
      </c>
      <c r="E38" s="242">
        <v>781869</v>
      </c>
      <c r="F38" s="242">
        <v>10126.549999999999</v>
      </c>
      <c r="G38" s="242">
        <v>225785.86999999997</v>
      </c>
      <c r="H38" s="242">
        <v>140953.41999999998</v>
      </c>
      <c r="I38" s="242">
        <v>139705.78000000003</v>
      </c>
      <c r="J38" s="242">
        <v>556083.13</v>
      </c>
      <c r="K38" s="242">
        <v>556083.13</v>
      </c>
      <c r="L38" s="243">
        <v>28.877710972042625</v>
      </c>
    </row>
    <row r="39" spans="1:15" ht="15" customHeight="1">
      <c r="A39" s="244" t="s">
        <v>112</v>
      </c>
      <c r="B39" s="327" t="s">
        <v>113</v>
      </c>
      <c r="C39" s="242">
        <v>987180</v>
      </c>
      <c r="D39" s="242">
        <v>1287580</v>
      </c>
      <c r="E39" s="242">
        <v>1287580</v>
      </c>
      <c r="F39" s="242">
        <v>33787.519999999997</v>
      </c>
      <c r="G39" s="242">
        <v>263655.48600000003</v>
      </c>
      <c r="H39" s="242">
        <v>208906.33</v>
      </c>
      <c r="I39" s="242">
        <v>182740.18999999997</v>
      </c>
      <c r="J39" s="242">
        <v>1023924.514</v>
      </c>
      <c r="K39" s="242">
        <v>1023924.514</v>
      </c>
      <c r="L39" s="243">
        <v>20.47682365367589</v>
      </c>
    </row>
    <row r="40" spans="1:15" ht="15" customHeight="1">
      <c r="A40" s="244" t="s">
        <v>114</v>
      </c>
      <c r="B40" s="327" t="s">
        <v>115</v>
      </c>
      <c r="C40" s="242">
        <v>910470</v>
      </c>
      <c r="D40" s="242">
        <v>1333470</v>
      </c>
      <c r="E40" s="242">
        <v>1333470</v>
      </c>
      <c r="F40" s="242">
        <v>24700.29</v>
      </c>
      <c r="G40" s="242">
        <v>207626.72999999998</v>
      </c>
      <c r="H40" s="242">
        <v>187085.22</v>
      </c>
      <c r="I40" s="242">
        <v>149470.06</v>
      </c>
      <c r="J40" s="242">
        <v>1125843.27</v>
      </c>
      <c r="K40" s="242">
        <v>1125843.27</v>
      </c>
      <c r="L40" s="243">
        <v>15.570408783099731</v>
      </c>
    </row>
    <row r="41" spans="1:15" ht="15" customHeight="1">
      <c r="A41" s="244" t="s">
        <v>116</v>
      </c>
      <c r="B41" s="327" t="s">
        <v>117</v>
      </c>
      <c r="C41" s="242">
        <v>1721563</v>
      </c>
      <c r="D41" s="242">
        <v>2163733</v>
      </c>
      <c r="E41" s="242">
        <v>2163733</v>
      </c>
      <c r="F41" s="242">
        <v>84571.700000000012</v>
      </c>
      <c r="G41" s="242">
        <v>874839.40899999999</v>
      </c>
      <c r="H41" s="242">
        <v>752052.89</v>
      </c>
      <c r="I41" s="242">
        <v>646184.05999999994</v>
      </c>
      <c r="J41" s="242">
        <v>1288893.591</v>
      </c>
      <c r="K41" s="242">
        <v>1288893.591</v>
      </c>
      <c r="L41" s="243">
        <v>40.4319483503741</v>
      </c>
    </row>
    <row r="42" spans="1:15" ht="15" customHeight="1">
      <c r="A42" s="244" t="s">
        <v>118</v>
      </c>
      <c r="B42" s="327" t="s">
        <v>119</v>
      </c>
      <c r="C42" s="242">
        <v>652647</v>
      </c>
      <c r="D42" s="242">
        <v>579347</v>
      </c>
      <c r="E42" s="242">
        <v>579347</v>
      </c>
      <c r="F42" s="242">
        <v>15325</v>
      </c>
      <c r="G42" s="242">
        <v>150553.45000000001</v>
      </c>
      <c r="H42" s="242">
        <v>118771.89</v>
      </c>
      <c r="I42" s="242">
        <v>96985.14</v>
      </c>
      <c r="J42" s="242">
        <v>428793.55</v>
      </c>
      <c r="K42" s="242">
        <v>428793.55</v>
      </c>
      <c r="L42" s="243">
        <v>25.986748874163503</v>
      </c>
    </row>
    <row r="43" spans="1:15" ht="15" customHeight="1">
      <c r="A43" s="241">
        <v>290</v>
      </c>
      <c r="B43" s="327" t="s">
        <v>120</v>
      </c>
      <c r="C43" s="242">
        <v>0</v>
      </c>
      <c r="D43" s="242">
        <v>169040</v>
      </c>
      <c r="E43" s="242">
        <v>169040</v>
      </c>
      <c r="F43" s="242">
        <v>11850.1</v>
      </c>
      <c r="G43" s="242">
        <v>76948.25</v>
      </c>
      <c r="H43" s="242">
        <v>6350.5599999999995</v>
      </c>
      <c r="I43" s="242">
        <v>63540.26</v>
      </c>
      <c r="J43" s="242" t="s">
        <v>6</v>
      </c>
      <c r="K43" s="242" t="s">
        <v>6</v>
      </c>
      <c r="L43" s="243">
        <v>45.520734737340277</v>
      </c>
    </row>
    <row r="44" spans="1:15" ht="18.600000000000001" customHeight="1">
      <c r="A44" s="241"/>
      <c r="B44" s="327"/>
      <c r="C44" s="242"/>
      <c r="D44" s="242"/>
      <c r="E44" s="242"/>
      <c r="F44" s="242"/>
      <c r="G44" s="242"/>
      <c r="H44" s="242"/>
      <c r="I44" s="242"/>
      <c r="J44" s="242"/>
      <c r="K44" s="242"/>
      <c r="L44" s="243" t="s">
        <v>6</v>
      </c>
    </row>
    <row r="45" spans="1:15" ht="19.899999999999999" customHeight="1">
      <c r="A45" s="400">
        <v>4</v>
      </c>
      <c r="B45" s="394" t="s">
        <v>122</v>
      </c>
      <c r="C45" s="394">
        <v>2503569</v>
      </c>
      <c r="D45" s="394">
        <v>2657409</v>
      </c>
      <c r="E45" s="394">
        <v>2538909</v>
      </c>
      <c r="F45" s="394">
        <v>69584.19</v>
      </c>
      <c r="G45" s="394">
        <v>1261475.53</v>
      </c>
      <c r="H45" s="402">
        <v>803716.51</v>
      </c>
      <c r="I45" s="394">
        <v>681896.73</v>
      </c>
      <c r="J45" s="394">
        <v>1277433.47</v>
      </c>
      <c r="K45" s="394">
        <v>1395933.47</v>
      </c>
      <c r="L45" s="399">
        <v>49.685732336212126</v>
      </c>
    </row>
    <row r="46" spans="1:15" ht="15" customHeight="1">
      <c r="A46" s="241">
        <v>430</v>
      </c>
      <c r="B46" s="395" t="s">
        <v>123</v>
      </c>
      <c r="C46" s="242">
        <v>2503569</v>
      </c>
      <c r="D46" s="242">
        <v>2516569</v>
      </c>
      <c r="E46" s="242">
        <v>2398069</v>
      </c>
      <c r="F46" s="242">
        <v>69584.19</v>
      </c>
      <c r="G46" s="242">
        <v>1134614.19</v>
      </c>
      <c r="H46" s="242">
        <v>783467.05</v>
      </c>
      <c r="I46" s="242">
        <v>568661.43999999994</v>
      </c>
      <c r="J46" s="242">
        <v>1263454.81</v>
      </c>
      <c r="K46" s="242">
        <v>1381954.81</v>
      </c>
      <c r="L46" s="243">
        <v>47.313659031495753</v>
      </c>
    </row>
    <row r="47" spans="1:15" ht="15" customHeight="1">
      <c r="A47" s="241">
        <v>490</v>
      </c>
      <c r="B47" s="327" t="s">
        <v>124</v>
      </c>
      <c r="C47" s="242">
        <v>0</v>
      </c>
      <c r="D47" s="242">
        <v>140840</v>
      </c>
      <c r="E47" s="242">
        <v>140840</v>
      </c>
      <c r="F47" s="242">
        <v>0</v>
      </c>
      <c r="G47" s="242">
        <v>126861.34</v>
      </c>
      <c r="H47" s="242">
        <v>20249.46</v>
      </c>
      <c r="I47" s="242">
        <v>113235.29</v>
      </c>
      <c r="J47" s="242">
        <v>13978.660000000003</v>
      </c>
      <c r="K47" s="242">
        <v>-126861.34</v>
      </c>
      <c r="L47" s="243">
        <v>90.074794092587325</v>
      </c>
    </row>
    <row r="48" spans="1:15" ht="18" customHeight="1">
      <c r="A48" s="246"/>
      <c r="B48" s="396"/>
      <c r="C48" s="242"/>
      <c r="D48" s="317"/>
      <c r="E48" s="317"/>
      <c r="F48" s="242" t="s">
        <v>6</v>
      </c>
      <c r="G48" s="247"/>
      <c r="H48" s="388"/>
      <c r="I48" s="247"/>
      <c r="J48" s="247"/>
      <c r="K48" s="247"/>
      <c r="L48" s="243" t="s">
        <v>6</v>
      </c>
    </row>
    <row r="49" spans="1:16" ht="19.899999999999999" customHeight="1">
      <c r="A49" s="400" t="s">
        <v>125</v>
      </c>
      <c r="B49" s="389" t="s">
        <v>145</v>
      </c>
      <c r="C49" s="240">
        <v>13519059</v>
      </c>
      <c r="D49" s="240">
        <v>8493403</v>
      </c>
      <c r="E49" s="240">
        <v>8300469</v>
      </c>
      <c r="F49" s="240">
        <v>275623.24</v>
      </c>
      <c r="G49" s="240">
        <v>1560289.4300000002</v>
      </c>
      <c r="H49" s="387">
        <v>1492340.2999999998</v>
      </c>
      <c r="I49" s="240">
        <v>1443132.8599999999</v>
      </c>
      <c r="J49" s="240">
        <v>6740179.5700000003</v>
      </c>
      <c r="K49" s="240">
        <v>6933113.5700000003</v>
      </c>
      <c r="L49" s="288">
        <v>18.797605653367295</v>
      </c>
      <c r="N49" s="1" t="s">
        <v>6</v>
      </c>
    </row>
    <row r="50" spans="1:16" ht="15" customHeight="1">
      <c r="A50" s="241" t="s">
        <v>126</v>
      </c>
      <c r="B50" s="391" t="s">
        <v>153</v>
      </c>
      <c r="C50" s="242">
        <v>118164</v>
      </c>
      <c r="D50" s="242">
        <v>118164</v>
      </c>
      <c r="E50" s="242">
        <v>78776</v>
      </c>
      <c r="F50" s="242">
        <v>3777.62</v>
      </c>
      <c r="G50" s="242">
        <v>30220.959999999995</v>
      </c>
      <c r="H50" s="242">
        <v>30220.959999999999</v>
      </c>
      <c r="I50" s="242">
        <v>30220.959999999999</v>
      </c>
      <c r="J50" s="242">
        <v>48555.040000000008</v>
      </c>
      <c r="K50" s="242">
        <v>87943.040000000008</v>
      </c>
      <c r="L50" s="243">
        <v>38.36315629125621</v>
      </c>
    </row>
    <row r="51" spans="1:16" ht="15" customHeight="1">
      <c r="A51" s="244" t="s">
        <v>127</v>
      </c>
      <c r="B51" s="327" t="s">
        <v>92</v>
      </c>
      <c r="C51" s="242">
        <v>11651426</v>
      </c>
      <c r="D51" s="242">
        <v>7275570</v>
      </c>
      <c r="E51" s="242">
        <v>7222024</v>
      </c>
      <c r="F51" s="242">
        <v>268253.32</v>
      </c>
      <c r="G51" s="242">
        <v>1383839.4600000002</v>
      </c>
      <c r="H51" s="242">
        <v>1383840.46</v>
      </c>
      <c r="I51" s="242">
        <v>1383840.46</v>
      </c>
      <c r="J51" s="242">
        <v>5838184.54</v>
      </c>
      <c r="K51" s="242">
        <v>5891730.54</v>
      </c>
      <c r="L51" s="243">
        <v>19.161393814254843</v>
      </c>
    </row>
    <row r="52" spans="1:16" ht="15" customHeight="1">
      <c r="A52" s="241">
        <v>620</v>
      </c>
      <c r="B52" s="327" t="s">
        <v>128</v>
      </c>
      <c r="C52" s="242">
        <v>1464188</v>
      </c>
      <c r="D52" s="242">
        <v>761388</v>
      </c>
      <c r="E52" s="242">
        <v>661388</v>
      </c>
      <c r="F52" s="242">
        <v>3992.3</v>
      </c>
      <c r="G52" s="242">
        <v>96581.55</v>
      </c>
      <c r="H52" s="242">
        <v>28632.42</v>
      </c>
      <c r="I52" s="242">
        <v>28171.439999999999</v>
      </c>
      <c r="J52" s="242">
        <v>564806.44999999995</v>
      </c>
      <c r="K52" s="242">
        <v>664806.44999999995</v>
      </c>
      <c r="L52" s="243">
        <v>14.602857929082475</v>
      </c>
    </row>
    <row r="53" spans="1:16" ht="15" customHeight="1">
      <c r="A53" s="318">
        <v>640</v>
      </c>
      <c r="B53" s="327" t="s">
        <v>336</v>
      </c>
      <c r="C53" s="242">
        <v>159266</v>
      </c>
      <c r="D53" s="242">
        <v>159266</v>
      </c>
      <c r="E53" s="242">
        <v>159266</v>
      </c>
      <c r="F53" s="242">
        <v>0</v>
      </c>
      <c r="G53" s="242">
        <v>0</v>
      </c>
      <c r="H53" s="242">
        <v>0</v>
      </c>
      <c r="I53" s="242">
        <v>0</v>
      </c>
      <c r="J53" s="242">
        <v>159266</v>
      </c>
      <c r="K53" s="242">
        <v>159266</v>
      </c>
      <c r="L53" s="243"/>
    </row>
    <row r="54" spans="1:16" ht="15" customHeight="1">
      <c r="A54" s="241" t="s">
        <v>129</v>
      </c>
      <c r="B54" s="391" t="s">
        <v>130</v>
      </c>
      <c r="C54" s="242">
        <v>126015</v>
      </c>
      <c r="D54" s="242">
        <v>134015</v>
      </c>
      <c r="E54" s="242">
        <v>134015</v>
      </c>
      <c r="F54" s="242">
        <v>-400</v>
      </c>
      <c r="G54" s="242">
        <v>40579.949999999997</v>
      </c>
      <c r="H54" s="242">
        <v>40579.949999999997</v>
      </c>
      <c r="I54" s="242">
        <v>900</v>
      </c>
      <c r="J54" s="242">
        <v>93435.05</v>
      </c>
      <c r="K54" s="242">
        <v>93435.05</v>
      </c>
      <c r="L54" s="243">
        <v>30.280155206506731</v>
      </c>
      <c r="O54" s="1" t="s">
        <v>6</v>
      </c>
    </row>
    <row r="55" spans="1:16" ht="15" customHeight="1">
      <c r="A55" s="241">
        <v>690</v>
      </c>
      <c r="B55" s="327" t="s">
        <v>152</v>
      </c>
      <c r="C55" s="242">
        <v>0</v>
      </c>
      <c r="D55" s="242">
        <v>45000</v>
      </c>
      <c r="E55" s="242">
        <v>45000</v>
      </c>
      <c r="F55" s="242">
        <v>6206</v>
      </c>
      <c r="G55" s="242">
        <v>9066.51</v>
      </c>
      <c r="H55" s="242">
        <v>9066.51</v>
      </c>
      <c r="I55" s="242">
        <v>0</v>
      </c>
      <c r="J55" s="242">
        <v>35933.49</v>
      </c>
      <c r="K55" s="242">
        <v>-9066.51</v>
      </c>
      <c r="L55" s="243">
        <v>20.1478</v>
      </c>
    </row>
    <row r="56" spans="1:16" ht="15" customHeight="1">
      <c r="A56" s="241"/>
      <c r="B56" s="242"/>
      <c r="C56" s="242"/>
      <c r="D56" s="242"/>
      <c r="E56" s="242"/>
      <c r="F56" s="242">
        <v>0</v>
      </c>
      <c r="G56" s="242"/>
      <c r="H56" s="242"/>
      <c r="I56" s="242"/>
      <c r="J56" s="242"/>
      <c r="K56" s="242"/>
      <c r="L56" s="243">
        <v>17.655761024182077</v>
      </c>
    </row>
    <row r="57" spans="1:16" ht="19.899999999999999" customHeight="1">
      <c r="A57" s="250" t="s">
        <v>6</v>
      </c>
      <c r="B57" s="403" t="s">
        <v>131</v>
      </c>
      <c r="C57" s="404">
        <v>158641933</v>
      </c>
      <c r="D57" s="404">
        <v>155666077</v>
      </c>
      <c r="E57" s="404">
        <v>111988339</v>
      </c>
      <c r="F57" s="404">
        <v>11281891.780000001</v>
      </c>
      <c r="G57" s="404">
        <v>77554985.405000001</v>
      </c>
      <c r="H57" s="404">
        <v>71310321.800000012</v>
      </c>
      <c r="I57" s="404">
        <v>73486435.480000004</v>
      </c>
      <c r="J57" s="404">
        <v>34433353.594999999</v>
      </c>
      <c r="K57" s="394">
        <v>78111091.594999999</v>
      </c>
      <c r="L57" s="399">
        <v>69.252733005531951</v>
      </c>
    </row>
    <row r="58" spans="1:16" ht="19.899999999999999" customHeight="1">
      <c r="A58" s="28"/>
      <c r="B58" s="276"/>
      <c r="C58" s="276"/>
      <c r="D58" s="276"/>
      <c r="E58" s="276"/>
      <c r="F58" s="1" t="s">
        <v>6</v>
      </c>
      <c r="G58" s="276" t="s">
        <v>6</v>
      </c>
      <c r="H58" s="276"/>
      <c r="I58" s="276"/>
      <c r="J58" s="276"/>
      <c r="K58" s="276"/>
      <c r="L58" s="276"/>
      <c r="N58" s="25" t="s">
        <v>6</v>
      </c>
      <c r="P58" t="s">
        <v>6</v>
      </c>
    </row>
    <row r="59" spans="1:16" ht="19.899999999999999" customHeight="1">
      <c r="A59" s="246"/>
      <c r="B59" s="248"/>
      <c r="C59" s="248"/>
      <c r="D59" s="249"/>
      <c r="E59" s="1"/>
      <c r="F59" s="1" t="s">
        <v>6</v>
      </c>
      <c r="G59" s="1" t="s">
        <v>6</v>
      </c>
      <c r="H59" s="1"/>
      <c r="L59" s="25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0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</mergeCells>
  <pageMargins left="0.39370078740157483" right="0.23622047244094491" top="0.55118110236220474" bottom="0.15748031496062992" header="0.31496062992125984" footer="0.31496062992125984"/>
  <pageSetup scale="75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>
    <tabColor theme="6" tint="-0.249977111117893"/>
  </sheetPr>
  <dimension ref="A1:T38"/>
  <sheetViews>
    <sheetView showGridLines="0" showZeros="0" workbookViewId="0">
      <selection activeCell="P14" sqref="P14"/>
    </sheetView>
  </sheetViews>
  <sheetFormatPr baseColWidth="10" defaultColWidth="11.42578125" defaultRowHeight="12.75"/>
  <cols>
    <col min="1" max="1" width="3.85546875" style="7" customWidth="1"/>
    <col min="2" max="2" width="35.28515625" style="7" customWidth="1"/>
    <col min="3" max="3" width="11.42578125" style="7" customWidth="1"/>
    <col min="4" max="4" width="0.7109375" style="7" hidden="1" customWidth="1"/>
    <col min="5" max="5" width="11.85546875" style="7" customWidth="1"/>
    <col min="6" max="6" width="11.28515625" style="7" customWidth="1"/>
    <col min="7" max="7" width="0.140625" style="7" hidden="1" customWidth="1"/>
    <col min="8" max="8" width="13.140625" style="7" customWidth="1"/>
    <col min="9" max="9" width="12.42578125" style="7" customWidth="1"/>
    <col min="10" max="10" width="13.140625" style="7" customWidth="1"/>
    <col min="11" max="11" width="10.85546875" style="7" customWidth="1"/>
    <col min="12" max="12" width="12" style="7" hidden="1" customWidth="1"/>
    <col min="13" max="13" width="11.28515625" style="7" customWidth="1"/>
    <col min="14" max="14" width="0.140625" customWidth="1"/>
    <col min="15" max="15" width="10.42578125" customWidth="1"/>
    <col min="16" max="16" width="23.5703125" bestFit="1" customWidth="1"/>
    <col min="17" max="17" width="12.7109375" bestFit="1" customWidth="1"/>
  </cols>
  <sheetData>
    <row r="1" spans="1:16" ht="18" customHeight="1">
      <c r="A1" s="472" t="s">
        <v>150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2" spans="1:16" ht="18" customHeight="1">
      <c r="A2" s="472" t="s">
        <v>151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</row>
    <row r="3" spans="1:16" ht="18" customHeight="1">
      <c r="A3" s="495" t="s">
        <v>233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P3" t="s">
        <v>6</v>
      </c>
    </row>
    <row r="4" spans="1:16" ht="18" customHeight="1">
      <c r="A4" s="495" t="s">
        <v>363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P4" t="s">
        <v>30</v>
      </c>
    </row>
    <row r="5" spans="1:16" ht="6.6" customHeight="1">
      <c r="A5" t="s">
        <v>279</v>
      </c>
      <c r="B5"/>
      <c r="C5"/>
      <c r="D5"/>
      <c r="E5"/>
      <c r="F5"/>
      <c r="G5"/>
      <c r="H5"/>
      <c r="I5"/>
      <c r="J5"/>
      <c r="K5"/>
      <c r="L5"/>
      <c r="M5"/>
    </row>
    <row r="6" spans="1:16" ht="24.95" customHeight="1">
      <c r="A6" s="529" t="s">
        <v>132</v>
      </c>
      <c r="B6" s="531" t="s">
        <v>0</v>
      </c>
      <c r="C6" s="533" t="s">
        <v>24</v>
      </c>
      <c r="D6" s="534"/>
      <c r="E6" s="534"/>
      <c r="F6" s="534"/>
      <c r="G6" s="534"/>
      <c r="H6" s="534"/>
      <c r="I6" s="534"/>
      <c r="J6" s="535"/>
      <c r="K6" s="536" t="s">
        <v>244</v>
      </c>
      <c r="L6" s="418"/>
      <c r="M6" s="502" t="s">
        <v>337</v>
      </c>
      <c r="P6" t="s">
        <v>6</v>
      </c>
    </row>
    <row r="7" spans="1:16" ht="24.95" customHeight="1">
      <c r="A7" s="530"/>
      <c r="B7" s="532"/>
      <c r="C7" s="312" t="s">
        <v>58</v>
      </c>
      <c r="D7" s="427" t="s">
        <v>59</v>
      </c>
      <c r="E7" s="312" t="s">
        <v>10</v>
      </c>
      <c r="F7" s="313" t="s">
        <v>2</v>
      </c>
      <c r="G7" s="312" t="s">
        <v>28</v>
      </c>
      <c r="H7" s="314" t="s">
        <v>335</v>
      </c>
      <c r="I7" s="349" t="s">
        <v>285</v>
      </c>
      <c r="J7" s="349" t="s">
        <v>333</v>
      </c>
      <c r="K7" s="537"/>
      <c r="L7" s="423" t="s">
        <v>17</v>
      </c>
      <c r="M7" s="503"/>
    </row>
    <row r="8" spans="1:16" ht="15" customHeight="1">
      <c r="A8" s="202"/>
      <c r="B8" s="203"/>
      <c r="C8" s="204"/>
      <c r="D8" s="204"/>
      <c r="E8" s="205"/>
      <c r="F8" s="206"/>
      <c r="G8" s="205"/>
      <c r="H8" s="207"/>
      <c r="I8" s="207"/>
      <c r="J8" s="205"/>
      <c r="K8" s="419"/>
      <c r="L8" s="424"/>
      <c r="M8" s="208"/>
    </row>
    <row r="9" spans="1:16" ht="24.95" customHeight="1">
      <c r="A9" s="55"/>
      <c r="B9" s="209" t="s">
        <v>133</v>
      </c>
      <c r="C9" s="210">
        <f t="shared" ref="C9:J9" si="0">+C11+C21+C29</f>
        <v>158641933</v>
      </c>
      <c r="D9" s="210">
        <f t="shared" si="0"/>
        <v>0</v>
      </c>
      <c r="E9" s="210">
        <f>+E11+E21+E29</f>
        <v>155666077</v>
      </c>
      <c r="F9" s="211">
        <f>+F11+F21+F29</f>
        <v>111988339</v>
      </c>
      <c r="G9" s="456">
        <f t="shared" si="0"/>
        <v>11281881.780000001</v>
      </c>
      <c r="H9" s="210">
        <f t="shared" si="0"/>
        <v>77554986.394999996</v>
      </c>
      <c r="I9" s="211">
        <f>+I11+I21+I29-1</f>
        <v>71310321.799999997</v>
      </c>
      <c r="J9" s="210">
        <f t="shared" si="0"/>
        <v>73486435.480000004</v>
      </c>
      <c r="K9" s="420">
        <f>F9-H9</f>
        <v>34433352.605000004</v>
      </c>
      <c r="L9" s="425">
        <f>+C9-H9</f>
        <v>81086946.605000004</v>
      </c>
      <c r="M9" s="452">
        <f>+H9/F9*100</f>
        <v>69.252733889552559</v>
      </c>
      <c r="N9" s="289">
        <v>66275333.075000003</v>
      </c>
    </row>
    <row r="10" spans="1:16" ht="13.15" customHeight="1">
      <c r="A10" s="55"/>
      <c r="B10" s="213"/>
      <c r="C10" s="434"/>
      <c r="D10" s="434"/>
      <c r="E10" s="212"/>
      <c r="F10" s="435"/>
      <c r="G10" s="457"/>
      <c r="H10" s="434"/>
      <c r="I10" s="434"/>
      <c r="J10" s="461"/>
      <c r="K10" s="436"/>
      <c r="L10" s="425"/>
      <c r="M10" s="453"/>
      <c r="N10" s="52"/>
    </row>
    <row r="11" spans="1:16" ht="17.45" customHeight="1">
      <c r="A11" s="214">
        <v>1</v>
      </c>
      <c r="B11" s="215" t="s">
        <v>25</v>
      </c>
      <c r="C11" s="210">
        <f>SUM(C13:C20)</f>
        <v>60709167</v>
      </c>
      <c r="D11" s="210">
        <f t="shared" ref="D11:I11" si="1">SUM(D13:D19)</f>
        <v>1372503</v>
      </c>
      <c r="E11" s="212">
        <f t="shared" si="1"/>
        <v>58742037</v>
      </c>
      <c r="F11" s="437">
        <f t="shared" si="1"/>
        <v>45424741</v>
      </c>
      <c r="G11" s="458">
        <f t="shared" si="1"/>
        <v>3578516.8000000003</v>
      </c>
      <c r="H11" s="212">
        <f>SUM(H13:H19)+1</f>
        <v>25427584.395</v>
      </c>
      <c r="I11" s="212">
        <f t="shared" si="1"/>
        <v>22872574.850000001</v>
      </c>
      <c r="J11" s="210">
        <f>+J13+J15+J17+J19</f>
        <v>23294664.449999999</v>
      </c>
      <c r="K11" s="420">
        <f>+F11-H11</f>
        <v>19997156.605</v>
      </c>
      <c r="L11" s="425">
        <f>+E11-H11</f>
        <v>33314452.605</v>
      </c>
      <c r="M11" s="452">
        <f>+H11/F11*100</f>
        <v>55.977389931623392</v>
      </c>
      <c r="N11" s="53">
        <v>21851055.504999999</v>
      </c>
      <c r="O11" s="30" t="s">
        <v>6</v>
      </c>
      <c r="P11" s="319"/>
    </row>
    <row r="12" spans="1:16" ht="11.45" customHeight="1">
      <c r="A12" s="55"/>
      <c r="B12" s="216"/>
      <c r="C12" s="217"/>
      <c r="D12" s="217"/>
      <c r="E12" s="200"/>
      <c r="F12" s="438"/>
      <c r="G12" s="459"/>
      <c r="H12" s="200"/>
      <c r="I12" s="200"/>
      <c r="J12" s="462"/>
      <c r="K12" s="439"/>
      <c r="L12" s="426"/>
      <c r="M12" s="454"/>
      <c r="N12" s="52"/>
    </row>
    <row r="13" spans="1:16" ht="19.899999999999999" customHeight="1">
      <c r="A13" s="218" t="s">
        <v>6</v>
      </c>
      <c r="B13" s="216" t="s">
        <v>134</v>
      </c>
      <c r="C13" s="200">
        <v>14471964</v>
      </c>
      <c r="D13" s="200">
        <v>27903</v>
      </c>
      <c r="E13" s="200">
        <v>14711357</v>
      </c>
      <c r="F13" s="438">
        <v>11064097</v>
      </c>
      <c r="G13" s="459">
        <v>1027869.7</v>
      </c>
      <c r="H13" s="200">
        <f>+N13+G13</f>
        <v>7364801.4400000004</v>
      </c>
      <c r="I13" s="200">
        <v>6605751.9699999997</v>
      </c>
      <c r="J13" s="200">
        <v>6676064.8200000003</v>
      </c>
      <c r="K13" s="421">
        <f>+F13-H13</f>
        <v>3699295.5599999996</v>
      </c>
      <c r="L13" s="426">
        <f>+E13-H13</f>
        <v>7346555.5599999996</v>
      </c>
      <c r="M13" s="455">
        <f>+H13/F13*100</f>
        <v>66.564866884301537</v>
      </c>
      <c r="N13" s="52">
        <f>6338657.8-1726.06</f>
        <v>6336931.7400000002</v>
      </c>
      <c r="O13" s="31"/>
      <c r="P13" s="31"/>
    </row>
    <row r="14" spans="1:16" ht="7.15" customHeight="1">
      <c r="A14" s="218"/>
      <c r="B14" s="216"/>
      <c r="C14" s="200"/>
      <c r="D14" s="200"/>
      <c r="E14" s="200">
        <f>SUM(C14:D14)</f>
        <v>0</v>
      </c>
      <c r="F14" s="438"/>
      <c r="G14" s="459" t="s">
        <v>6</v>
      </c>
      <c r="H14" s="200"/>
      <c r="I14" s="200"/>
      <c r="J14" s="200"/>
      <c r="K14" s="421"/>
      <c r="L14" s="426"/>
      <c r="M14" s="454"/>
      <c r="N14" s="52"/>
    </row>
    <row r="15" spans="1:16" ht="18.600000000000001" customHeight="1">
      <c r="A15" s="218" t="s">
        <v>6</v>
      </c>
      <c r="B15" s="219" t="s">
        <v>135</v>
      </c>
      <c r="C15" s="200">
        <v>987705</v>
      </c>
      <c r="D15" s="200">
        <v>19837</v>
      </c>
      <c r="E15" s="200">
        <v>1015253</v>
      </c>
      <c r="F15" s="438">
        <v>703822</v>
      </c>
      <c r="G15" s="459">
        <v>86261.99</v>
      </c>
      <c r="H15" s="200">
        <f>+N15+G15</f>
        <v>596446.18500000006</v>
      </c>
      <c r="I15" s="200">
        <v>542366.78</v>
      </c>
      <c r="J15" s="200">
        <v>567149.18000000005</v>
      </c>
      <c r="K15" s="421">
        <f>+F15-H15</f>
        <v>107375.81499999994</v>
      </c>
      <c r="L15" s="426">
        <f>+E15-H15</f>
        <v>418806.81499999994</v>
      </c>
      <c r="M15" s="455">
        <f>+H15/F15*100</f>
        <v>84.743896183978336</v>
      </c>
      <c r="N15" s="52">
        <f>510184.205+0.19-0.2</f>
        <v>510184.19500000001</v>
      </c>
    </row>
    <row r="16" spans="1:16" ht="10.15" customHeight="1">
      <c r="A16" s="218"/>
      <c r="B16" s="219"/>
      <c r="C16" s="200"/>
      <c r="D16" s="200"/>
      <c r="E16" s="200">
        <f>SUM(C16:D16)</f>
        <v>0</v>
      </c>
      <c r="F16" s="438" t="s">
        <v>6</v>
      </c>
      <c r="G16" s="459"/>
      <c r="H16" s="200">
        <f>G16+N16</f>
        <v>0</v>
      </c>
      <c r="I16" s="200"/>
      <c r="J16" s="200"/>
      <c r="K16" s="421" t="s">
        <v>6</v>
      </c>
      <c r="L16" s="426">
        <f>+E16-H16</f>
        <v>0</v>
      </c>
      <c r="M16" s="455"/>
      <c r="N16" s="52">
        <v>0</v>
      </c>
    </row>
    <row r="17" spans="1:20" ht="18.600000000000001" customHeight="1">
      <c r="A17" s="218" t="s">
        <v>6</v>
      </c>
      <c r="B17" s="216" t="s">
        <v>136</v>
      </c>
      <c r="C17" s="200">
        <v>42780124</v>
      </c>
      <c r="D17" s="200">
        <v>1428280</v>
      </c>
      <c r="E17" s="200">
        <v>40784545</v>
      </c>
      <c r="F17" s="438">
        <v>32156615</v>
      </c>
      <c r="G17" s="459">
        <v>2356468.7400000002</v>
      </c>
      <c r="H17" s="200">
        <f>+N17+G17</f>
        <v>16717505.41</v>
      </c>
      <c r="I17" s="200">
        <v>15023563.85</v>
      </c>
      <c r="J17" s="200">
        <v>15329593.390000001</v>
      </c>
      <c r="K17" s="421">
        <f>+F17-H17</f>
        <v>15439109.59</v>
      </c>
      <c r="L17" s="426">
        <f>+E17-H17</f>
        <v>24067039.59</v>
      </c>
      <c r="M17" s="455">
        <f>+H17/F17*100</f>
        <v>51.987764912444923</v>
      </c>
      <c r="N17" s="52">
        <f>14361298.51-261.84</f>
        <v>14361036.67</v>
      </c>
      <c r="O17" s="230" t="s">
        <v>6</v>
      </c>
      <c r="P17" s="20"/>
    </row>
    <row r="18" spans="1:20" ht="11.45" customHeight="1">
      <c r="A18" s="218"/>
      <c r="B18" s="216"/>
      <c r="C18" s="200"/>
      <c r="D18" s="200"/>
      <c r="E18" s="200">
        <f>SUM(C18:D18)</f>
        <v>0</v>
      </c>
      <c r="F18" s="438"/>
      <c r="G18" s="459"/>
      <c r="H18" s="200" t="s">
        <v>6</v>
      </c>
      <c r="I18" s="200"/>
      <c r="J18" s="200"/>
      <c r="K18" s="421" t="s">
        <v>6</v>
      </c>
      <c r="L18" s="426" t="s">
        <v>6</v>
      </c>
      <c r="M18" s="455"/>
      <c r="N18" s="52" t="s">
        <v>6</v>
      </c>
      <c r="O18" s="230"/>
    </row>
    <row r="19" spans="1:20" ht="15.6" customHeight="1">
      <c r="A19" s="218" t="s">
        <v>6</v>
      </c>
      <c r="B19" s="216" t="s">
        <v>137</v>
      </c>
      <c r="C19" s="200">
        <v>2469374</v>
      </c>
      <c r="D19" s="200">
        <v>-103517</v>
      </c>
      <c r="E19" s="200">
        <v>2230882</v>
      </c>
      <c r="F19" s="438">
        <v>1500207</v>
      </c>
      <c r="G19" s="459">
        <v>107916.37</v>
      </c>
      <c r="H19" s="200">
        <f>+N19+G19</f>
        <v>748830.36</v>
      </c>
      <c r="I19" s="200">
        <v>700892.25</v>
      </c>
      <c r="J19" s="217">
        <v>721857.06</v>
      </c>
      <c r="K19" s="421">
        <f>+F19-H19</f>
        <v>751376.64</v>
      </c>
      <c r="L19" s="426">
        <f>+E19-H19</f>
        <v>1482051.6400000001</v>
      </c>
      <c r="M19" s="455">
        <f>+H19/F19*100</f>
        <v>49.915135711271844</v>
      </c>
      <c r="N19" s="52">
        <v>640913.99</v>
      </c>
      <c r="O19" s="230"/>
    </row>
    <row r="20" spans="1:20" ht="9.6" customHeight="1">
      <c r="A20" s="218"/>
      <c r="B20" s="216"/>
      <c r="C20" s="200"/>
      <c r="D20" s="200"/>
      <c r="E20" s="200" t="s">
        <v>6</v>
      </c>
      <c r="F20" s="438"/>
      <c r="G20" s="459"/>
      <c r="H20" s="200">
        <f>G20</f>
        <v>0</v>
      </c>
      <c r="I20" s="200"/>
      <c r="J20" s="200"/>
      <c r="K20" s="421">
        <f>+F20-H20</f>
        <v>0</v>
      </c>
      <c r="L20" s="426" t="s">
        <v>6</v>
      </c>
      <c r="M20" s="455"/>
      <c r="N20" s="52">
        <v>0</v>
      </c>
      <c r="O20" s="230"/>
    </row>
    <row r="21" spans="1:20" ht="19.899999999999999" customHeight="1">
      <c r="A21" s="214">
        <v>2</v>
      </c>
      <c r="B21" s="215" t="s">
        <v>258</v>
      </c>
      <c r="C21" s="212">
        <f t="shared" ref="C21:H21" si="2">SUM(C23:C27)</f>
        <v>77321811</v>
      </c>
      <c r="D21" s="212">
        <f t="shared" si="2"/>
        <v>347986</v>
      </c>
      <c r="E21" s="212">
        <f t="shared" si="2"/>
        <v>78259879</v>
      </c>
      <c r="F21" s="437">
        <f t="shared" si="2"/>
        <v>54221218</v>
      </c>
      <c r="G21" s="458">
        <f t="shared" si="2"/>
        <v>6651709.4199999999</v>
      </c>
      <c r="H21" s="212">
        <f t="shared" si="2"/>
        <v>45156310.119999997</v>
      </c>
      <c r="I21" s="212">
        <f>SUM(I23:I27)+1</f>
        <v>41951231.780000001</v>
      </c>
      <c r="J21" s="212">
        <f>SUM(J23:J27)</f>
        <v>43489863.090000004</v>
      </c>
      <c r="K21" s="422">
        <f>+F21-H21</f>
        <v>9064907.8800000027</v>
      </c>
      <c r="L21" s="425">
        <f>+E21-H21</f>
        <v>33103568.880000003</v>
      </c>
      <c r="M21" s="452">
        <f>+H21/F21*100</f>
        <v>83.281622555952168</v>
      </c>
      <c r="N21" s="53">
        <v>38504629.090000004</v>
      </c>
      <c r="O21" s="230" t="s">
        <v>6</v>
      </c>
    </row>
    <row r="22" spans="1:20" ht="11.45" customHeight="1">
      <c r="A22" s="220"/>
      <c r="B22" s="216"/>
      <c r="C22" s="200" t="s">
        <v>6</v>
      </c>
      <c r="D22" s="200"/>
      <c r="E22" s="200"/>
      <c r="F22" s="438"/>
      <c r="G22" s="459"/>
      <c r="H22" s="200">
        <f>G22</f>
        <v>0</v>
      </c>
      <c r="I22" s="200"/>
      <c r="J22" s="200"/>
      <c r="K22" s="421">
        <f>+F22-H22</f>
        <v>0</v>
      </c>
      <c r="L22" s="426" t="s">
        <v>6</v>
      </c>
      <c r="M22" s="455" t="s">
        <v>6</v>
      </c>
      <c r="N22" s="52">
        <v>0</v>
      </c>
      <c r="O22" s="230"/>
    </row>
    <row r="23" spans="1:20" ht="14.45" customHeight="1">
      <c r="A23" s="221" t="s">
        <v>6</v>
      </c>
      <c r="B23" s="216" t="s">
        <v>138</v>
      </c>
      <c r="C23" s="200">
        <v>3099380</v>
      </c>
      <c r="D23" s="200">
        <v>-107180</v>
      </c>
      <c r="E23" s="200">
        <v>2921313</v>
      </c>
      <c r="F23" s="438">
        <v>2064026</v>
      </c>
      <c r="G23" s="459">
        <v>173569.62</v>
      </c>
      <c r="H23" s="200">
        <f>+N23+G23</f>
        <v>1237919.6499999999</v>
      </c>
      <c r="I23" s="200">
        <v>1169419.1399999999</v>
      </c>
      <c r="J23" s="200">
        <v>1187438.51</v>
      </c>
      <c r="K23" s="421">
        <f>+F23-H23</f>
        <v>826106.35000000009</v>
      </c>
      <c r="L23" s="426">
        <f>+E23-H23</f>
        <v>1683393.35</v>
      </c>
      <c r="M23" s="455">
        <f>+H23/F23*100</f>
        <v>59.975971717410538</v>
      </c>
      <c r="N23" s="52">
        <v>1064350.03</v>
      </c>
      <c r="O23" s="230" t="s">
        <v>6</v>
      </c>
      <c r="P23" s="1"/>
      <c r="T23">
        <f>+T18-T19</f>
        <v>0</v>
      </c>
    </row>
    <row r="24" spans="1:20" ht="11.45" customHeight="1">
      <c r="A24" s="221"/>
      <c r="B24" s="216"/>
      <c r="C24" s="200"/>
      <c r="D24" s="200"/>
      <c r="E24" s="200">
        <f>SUM(C24:D24)</f>
        <v>0</v>
      </c>
      <c r="F24" s="438" t="s">
        <v>6</v>
      </c>
      <c r="G24" s="459"/>
      <c r="H24" s="200">
        <f t="shared" ref="H24:H29" si="3">+N24+G24</f>
        <v>0</v>
      </c>
      <c r="I24" s="200"/>
      <c r="J24" s="200"/>
      <c r="K24" s="421" t="s">
        <v>6</v>
      </c>
      <c r="L24" s="426">
        <f>+E24-H24</f>
        <v>0</v>
      </c>
      <c r="M24" s="455"/>
      <c r="N24" s="52">
        <v>0</v>
      </c>
      <c r="O24" s="230"/>
    </row>
    <row r="25" spans="1:20" ht="15" customHeight="1">
      <c r="A25" s="221" t="s">
        <v>6</v>
      </c>
      <c r="B25" s="216" t="s">
        <v>139</v>
      </c>
      <c r="C25" s="200">
        <v>40437702</v>
      </c>
      <c r="D25" s="200">
        <v>123688</v>
      </c>
      <c r="E25" s="200">
        <v>40774169</v>
      </c>
      <c r="F25" s="438">
        <v>28194264</v>
      </c>
      <c r="G25" s="459">
        <v>3396763.36</v>
      </c>
      <c r="H25" s="200">
        <f>+N25+G25</f>
        <v>23446075.039999999</v>
      </c>
      <c r="I25" s="200">
        <v>21792735.809999999</v>
      </c>
      <c r="J25" s="217">
        <v>22434815.129999999</v>
      </c>
      <c r="K25" s="421">
        <f>+F25-H25</f>
        <v>4748188.9600000009</v>
      </c>
      <c r="L25" s="426">
        <f>+E25-H25</f>
        <v>17328093.960000001</v>
      </c>
      <c r="M25" s="455">
        <f>+H25/F25*100</f>
        <v>83.159024970469162</v>
      </c>
      <c r="N25" s="52">
        <v>20049311.68</v>
      </c>
      <c r="O25" s="230"/>
      <c r="Q25" s="20"/>
    </row>
    <row r="26" spans="1:20" ht="12" customHeight="1">
      <c r="A26" s="221"/>
      <c r="B26" s="216"/>
      <c r="C26" s="200"/>
      <c r="D26" s="200"/>
      <c r="E26" s="200">
        <f>SUM(C26:D26)</f>
        <v>0</v>
      </c>
      <c r="F26" s="438"/>
      <c r="G26" s="459"/>
      <c r="H26" s="200">
        <f t="shared" si="3"/>
        <v>0</v>
      </c>
      <c r="I26" s="200"/>
      <c r="J26" s="200"/>
      <c r="K26" s="421">
        <f>+F26-H26</f>
        <v>0</v>
      </c>
      <c r="L26" s="426">
        <f>+E26-H26</f>
        <v>0</v>
      </c>
      <c r="M26" s="455"/>
      <c r="N26" s="52">
        <v>0</v>
      </c>
      <c r="O26" s="230"/>
    </row>
    <row r="27" spans="1:20" ht="17.45" customHeight="1">
      <c r="A27" s="221" t="s">
        <v>6</v>
      </c>
      <c r="B27" s="216" t="s">
        <v>140</v>
      </c>
      <c r="C27" s="200">
        <v>33784729</v>
      </c>
      <c r="D27" s="200">
        <v>331478</v>
      </c>
      <c r="E27" s="200">
        <v>34564397</v>
      </c>
      <c r="F27" s="438">
        <v>23962928</v>
      </c>
      <c r="G27" s="459">
        <v>3081376.44</v>
      </c>
      <c r="H27" s="200">
        <f>+N27+G27</f>
        <v>20472315.43</v>
      </c>
      <c r="I27" s="200">
        <v>18989075.829999998</v>
      </c>
      <c r="J27" s="200">
        <v>19867609.449999999</v>
      </c>
      <c r="K27" s="421">
        <f>+F27-H27</f>
        <v>3490612.5700000003</v>
      </c>
      <c r="L27" s="426">
        <f>+E27-H27</f>
        <v>14092081.57</v>
      </c>
      <c r="M27" s="455">
        <f>+H27/F27*100</f>
        <v>85.433280231864813</v>
      </c>
      <c r="N27" s="52">
        <f>17390967.38-28.39</f>
        <v>17390938.989999998</v>
      </c>
      <c r="O27" s="230" t="s">
        <v>6</v>
      </c>
    </row>
    <row r="28" spans="1:20" ht="13.9" customHeight="1">
      <c r="A28" s="222"/>
      <c r="B28" s="216"/>
      <c r="C28" s="200"/>
      <c r="D28" s="200"/>
      <c r="E28" s="200"/>
      <c r="F28" s="438"/>
      <c r="G28" s="459"/>
      <c r="H28" s="200">
        <f>G28+N28</f>
        <v>0</v>
      </c>
      <c r="I28" s="200"/>
      <c r="J28" s="200"/>
      <c r="K28" s="421">
        <f>+F28-H28</f>
        <v>0</v>
      </c>
      <c r="L28" s="426" t="s">
        <v>6</v>
      </c>
      <c r="M28" s="455" t="s">
        <v>6</v>
      </c>
      <c r="N28" s="52">
        <v>0</v>
      </c>
    </row>
    <row r="29" spans="1:20" ht="24.95" customHeight="1">
      <c r="A29" s="223" t="s">
        <v>121</v>
      </c>
      <c r="B29" s="215" t="s">
        <v>26</v>
      </c>
      <c r="C29" s="212">
        <v>20610955</v>
      </c>
      <c r="D29" s="212">
        <v>-1720489</v>
      </c>
      <c r="E29" s="212">
        <v>18664161</v>
      </c>
      <c r="F29" s="437">
        <v>12342380</v>
      </c>
      <c r="G29" s="458">
        <v>1051655.56</v>
      </c>
      <c r="H29" s="212">
        <f t="shared" si="3"/>
        <v>6971091.8800000008</v>
      </c>
      <c r="I29" s="212">
        <v>6486516.1699999999</v>
      </c>
      <c r="J29" s="212">
        <v>6701907.9400000004</v>
      </c>
      <c r="K29" s="422">
        <f>+F29-H29</f>
        <v>5371288.1199999992</v>
      </c>
      <c r="L29" s="425">
        <f>+E29-H29</f>
        <v>11693069.119999999</v>
      </c>
      <c r="M29" s="452">
        <f>+H29/F29*100</f>
        <v>56.480937064002248</v>
      </c>
      <c r="N29" s="53">
        <f>5919648.48-212.16</f>
        <v>5919436.3200000003</v>
      </c>
      <c r="O29" t="s">
        <v>6</v>
      </c>
    </row>
    <row r="30" spans="1:20" ht="6" customHeight="1" thickBot="1">
      <c r="A30" s="224"/>
      <c r="B30" s="225"/>
      <c r="C30" s="226"/>
      <c r="D30" s="226"/>
      <c r="E30" s="226" t="s">
        <v>6</v>
      </c>
      <c r="F30" s="227"/>
      <c r="G30" s="226"/>
      <c r="H30" s="432" t="s">
        <v>6</v>
      </c>
      <c r="I30" s="226"/>
      <c r="J30" s="226"/>
      <c r="K30" s="226"/>
      <c r="L30" s="226" t="s">
        <v>6</v>
      </c>
      <c r="M30" s="228" t="s">
        <v>6</v>
      </c>
      <c r="N30" t="s">
        <v>6</v>
      </c>
    </row>
    <row r="31" spans="1:20" ht="24.95" customHeight="1" thickTop="1">
      <c r="A31" s="528" t="s">
        <v>194</v>
      </c>
      <c r="B31" s="528"/>
      <c r="C31" s="528"/>
      <c r="D31" s="229"/>
      <c r="E31" s="229"/>
      <c r="F31" s="229"/>
      <c r="G31" s="229"/>
      <c r="H31" s="229" t="s">
        <v>6</v>
      </c>
      <c r="I31" s="229"/>
      <c r="J31" s="229"/>
      <c r="K31" s="229"/>
      <c r="L31" s="229" t="s">
        <v>6</v>
      </c>
      <c r="M31"/>
    </row>
    <row r="32" spans="1:20" ht="24.95" customHeight="1">
      <c r="A32" s="8"/>
      <c r="C32" s="9"/>
      <c r="D32" s="9"/>
      <c r="E32" s="9"/>
      <c r="F32" s="9"/>
      <c r="G32" s="9"/>
      <c r="H32" s="10"/>
      <c r="I32" s="10"/>
      <c r="J32" s="10"/>
      <c r="K32" s="10"/>
      <c r="L32" s="11"/>
    </row>
    <row r="36" spans="13:15">
      <c r="O36" t="s">
        <v>6</v>
      </c>
    </row>
    <row r="38" spans="13:15">
      <c r="M38" s="7" t="s">
        <v>6</v>
      </c>
    </row>
  </sheetData>
  <mergeCells count="10">
    <mergeCell ref="A31:C31"/>
    <mergeCell ref="A1:M1"/>
    <mergeCell ref="A2:M2"/>
    <mergeCell ref="A6:A7"/>
    <mergeCell ref="B6:B7"/>
    <mergeCell ref="M6:M7"/>
    <mergeCell ref="A3:M3"/>
    <mergeCell ref="A4:M4"/>
    <mergeCell ref="C6:J6"/>
    <mergeCell ref="K6:K7"/>
  </mergeCells>
  <phoneticPr fontId="2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horizontalDpi="4294967294" verticalDpi="4294967294" r:id="rId1"/>
  <headerFooter alignWithMargins="0">
    <oddFooter xml:space="preserve">&amp;R&amp;"Times New Roman,Normal"&amp;12 </oddFooter>
  </headerFooter>
  <ignoredErrors>
    <ignoredError sqref="H11:H29 I9" formula="1"/>
    <ignoredError sqref="A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Q55"/>
  <sheetViews>
    <sheetView showGridLines="0" showZeros="0" topLeftCell="A3" workbookViewId="0">
      <selection activeCell="P33" sqref="P33"/>
    </sheetView>
  </sheetViews>
  <sheetFormatPr baseColWidth="10" defaultRowHeight="12.75"/>
  <cols>
    <col min="1" max="1" width="84.5703125" customWidth="1"/>
    <col min="2" max="3" width="11.42578125" customWidth="1"/>
    <col min="4" max="4" width="12.140625" customWidth="1"/>
    <col min="5" max="5" width="12" customWidth="1"/>
    <col min="6" max="6" width="12.28515625" hidden="1" customWidth="1"/>
    <col min="7" max="7" width="12" customWidth="1"/>
    <col min="8" max="8" width="11.7109375" hidden="1" customWidth="1"/>
    <col min="9" max="9" width="0.140625" hidden="1" customWidth="1"/>
    <col min="10" max="10" width="11.5703125" customWidth="1"/>
    <col min="11" max="11" width="11.140625" customWidth="1"/>
    <col min="12" max="12" width="10.7109375" customWidth="1"/>
    <col min="13" max="13" width="10.42578125" customWidth="1"/>
    <col min="14" max="14" width="13.42578125" hidden="1" customWidth="1"/>
    <col min="15" max="15" width="10.140625" customWidth="1"/>
    <col min="16" max="16" width="10.5703125" customWidth="1"/>
    <col min="17" max="17" width="16.7109375" hidden="1" customWidth="1"/>
  </cols>
  <sheetData>
    <row r="2" spans="1:17" ht="15.75">
      <c r="A2" s="473" t="s">
        <v>371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</row>
    <row r="3" spans="1:17" ht="15.75">
      <c r="A3" s="473" t="s">
        <v>151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7" ht="15">
      <c r="A4" s="472" t="s">
        <v>286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 ht="15">
      <c r="A5" s="472" t="s">
        <v>365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</row>
    <row r="6" spans="1:17" ht="15.75">
      <c r="A6" s="351" t="s">
        <v>6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2"/>
      <c r="N6" s="352"/>
    </row>
    <row r="7" spans="1:17" ht="20.45" customHeight="1">
      <c r="A7" s="546" t="s">
        <v>287</v>
      </c>
      <c r="B7" s="538" t="s">
        <v>24</v>
      </c>
      <c r="C7" s="539"/>
      <c r="D7" s="539"/>
      <c r="E7" s="540"/>
      <c r="F7" s="539"/>
      <c r="G7" s="540"/>
      <c r="H7" s="539"/>
      <c r="I7" s="539"/>
      <c r="J7" s="540"/>
      <c r="K7" s="540"/>
      <c r="L7" s="541"/>
      <c r="M7" s="542" t="s">
        <v>244</v>
      </c>
      <c r="N7" s="544" t="s">
        <v>359</v>
      </c>
      <c r="O7" s="516" t="s">
        <v>337</v>
      </c>
    </row>
    <row r="8" spans="1:17" ht="20.45" customHeight="1">
      <c r="A8" s="547"/>
      <c r="B8" s="353" t="s">
        <v>58</v>
      </c>
      <c r="C8" s="430" t="s">
        <v>373</v>
      </c>
      <c r="D8" s="430" t="s">
        <v>372</v>
      </c>
      <c r="E8" s="354" t="s">
        <v>10</v>
      </c>
      <c r="F8" s="354" t="s">
        <v>360</v>
      </c>
      <c r="G8" s="430" t="s">
        <v>2</v>
      </c>
      <c r="H8" s="430" t="s">
        <v>361</v>
      </c>
      <c r="I8" s="430" t="s">
        <v>28</v>
      </c>
      <c r="J8" s="353" t="s">
        <v>335</v>
      </c>
      <c r="K8" s="353" t="s">
        <v>285</v>
      </c>
      <c r="L8" s="353" t="s">
        <v>143</v>
      </c>
      <c r="M8" s="543"/>
      <c r="N8" s="545"/>
      <c r="O8" s="517"/>
    </row>
    <row r="9" spans="1:17" ht="19.5" customHeight="1">
      <c r="A9" s="355" t="s">
        <v>288</v>
      </c>
      <c r="B9" s="326">
        <f>SUM(B10:B18)</f>
        <v>28748221</v>
      </c>
      <c r="C9" s="428"/>
      <c r="D9" s="440">
        <f t="shared" ref="D9" si="0">SUM(D10:D18)</f>
        <v>20826972</v>
      </c>
      <c r="E9" s="326">
        <f t="shared" ref="E9:N9" si="1">SUM(E10:E18)</f>
        <v>2582973</v>
      </c>
      <c r="F9" s="447" t="e">
        <f t="shared" si="1"/>
        <v>#REF!</v>
      </c>
      <c r="G9" s="356">
        <f t="shared" si="1"/>
        <v>2582973</v>
      </c>
      <c r="H9" s="356" t="e">
        <f>SUM(H10:H18)</f>
        <v>#REF!</v>
      </c>
      <c r="I9" s="428">
        <f>SUM(I10:I18)</f>
        <v>1036302</v>
      </c>
      <c r="J9" s="326">
        <f>+I9+Q9</f>
        <v>2584065.44</v>
      </c>
      <c r="K9" s="326">
        <f t="shared" si="1"/>
        <v>2584066</v>
      </c>
      <c r="L9" s="326">
        <f>SUM(L10:L18)</f>
        <v>2584066</v>
      </c>
      <c r="M9" s="326">
        <f>SUM(M10:M18)</f>
        <v>-1092.4400000001333</v>
      </c>
      <c r="N9" s="443" t="e">
        <f t="shared" si="1"/>
        <v>#REF!</v>
      </c>
      <c r="O9" s="357">
        <f>+J9*100/G9</f>
        <v>100.04229389931679</v>
      </c>
      <c r="Q9">
        <f>SUM(Q10:Q18)</f>
        <v>1547763.44</v>
      </c>
    </row>
    <row r="10" spans="1:17" ht="18.600000000000001" customHeight="1">
      <c r="A10" s="358" t="s">
        <v>289</v>
      </c>
      <c r="B10" s="359">
        <v>4639648</v>
      </c>
      <c r="C10" s="446"/>
      <c r="D10" s="441">
        <v>5942902</v>
      </c>
      <c r="E10" s="360">
        <v>1296566</v>
      </c>
      <c r="F10" s="375" t="e">
        <f>+E10-#REF!</f>
        <v>#REF!</v>
      </c>
      <c r="G10" s="361">
        <v>1296566</v>
      </c>
      <c r="H10" s="361" t="e">
        <f>+G10-#REF!</f>
        <v>#REF!</v>
      </c>
      <c r="I10" s="361">
        <f>1296566-518329</f>
        <v>778237</v>
      </c>
      <c r="J10" s="362">
        <f>+I10+Q10</f>
        <v>1296565.53</v>
      </c>
      <c r="K10" s="362">
        <v>1296566</v>
      </c>
      <c r="L10" s="362">
        <v>1296566</v>
      </c>
      <c r="M10" s="362">
        <f t="shared" ref="M10:M18" si="2">+G10-J10</f>
        <v>0.46999999997206032</v>
      </c>
      <c r="N10" s="444" t="e">
        <f>+E10-#REF!-J10</f>
        <v>#REF!</v>
      </c>
      <c r="O10" s="363">
        <f>+J10*100/G10</f>
        <v>99.999963750399132</v>
      </c>
      <c r="Q10">
        <v>518328.52999999997</v>
      </c>
    </row>
    <row r="11" spans="1:17" ht="18.600000000000001" customHeight="1">
      <c r="A11" s="358" t="s">
        <v>290</v>
      </c>
      <c r="B11" s="364">
        <v>352260</v>
      </c>
      <c r="C11" s="446"/>
      <c r="D11" s="441">
        <v>333532</v>
      </c>
      <c r="E11" s="360">
        <v>30728</v>
      </c>
      <c r="F11" s="375" t="e">
        <f>+E11-#REF!</f>
        <v>#REF!</v>
      </c>
      <c r="G11" s="361">
        <v>30728</v>
      </c>
      <c r="H11" s="361" t="e">
        <f>+G11-#REF!</f>
        <v>#REF!</v>
      </c>
      <c r="I11" s="361">
        <v>8844</v>
      </c>
      <c r="J11" s="362">
        <f t="shared" ref="J11:J18" si="3">+I11+Q11</f>
        <v>31757.17</v>
      </c>
      <c r="K11" s="362">
        <v>31757</v>
      </c>
      <c r="L11" s="362">
        <v>31757</v>
      </c>
      <c r="M11" s="362">
        <f t="shared" si="2"/>
        <v>-1029.1699999999983</v>
      </c>
      <c r="N11" s="444" t="e">
        <f>+E11-#REF!-J11</f>
        <v>#REF!</v>
      </c>
      <c r="O11" s="363">
        <f>+J11*100/G11</f>
        <v>103.3492905493361</v>
      </c>
      <c r="Q11">
        <v>22913.17</v>
      </c>
    </row>
    <row r="12" spans="1:17" ht="23.45" customHeight="1">
      <c r="A12" s="365" t="s">
        <v>291</v>
      </c>
      <c r="B12" s="359">
        <v>1104990</v>
      </c>
      <c r="C12" s="446"/>
      <c r="D12" s="441">
        <v>2375547</v>
      </c>
      <c r="E12" s="366">
        <v>606940</v>
      </c>
      <c r="F12" s="375" t="e">
        <f>+E12-#REF!</f>
        <v>#REF!</v>
      </c>
      <c r="G12" s="361">
        <v>606940</v>
      </c>
      <c r="H12" s="361" t="e">
        <f>+G12-#REF!</f>
        <v>#REF!</v>
      </c>
      <c r="I12" s="361">
        <v>248041</v>
      </c>
      <c r="J12" s="362">
        <f t="shared" si="3"/>
        <v>606939.59000000008</v>
      </c>
      <c r="K12" s="362">
        <v>606940</v>
      </c>
      <c r="L12" s="362">
        <v>606940</v>
      </c>
      <c r="M12" s="362">
        <f t="shared" si="2"/>
        <v>0.40999999991618097</v>
      </c>
      <c r="N12" s="444" t="e">
        <f>+E12-#REF!-J12</f>
        <v>#REF!</v>
      </c>
      <c r="O12" s="363">
        <f>+J12*100/G12</f>
        <v>99.999932448017944</v>
      </c>
      <c r="Q12">
        <v>358898.59</v>
      </c>
    </row>
    <row r="13" spans="1:17" ht="16.149999999999999" customHeight="1">
      <c r="A13" s="367" t="s">
        <v>292</v>
      </c>
      <c r="B13" s="359">
        <v>38379</v>
      </c>
      <c r="C13" s="446"/>
      <c r="D13" s="460">
        <v>30702</v>
      </c>
      <c r="E13" s="366">
        <v>0</v>
      </c>
      <c r="F13" s="375" t="e">
        <f>+E13-#REF!</f>
        <v>#REF!</v>
      </c>
      <c r="G13" s="368">
        <v>0</v>
      </c>
      <c r="H13" s="361" t="e">
        <f>+G13-#REF!</f>
        <v>#REF!</v>
      </c>
      <c r="I13" s="361">
        <v>0</v>
      </c>
      <c r="J13" s="362">
        <f t="shared" si="3"/>
        <v>0</v>
      </c>
      <c r="K13" s="369">
        <v>0</v>
      </c>
      <c r="L13" s="369"/>
      <c r="M13" s="362">
        <f t="shared" si="2"/>
        <v>0</v>
      </c>
      <c r="N13" s="444" t="e">
        <f>+E13-#REF!-J13</f>
        <v>#REF!</v>
      </c>
      <c r="O13" s="363" t="s">
        <v>6</v>
      </c>
      <c r="Q13">
        <v>0</v>
      </c>
    </row>
    <row r="14" spans="1:17" ht="18" customHeight="1">
      <c r="A14" s="367" t="s">
        <v>293</v>
      </c>
      <c r="B14" s="359">
        <v>42953</v>
      </c>
      <c r="C14" s="446"/>
      <c r="D14" s="460">
        <v>34361</v>
      </c>
      <c r="E14" s="366">
        <v>0</v>
      </c>
      <c r="F14" s="375" t="e">
        <f>+E14-#REF!</f>
        <v>#REF!</v>
      </c>
      <c r="G14" s="368">
        <v>0</v>
      </c>
      <c r="H14" s="361" t="e">
        <f>+G14-#REF!</f>
        <v>#REF!</v>
      </c>
      <c r="I14" s="361">
        <v>0</v>
      </c>
      <c r="J14" s="362">
        <f t="shared" si="3"/>
        <v>0</v>
      </c>
      <c r="K14" s="369"/>
      <c r="L14" s="369"/>
      <c r="M14" s="362">
        <f t="shared" si="2"/>
        <v>0</v>
      </c>
      <c r="N14" s="444" t="e">
        <f>+E14-#REF!-J14</f>
        <v>#REF!</v>
      </c>
      <c r="O14" s="363" t="s">
        <v>6</v>
      </c>
      <c r="Q14">
        <v>0</v>
      </c>
    </row>
    <row r="15" spans="1:17" ht="17.45" customHeight="1">
      <c r="A15" s="367" t="s">
        <v>294</v>
      </c>
      <c r="B15" s="359">
        <v>2025000</v>
      </c>
      <c r="C15" s="446"/>
      <c r="D15" s="460">
        <v>990000</v>
      </c>
      <c r="E15" s="366">
        <v>0</v>
      </c>
      <c r="F15" s="375" t="e">
        <f>+E15-#REF!</f>
        <v>#REF!</v>
      </c>
      <c r="G15" s="368">
        <v>0</v>
      </c>
      <c r="H15" s="361" t="e">
        <f>+G15-#REF!</f>
        <v>#REF!</v>
      </c>
      <c r="I15" s="361">
        <v>0</v>
      </c>
      <c r="J15" s="362">
        <f t="shared" si="3"/>
        <v>0</v>
      </c>
      <c r="K15" s="369"/>
      <c r="L15" s="369"/>
      <c r="M15" s="362">
        <f t="shared" si="2"/>
        <v>0</v>
      </c>
      <c r="N15" s="444" t="e">
        <f>+E15-#REF!-J15</f>
        <v>#REF!</v>
      </c>
      <c r="O15" s="363" t="s">
        <v>6</v>
      </c>
      <c r="Q15">
        <v>0</v>
      </c>
    </row>
    <row r="16" spans="1:17" ht="12.6" customHeight="1">
      <c r="A16" s="367" t="s">
        <v>295</v>
      </c>
      <c r="B16" s="359">
        <v>2795500</v>
      </c>
      <c r="C16" s="446"/>
      <c r="D16" s="460">
        <v>656787</v>
      </c>
      <c r="E16" s="366">
        <v>0</v>
      </c>
      <c r="F16" s="375" t="e">
        <f>+E16-#REF!</f>
        <v>#REF!</v>
      </c>
      <c r="G16" s="368">
        <v>0</v>
      </c>
      <c r="H16" s="361" t="e">
        <f>+G16-#REF!</f>
        <v>#REF!</v>
      </c>
      <c r="I16" s="361">
        <v>0</v>
      </c>
      <c r="J16" s="362">
        <f t="shared" si="3"/>
        <v>0</v>
      </c>
      <c r="K16" s="369"/>
      <c r="L16" s="369"/>
      <c r="M16" s="362">
        <f t="shared" si="2"/>
        <v>0</v>
      </c>
      <c r="N16" s="444" t="e">
        <f>+E16-#REF!-J16</f>
        <v>#REF!</v>
      </c>
      <c r="O16" s="363" t="s">
        <v>6</v>
      </c>
      <c r="Q16">
        <v>0</v>
      </c>
    </row>
    <row r="17" spans="1:17" ht="15" customHeight="1">
      <c r="A17" s="367" t="s">
        <v>296</v>
      </c>
      <c r="B17" s="359">
        <v>148815</v>
      </c>
      <c r="C17" s="446"/>
      <c r="D17" s="460">
        <v>338909</v>
      </c>
      <c r="E17" s="359">
        <v>0</v>
      </c>
      <c r="F17" s="446" t="e">
        <f>+E17-#REF!</f>
        <v>#REF!</v>
      </c>
      <c r="G17" s="369">
        <v>0</v>
      </c>
      <c r="H17" s="361" t="e">
        <f>+G17-#REF!</f>
        <v>#REF!</v>
      </c>
      <c r="I17" s="361">
        <v>0</v>
      </c>
      <c r="J17" s="362">
        <f t="shared" si="3"/>
        <v>64</v>
      </c>
      <c r="K17" s="369">
        <v>64</v>
      </c>
      <c r="L17" s="369">
        <v>64</v>
      </c>
      <c r="M17" s="362">
        <f t="shared" si="2"/>
        <v>-64</v>
      </c>
      <c r="N17" s="444" t="e">
        <f>+E17-#REF!-J17</f>
        <v>#REF!</v>
      </c>
      <c r="O17" s="363" t="s">
        <v>6</v>
      </c>
      <c r="Q17">
        <v>64</v>
      </c>
    </row>
    <row r="18" spans="1:17">
      <c r="A18" s="358" t="s">
        <v>297</v>
      </c>
      <c r="B18" s="359">
        <v>17600676</v>
      </c>
      <c r="C18" s="446"/>
      <c r="D18" s="460">
        <v>10124232</v>
      </c>
      <c r="E18" s="359">
        <v>648739</v>
      </c>
      <c r="F18" s="446" t="e">
        <f>+E18-#REF!</f>
        <v>#REF!</v>
      </c>
      <c r="G18" s="369">
        <v>648739</v>
      </c>
      <c r="H18" s="361" t="e">
        <f>+G18-#REF!</f>
        <v>#REF!</v>
      </c>
      <c r="I18" s="361">
        <v>1180</v>
      </c>
      <c r="J18" s="362">
        <f t="shared" si="3"/>
        <v>648739.15</v>
      </c>
      <c r="K18" s="369">
        <v>648739</v>
      </c>
      <c r="L18" s="369">
        <v>648739</v>
      </c>
      <c r="M18" s="362">
        <f t="shared" si="2"/>
        <v>-0.15000000002328306</v>
      </c>
      <c r="N18" s="444" t="e">
        <f>+E18-#REF!-J18</f>
        <v>#REF!</v>
      </c>
      <c r="O18" s="363">
        <f t="shared" ref="O18:O29" si="4">+J18*100/G18</f>
        <v>100.00002312177934</v>
      </c>
      <c r="Q18">
        <v>647559.15</v>
      </c>
    </row>
    <row r="19" spans="1:17" ht="18" customHeight="1">
      <c r="A19" s="370" t="s">
        <v>298</v>
      </c>
      <c r="B19" s="371">
        <f t="shared" ref="B19:N19" si="5">SUM(B20:B40)</f>
        <v>25866664</v>
      </c>
      <c r="C19" s="463"/>
      <c r="D19" s="442">
        <f>SUM(D20:D40)+1</f>
        <v>25526485</v>
      </c>
      <c r="E19" s="371">
        <f>SUM(E20:E40)+-1</f>
        <v>6336492</v>
      </c>
      <c r="F19" s="371" t="e">
        <f>SUM(F20:F40)</f>
        <v>#REF!</v>
      </c>
      <c r="G19" s="371">
        <f>SUM(G20:G40)-1</f>
        <v>6336492</v>
      </c>
      <c r="H19" s="371" t="e">
        <f t="shared" si="5"/>
        <v>#REF!</v>
      </c>
      <c r="I19" s="371">
        <f>SUM(I20:I40)</f>
        <v>683105.23</v>
      </c>
      <c r="J19" s="371">
        <f>SUM(J20:J40)</f>
        <v>6416907.1900000013</v>
      </c>
      <c r="K19" s="371">
        <f>SUM(K20:K40)</f>
        <v>3584885.1500000004</v>
      </c>
      <c r="L19" s="371">
        <f t="shared" si="5"/>
        <v>2585770.8800000004</v>
      </c>
      <c r="M19" s="371">
        <f>SUM(M20:M40)-1</f>
        <v>-80415.190000000672</v>
      </c>
      <c r="N19" s="442" t="e">
        <f t="shared" si="5"/>
        <v>#REF!</v>
      </c>
      <c r="O19" s="357">
        <f t="shared" si="4"/>
        <v>101.26908058907044</v>
      </c>
      <c r="P19" s="1"/>
      <c r="Q19">
        <f>SUM(Q20:Q40)</f>
        <v>5733801.9600000018</v>
      </c>
    </row>
    <row r="20" spans="1:17" ht="16.899999999999999" customHeight="1">
      <c r="A20" s="365" t="s">
        <v>299</v>
      </c>
      <c r="B20" s="372">
        <v>196000</v>
      </c>
      <c r="C20" s="464"/>
      <c r="D20" s="441">
        <v>291260</v>
      </c>
      <c r="E20" s="372">
        <v>229920</v>
      </c>
      <c r="F20" s="446" t="e">
        <f>+E20-#REF!</f>
        <v>#REF!</v>
      </c>
      <c r="G20" s="362">
        <v>229920</v>
      </c>
      <c r="H20" s="361" t="e">
        <f>+G20-#REF!</f>
        <v>#REF!</v>
      </c>
      <c r="I20" s="361">
        <v>144.38000000000466</v>
      </c>
      <c r="J20" s="362">
        <f t="shared" ref="J20:J40" si="6">+I20+Q20</f>
        <v>229920</v>
      </c>
      <c r="K20" s="362">
        <v>222868.77</v>
      </c>
      <c r="L20" s="362">
        <v>220851.18</v>
      </c>
      <c r="M20" s="362" t="s">
        <v>6</v>
      </c>
      <c r="N20" s="444" t="e">
        <f>+E20-#REF!-J20</f>
        <v>#REF!</v>
      </c>
      <c r="O20" s="363">
        <f t="shared" si="4"/>
        <v>100</v>
      </c>
      <c r="Q20">
        <v>229775.62</v>
      </c>
    </row>
    <row r="21" spans="1:17" ht="16.149999999999999" customHeight="1">
      <c r="A21" s="365" t="s">
        <v>300</v>
      </c>
      <c r="B21" s="372">
        <v>16381823</v>
      </c>
      <c r="C21" s="464"/>
      <c r="D21" s="441">
        <v>16362743</v>
      </c>
      <c r="E21" s="372">
        <v>4192321</v>
      </c>
      <c r="F21" s="446" t="e">
        <f>+E21-#REF!</f>
        <v>#REF!</v>
      </c>
      <c r="G21" s="362">
        <v>4192321</v>
      </c>
      <c r="H21" s="361" t="e">
        <f>+G21-#REF!</f>
        <v>#REF!</v>
      </c>
      <c r="I21" s="361">
        <v>420576</v>
      </c>
      <c r="J21" s="362">
        <f>+I21+Q21</f>
        <v>4257279.6400000006</v>
      </c>
      <c r="K21" s="362">
        <v>2412969</v>
      </c>
      <c r="L21" s="362">
        <v>1602204.24</v>
      </c>
      <c r="M21" s="362">
        <f t="shared" ref="M21:M40" si="7">+G21-J21</f>
        <v>-64958.640000000596</v>
      </c>
      <c r="N21" s="444" t="e">
        <f>+E21-#REF!-J21</f>
        <v>#REF!</v>
      </c>
      <c r="O21" s="363">
        <f t="shared" si="4"/>
        <v>101.54946722829671</v>
      </c>
      <c r="Q21">
        <v>3836703.64</v>
      </c>
    </row>
    <row r="22" spans="1:17" ht="14.45" customHeight="1">
      <c r="A22" s="365" t="s">
        <v>301</v>
      </c>
      <c r="B22" s="372">
        <v>155763</v>
      </c>
      <c r="C22" s="464"/>
      <c r="D22" s="441">
        <v>182610</v>
      </c>
      <c r="E22" s="372">
        <v>71653</v>
      </c>
      <c r="F22" s="446" t="e">
        <f>+E22-#REF!</f>
        <v>#REF!</v>
      </c>
      <c r="G22" s="362">
        <v>71653</v>
      </c>
      <c r="H22" s="361" t="e">
        <f>+G22-#REF!</f>
        <v>#REF!</v>
      </c>
      <c r="I22" s="361">
        <v>5268</v>
      </c>
      <c r="J22" s="362">
        <f>+I22+Q22</f>
        <v>71652.52</v>
      </c>
      <c r="K22" s="362">
        <v>68257.02</v>
      </c>
      <c r="L22" s="362">
        <v>8142.86</v>
      </c>
      <c r="M22" s="362">
        <f t="shared" si="7"/>
        <v>0.47999999999592546</v>
      </c>
      <c r="N22" s="444" t="e">
        <f>+E22-#REF!-J22</f>
        <v>#REF!</v>
      </c>
      <c r="O22" s="363">
        <f t="shared" si="4"/>
        <v>99.999330104810682</v>
      </c>
      <c r="Q22">
        <v>66384.52</v>
      </c>
    </row>
    <row r="23" spans="1:17" ht="12.6" customHeight="1">
      <c r="A23" s="365" t="s">
        <v>302</v>
      </c>
      <c r="B23" s="372">
        <v>115314</v>
      </c>
      <c r="C23" s="464"/>
      <c r="D23" s="441">
        <v>113399</v>
      </c>
      <c r="E23" s="372">
        <v>1915</v>
      </c>
      <c r="F23" s="446" t="e">
        <f>+E23-#REF!</f>
        <v>#REF!</v>
      </c>
      <c r="G23" s="362">
        <v>1915</v>
      </c>
      <c r="H23" s="361" t="e">
        <f>+G23-#REF!</f>
        <v>#REF!</v>
      </c>
      <c r="I23" s="361">
        <v>0</v>
      </c>
      <c r="J23" s="362">
        <f t="shared" si="6"/>
        <v>1915.3</v>
      </c>
      <c r="K23" s="362">
        <v>1915</v>
      </c>
      <c r="L23" s="362">
        <v>1070</v>
      </c>
      <c r="M23" s="362">
        <f t="shared" si="7"/>
        <v>-0.29999999999995453</v>
      </c>
      <c r="N23" s="444" t="e">
        <f>+E23-#REF!-J23</f>
        <v>#REF!</v>
      </c>
      <c r="O23" s="363">
        <f t="shared" si="4"/>
        <v>100.01566579634465</v>
      </c>
      <c r="Q23">
        <v>1915.3</v>
      </c>
    </row>
    <row r="24" spans="1:17" ht="14.45" customHeight="1">
      <c r="A24" s="365" t="s">
        <v>303</v>
      </c>
      <c r="B24" s="372">
        <v>1000000</v>
      </c>
      <c r="C24" s="464"/>
      <c r="D24" s="441">
        <v>973403</v>
      </c>
      <c r="E24" s="372">
        <v>236597</v>
      </c>
      <c r="F24" s="446" t="e">
        <f>+E24-#REF!</f>
        <v>#REF!</v>
      </c>
      <c r="G24" s="362">
        <v>236597</v>
      </c>
      <c r="H24" s="361" t="e">
        <f>+G24-#REF!</f>
        <v>#REF!</v>
      </c>
      <c r="I24" s="361">
        <f>41343.5+23296</f>
        <v>64639.5</v>
      </c>
      <c r="J24" s="362">
        <f t="shared" si="6"/>
        <v>236597.32</v>
      </c>
      <c r="K24" s="362">
        <v>161682.68</v>
      </c>
      <c r="L24" s="362">
        <v>35856.199999999997</v>
      </c>
      <c r="M24" s="362">
        <f t="shared" si="7"/>
        <v>-0.32000000000698492</v>
      </c>
      <c r="N24" s="444" t="e">
        <f>+E24-#REF!-J24</f>
        <v>#REF!</v>
      </c>
      <c r="O24" s="363">
        <f t="shared" si="4"/>
        <v>100.00013525108095</v>
      </c>
      <c r="Q24">
        <v>171957.82</v>
      </c>
    </row>
    <row r="25" spans="1:17" ht="16.899999999999999" customHeight="1">
      <c r="A25" s="365" t="s">
        <v>304</v>
      </c>
      <c r="B25" s="372">
        <v>513000</v>
      </c>
      <c r="C25" s="464"/>
      <c r="D25" s="441">
        <v>803493</v>
      </c>
      <c r="E25" s="372">
        <v>146410</v>
      </c>
      <c r="F25" s="446" t="e">
        <f>+E25-#REF!</f>
        <v>#REF!</v>
      </c>
      <c r="G25" s="362">
        <v>146410</v>
      </c>
      <c r="H25" s="361" t="e">
        <f>+G25-#REF!</f>
        <v>#REF!</v>
      </c>
      <c r="I25" s="361">
        <v>15694.770000000004</v>
      </c>
      <c r="J25" s="362">
        <f t="shared" si="6"/>
        <v>146410</v>
      </c>
      <c r="K25" s="362">
        <v>715.58</v>
      </c>
      <c r="L25" s="362">
        <v>0</v>
      </c>
      <c r="M25" s="362">
        <f t="shared" si="7"/>
        <v>0</v>
      </c>
      <c r="N25" s="444" t="e">
        <f>+E25-#REF!-J25</f>
        <v>#REF!</v>
      </c>
      <c r="O25" s="363">
        <f t="shared" si="4"/>
        <v>100</v>
      </c>
      <c r="Q25">
        <v>130715.23</v>
      </c>
    </row>
    <row r="26" spans="1:17" ht="14.45" customHeight="1">
      <c r="A26" s="365" t="s">
        <v>305</v>
      </c>
      <c r="B26" s="372">
        <v>1000000</v>
      </c>
      <c r="C26" s="464"/>
      <c r="D26" s="441">
        <v>846797</v>
      </c>
      <c r="E26" s="372">
        <v>53203</v>
      </c>
      <c r="F26" s="446" t="e">
        <f>+E26-#REF!</f>
        <v>#REF!</v>
      </c>
      <c r="G26" s="362">
        <v>53203</v>
      </c>
      <c r="H26" s="361" t="e">
        <f>+G26-#REF!</f>
        <v>#REF!</v>
      </c>
      <c r="I26" s="361">
        <v>0</v>
      </c>
      <c r="J26" s="362">
        <f t="shared" si="6"/>
        <v>53202.54</v>
      </c>
      <c r="K26" s="362">
        <v>3210</v>
      </c>
      <c r="L26" s="362">
        <v>3210</v>
      </c>
      <c r="M26" s="362">
        <f t="shared" si="7"/>
        <v>0.45999999999912689</v>
      </c>
      <c r="N26" s="444" t="e">
        <f>+E26-#REF!-J26</f>
        <v>#REF!</v>
      </c>
      <c r="O26" s="363">
        <f t="shared" si="4"/>
        <v>99.999135387102228</v>
      </c>
      <c r="Q26">
        <v>53202.54</v>
      </c>
    </row>
    <row r="27" spans="1:17" ht="16.899999999999999" customHeight="1">
      <c r="A27" s="365" t="s">
        <v>306</v>
      </c>
      <c r="B27" s="372">
        <v>1275000</v>
      </c>
      <c r="C27" s="464"/>
      <c r="D27" s="441">
        <v>904803</v>
      </c>
      <c r="E27" s="372">
        <v>870669</v>
      </c>
      <c r="F27" s="446" t="e">
        <f>+E27-#REF!</f>
        <v>#REF!</v>
      </c>
      <c r="G27" s="362">
        <v>870669</v>
      </c>
      <c r="H27" s="361" t="e">
        <f>+G27-#REF!</f>
        <v>#REF!</v>
      </c>
      <c r="I27" s="361">
        <v>76790</v>
      </c>
      <c r="J27" s="362">
        <f>+I27+Q27</f>
        <v>872103.9</v>
      </c>
      <c r="K27" s="362">
        <v>433183.44</v>
      </c>
      <c r="L27" s="362">
        <v>479457.53</v>
      </c>
      <c r="M27" s="362">
        <f t="shared" si="7"/>
        <v>-1434.9000000000233</v>
      </c>
      <c r="N27" s="444" t="e">
        <f>+E27-#REF!-J27</f>
        <v>#REF!</v>
      </c>
      <c r="O27" s="363">
        <f t="shared" si="4"/>
        <v>100.16480430565461</v>
      </c>
      <c r="Q27">
        <v>795313.9</v>
      </c>
    </row>
    <row r="28" spans="1:17" ht="25.15" customHeight="1">
      <c r="A28" s="365" t="s">
        <v>307</v>
      </c>
      <c r="B28" s="372">
        <v>1372996</v>
      </c>
      <c r="C28" s="464"/>
      <c r="D28" s="441">
        <v>1291990</v>
      </c>
      <c r="E28" s="372">
        <v>159006</v>
      </c>
      <c r="F28" s="446" t="e">
        <f>+E28-#REF!</f>
        <v>#REF!</v>
      </c>
      <c r="G28" s="362">
        <v>159006</v>
      </c>
      <c r="H28" s="361" t="e">
        <f>+G28-#REF!</f>
        <v>#REF!</v>
      </c>
      <c r="I28" s="361">
        <v>14103</v>
      </c>
      <c r="J28" s="362">
        <f t="shared" si="6"/>
        <v>159125.95000000001</v>
      </c>
      <c r="K28" s="362">
        <v>104309.97</v>
      </c>
      <c r="L28" s="362">
        <v>104309.97</v>
      </c>
      <c r="M28" s="362">
        <f t="shared" si="7"/>
        <v>-119.95000000001164</v>
      </c>
      <c r="N28" s="444" t="e">
        <f>+E28-#REF!-J28</f>
        <v>#REF!</v>
      </c>
      <c r="O28" s="363">
        <f t="shared" si="4"/>
        <v>100.07543740487782</v>
      </c>
      <c r="Q28">
        <v>145022.95000000001</v>
      </c>
    </row>
    <row r="29" spans="1:17" ht="14.45" customHeight="1">
      <c r="A29" s="365" t="s">
        <v>308</v>
      </c>
      <c r="B29" s="372">
        <v>379970</v>
      </c>
      <c r="C29" s="464"/>
      <c r="D29" s="441">
        <v>328817</v>
      </c>
      <c r="E29" s="372">
        <v>1068</v>
      </c>
      <c r="F29" s="446" t="e">
        <f>+E29-#REF!</f>
        <v>#REF!</v>
      </c>
      <c r="G29" s="362">
        <v>1068</v>
      </c>
      <c r="H29" s="361" t="e">
        <f>+G29-#REF!</f>
        <v>#REF!</v>
      </c>
      <c r="I29" s="361">
        <v>4280</v>
      </c>
      <c r="J29" s="362">
        <f t="shared" si="6"/>
        <v>5348.16</v>
      </c>
      <c r="K29" s="362">
        <v>1068</v>
      </c>
      <c r="L29" s="362">
        <v>1068</v>
      </c>
      <c r="M29" s="362">
        <f t="shared" si="7"/>
        <v>-4280.16</v>
      </c>
      <c r="N29" s="444" t="e">
        <f>+E29-#REF!-J29</f>
        <v>#REF!</v>
      </c>
      <c r="O29" s="363">
        <f t="shared" si="4"/>
        <v>500.76404494382024</v>
      </c>
      <c r="Q29">
        <v>1068.1600000000001</v>
      </c>
    </row>
    <row r="30" spans="1:17" ht="15.6" customHeight="1">
      <c r="A30" s="365" t="s">
        <v>309</v>
      </c>
      <c r="B30" s="372">
        <v>47851</v>
      </c>
      <c r="C30" s="464"/>
      <c r="D30" s="441">
        <v>75671</v>
      </c>
      <c r="E30" s="372">
        <v>0</v>
      </c>
      <c r="F30" s="446" t="e">
        <f>+E30-#REF!</f>
        <v>#REF!</v>
      </c>
      <c r="G30" s="362">
        <v>0</v>
      </c>
      <c r="H30" s="361" t="e">
        <f>+G30-#REF!</f>
        <v>#REF!</v>
      </c>
      <c r="I30" s="361">
        <v>0</v>
      </c>
      <c r="J30" s="362">
        <f t="shared" si="6"/>
        <v>9567</v>
      </c>
      <c r="K30" s="362">
        <v>1068.1600000000001</v>
      </c>
      <c r="L30" s="362">
        <v>1068.1600000000001</v>
      </c>
      <c r="M30" s="362">
        <f t="shared" si="7"/>
        <v>-9567</v>
      </c>
      <c r="N30" s="444" t="e">
        <f>+E30-#REF!-J30</f>
        <v>#REF!</v>
      </c>
      <c r="O30" s="363" t="s">
        <v>6</v>
      </c>
      <c r="Q30">
        <v>9567</v>
      </c>
    </row>
    <row r="31" spans="1:17" ht="18" customHeight="1">
      <c r="A31" s="365" t="s">
        <v>310</v>
      </c>
      <c r="B31" s="372">
        <v>100000</v>
      </c>
      <c r="C31" s="464"/>
      <c r="D31" s="441">
        <v>86342</v>
      </c>
      <c r="E31" s="372">
        <v>16358</v>
      </c>
      <c r="F31" s="446" t="e">
        <f>+E31-#REF!</f>
        <v>#REF!</v>
      </c>
      <c r="G31" s="362">
        <v>16358</v>
      </c>
      <c r="H31" s="361" t="e">
        <f>+G31-#REF!</f>
        <v>#REF!</v>
      </c>
      <c r="I31" s="361">
        <v>0</v>
      </c>
      <c r="J31" s="362">
        <f t="shared" si="6"/>
        <v>16357.73</v>
      </c>
      <c r="K31" s="362">
        <v>16357.73</v>
      </c>
      <c r="L31" s="362">
        <v>16357.73</v>
      </c>
      <c r="M31" s="362">
        <f t="shared" si="7"/>
        <v>0.27000000000043656</v>
      </c>
      <c r="N31" s="444" t="e">
        <f>+E31-#REF!-J31</f>
        <v>#REF!</v>
      </c>
      <c r="O31" s="363">
        <f t="shared" ref="O31:O39" si="8">+J31*100/G31</f>
        <v>99.998349431470842</v>
      </c>
      <c r="Q31">
        <v>16357.73</v>
      </c>
    </row>
    <row r="32" spans="1:17" ht="20.45" customHeight="1">
      <c r="A32" s="365" t="s">
        <v>311</v>
      </c>
      <c r="B32" s="372">
        <v>750000</v>
      </c>
      <c r="C32" s="464"/>
      <c r="D32" s="441">
        <v>724316</v>
      </c>
      <c r="E32" s="372">
        <v>19753</v>
      </c>
      <c r="F32" s="446" t="e">
        <f>+E32-#REF!</f>
        <v>#REF!</v>
      </c>
      <c r="G32" s="362">
        <v>19753</v>
      </c>
      <c r="H32" s="361" t="e">
        <f>+G32-#REF!</f>
        <v>#REF!</v>
      </c>
      <c r="I32" s="361">
        <v>0</v>
      </c>
      <c r="J32" s="362">
        <f t="shared" si="6"/>
        <v>19753.269999999997</v>
      </c>
      <c r="K32" s="362">
        <v>9428</v>
      </c>
      <c r="L32" s="362">
        <v>17768.419999999998</v>
      </c>
      <c r="M32" s="362">
        <f t="shared" si="7"/>
        <v>-0.26999999999679858</v>
      </c>
      <c r="N32" s="444" t="e">
        <f>+E32-#REF!-J32</f>
        <v>#REF!</v>
      </c>
      <c r="O32" s="363">
        <f t="shared" si="8"/>
        <v>100.00136688098009</v>
      </c>
      <c r="Q32">
        <v>19753.269999999997</v>
      </c>
    </row>
    <row r="33" spans="1:17" ht="17.45" customHeight="1">
      <c r="A33" s="365" t="s">
        <v>312</v>
      </c>
      <c r="B33" s="372">
        <v>533372</v>
      </c>
      <c r="C33" s="464"/>
      <c r="D33" s="441">
        <v>513067</v>
      </c>
      <c r="E33" s="372">
        <v>75348</v>
      </c>
      <c r="F33" s="446" t="e">
        <f>+E33-#REF!</f>
        <v>#REF!</v>
      </c>
      <c r="G33" s="362">
        <v>75348</v>
      </c>
      <c r="H33" s="361" t="e">
        <f>+G33-#REF!</f>
        <v>#REF!</v>
      </c>
      <c r="I33" s="361">
        <v>1582</v>
      </c>
      <c r="J33" s="362">
        <f t="shared" si="6"/>
        <v>75347.59</v>
      </c>
      <c r="K33" s="362">
        <v>71207.649999999994</v>
      </c>
      <c r="L33" s="362">
        <v>72563.429999999993</v>
      </c>
      <c r="M33" s="362">
        <f t="shared" si="7"/>
        <v>0.41000000000349246</v>
      </c>
      <c r="N33" s="444" t="e">
        <f>+E33-#REF!-J33</f>
        <v>#REF!</v>
      </c>
      <c r="O33" s="363">
        <f t="shared" si="8"/>
        <v>99.999455858151507</v>
      </c>
      <c r="Q33">
        <v>73765.59</v>
      </c>
    </row>
    <row r="34" spans="1:17" ht="16.149999999999999" customHeight="1">
      <c r="A34" s="365" t="s">
        <v>313</v>
      </c>
      <c r="B34" s="372">
        <v>278782</v>
      </c>
      <c r="C34" s="464"/>
      <c r="D34" s="441">
        <v>273723</v>
      </c>
      <c r="E34" s="372">
        <v>5059</v>
      </c>
      <c r="F34" s="446" t="e">
        <f>+E34-#REF!</f>
        <v>#REF!</v>
      </c>
      <c r="G34" s="362">
        <v>5059</v>
      </c>
      <c r="H34" s="361" t="e">
        <f>+G34-#REF!</f>
        <v>#REF!</v>
      </c>
      <c r="I34" s="361">
        <v>0</v>
      </c>
      <c r="J34" s="362">
        <f t="shared" si="6"/>
        <v>5058.8</v>
      </c>
      <c r="K34" s="362">
        <v>5059</v>
      </c>
      <c r="L34" s="362">
        <v>5059</v>
      </c>
      <c r="M34" s="362">
        <f t="shared" si="7"/>
        <v>0.1999999999998181</v>
      </c>
      <c r="N34" s="444" t="e">
        <f>+E34-#REF!-J34</f>
        <v>#REF!</v>
      </c>
      <c r="O34" s="363">
        <f t="shared" si="8"/>
        <v>99.996046649535486</v>
      </c>
      <c r="Q34">
        <v>5058.8</v>
      </c>
    </row>
    <row r="35" spans="1:17" ht="26.45" customHeight="1">
      <c r="A35" s="365" t="s">
        <v>314</v>
      </c>
      <c r="B35" s="372">
        <v>873687</v>
      </c>
      <c r="C35" s="464"/>
      <c r="D35" s="441">
        <v>529463</v>
      </c>
      <c r="E35" s="372">
        <v>179019</v>
      </c>
      <c r="F35" s="446" t="e">
        <f>+E35-#REF!</f>
        <v>#REF!</v>
      </c>
      <c r="G35" s="362">
        <v>179019</v>
      </c>
      <c r="H35" s="361" t="e">
        <f>+G35-#REF!</f>
        <v>#REF!</v>
      </c>
      <c r="I35" s="361">
        <v>34591</v>
      </c>
      <c r="J35" s="362">
        <f t="shared" si="6"/>
        <v>179019.32</v>
      </c>
      <c r="K35" s="362">
        <v>12131.69</v>
      </c>
      <c r="L35" s="362">
        <v>11217.11</v>
      </c>
      <c r="M35" s="362">
        <f t="shared" si="7"/>
        <v>-0.32000000000698492</v>
      </c>
      <c r="N35" s="444" t="e">
        <f>+E35-#REF!-J35</f>
        <v>#REF!</v>
      </c>
      <c r="O35" s="363">
        <f t="shared" si="8"/>
        <v>100.00017875197605</v>
      </c>
      <c r="Q35">
        <v>144428.32</v>
      </c>
    </row>
    <row r="36" spans="1:17" ht="27" customHeight="1">
      <c r="A36" s="365" t="s">
        <v>315</v>
      </c>
      <c r="B36" s="372">
        <v>558027</v>
      </c>
      <c r="C36" s="464"/>
      <c r="D36" s="441">
        <v>731033</v>
      </c>
      <c r="E36" s="372">
        <v>3909</v>
      </c>
      <c r="F36" s="446" t="e">
        <f>+E36-#REF!</f>
        <v>#REF!</v>
      </c>
      <c r="G36" s="362">
        <v>3909</v>
      </c>
      <c r="H36" s="361" t="e">
        <f>+G36-#REF!</f>
        <v>#REF!</v>
      </c>
      <c r="I36" s="361">
        <v>0</v>
      </c>
      <c r="J36" s="362">
        <f t="shared" si="6"/>
        <v>3909.46</v>
      </c>
      <c r="K36" s="362">
        <v>3909.46</v>
      </c>
      <c r="L36" s="362">
        <v>3909.46</v>
      </c>
      <c r="M36" s="362">
        <f t="shared" si="7"/>
        <v>-0.46000000000003638</v>
      </c>
      <c r="N36" s="444" t="e">
        <f>+E36-#REF!-J36</f>
        <v>#REF!</v>
      </c>
      <c r="O36" s="363">
        <f t="shared" si="8"/>
        <v>100.01176771552826</v>
      </c>
      <c r="Q36">
        <v>3909.46</v>
      </c>
    </row>
    <row r="37" spans="1:17" ht="21" customHeight="1">
      <c r="A37" s="365" t="s">
        <v>316</v>
      </c>
      <c r="B37" s="372">
        <v>30174</v>
      </c>
      <c r="C37" s="464"/>
      <c r="D37" s="441">
        <v>29458</v>
      </c>
      <c r="E37" s="372">
        <v>716</v>
      </c>
      <c r="F37" s="446" t="e">
        <f>+E37-#REF!</f>
        <v>#REF!</v>
      </c>
      <c r="G37" s="362">
        <v>716</v>
      </c>
      <c r="H37" s="361" t="e">
        <f>+G37-#REF!</f>
        <v>#REF!</v>
      </c>
      <c r="I37" s="361">
        <v>0</v>
      </c>
      <c r="J37" s="362">
        <f t="shared" si="6"/>
        <v>715.99</v>
      </c>
      <c r="K37" s="362">
        <v>716</v>
      </c>
      <c r="L37" s="362">
        <v>715.99</v>
      </c>
      <c r="M37" s="362">
        <f t="shared" si="7"/>
        <v>9.9999999999909051E-3</v>
      </c>
      <c r="N37" s="444" t="e">
        <f>+E37-#REF!-J37</f>
        <v>#REF!</v>
      </c>
      <c r="O37" s="363">
        <f t="shared" si="8"/>
        <v>99.99860335195531</v>
      </c>
      <c r="Q37">
        <v>715.99</v>
      </c>
    </row>
    <row r="38" spans="1:17" ht="27.6" customHeight="1">
      <c r="A38" s="365" t="s">
        <v>317</v>
      </c>
      <c r="B38" s="372">
        <v>221793</v>
      </c>
      <c r="C38" s="464"/>
      <c r="D38" s="441">
        <v>339907</v>
      </c>
      <c r="E38" s="372">
        <v>27480</v>
      </c>
      <c r="F38" s="446" t="e">
        <f>+E38-#REF!</f>
        <v>#REF!</v>
      </c>
      <c r="G38" s="362">
        <v>27480</v>
      </c>
      <c r="H38" s="361" t="e">
        <f>+G38-#REF!</f>
        <v>#REF!</v>
      </c>
      <c r="I38" s="361">
        <v>26695.58</v>
      </c>
      <c r="J38" s="362">
        <f t="shared" si="6"/>
        <v>27480</v>
      </c>
      <c r="K38" s="362">
        <v>27480</v>
      </c>
      <c r="L38" s="362"/>
      <c r="M38" s="362">
        <f t="shared" si="7"/>
        <v>0</v>
      </c>
      <c r="N38" s="444" t="e">
        <f>+E38-#REF!-J38</f>
        <v>#REF!</v>
      </c>
      <c r="O38" s="363">
        <f t="shared" si="8"/>
        <v>100</v>
      </c>
      <c r="Q38">
        <v>784.42</v>
      </c>
    </row>
    <row r="39" spans="1:17" ht="21.6" customHeight="1">
      <c r="A39" s="365" t="s">
        <v>318</v>
      </c>
      <c r="B39" s="372">
        <v>36105</v>
      </c>
      <c r="C39" s="464"/>
      <c r="D39" s="441">
        <v>18428</v>
      </c>
      <c r="E39" s="372">
        <v>46089</v>
      </c>
      <c r="F39" s="446" t="e">
        <f>+E39-#REF!</f>
        <v>#REF!</v>
      </c>
      <c r="G39" s="362">
        <v>46089</v>
      </c>
      <c r="H39" s="361" t="e">
        <f>+G39-#REF!</f>
        <v>#REF!</v>
      </c>
      <c r="I39" s="361">
        <v>18741</v>
      </c>
      <c r="J39" s="362">
        <f t="shared" si="6"/>
        <v>46088.7</v>
      </c>
      <c r="K39" s="362">
        <v>27348</v>
      </c>
      <c r="L39" s="362">
        <v>941.6</v>
      </c>
      <c r="M39" s="362">
        <f t="shared" si="7"/>
        <v>0.30000000000291038</v>
      </c>
      <c r="N39" s="444" t="e">
        <f>+E39-#REF!-J39</f>
        <v>#REF!</v>
      </c>
      <c r="O39" s="363">
        <f t="shared" si="8"/>
        <v>99.999349085465084</v>
      </c>
      <c r="Q39">
        <v>27347.7</v>
      </c>
    </row>
    <row r="40" spans="1:17" ht="18" customHeight="1">
      <c r="A40" s="365" t="s">
        <v>319</v>
      </c>
      <c r="B40" s="372">
        <v>47007</v>
      </c>
      <c r="C40" s="464"/>
      <c r="D40" s="448">
        <v>105761</v>
      </c>
      <c r="E40" s="372">
        <v>0</v>
      </c>
      <c r="F40" s="446" t="e">
        <f>+E40-#REF!</f>
        <v>#REF!</v>
      </c>
      <c r="G40" s="362">
        <v>0</v>
      </c>
      <c r="H40" s="361" t="e">
        <f>+G40-#REF!</f>
        <v>#REF!</v>
      </c>
      <c r="I40" s="361">
        <v>0</v>
      </c>
      <c r="J40" s="362">
        <f t="shared" si="6"/>
        <v>54</v>
      </c>
      <c r="K40" s="362"/>
      <c r="L40" s="362"/>
      <c r="M40" s="362">
        <f t="shared" si="7"/>
        <v>-54</v>
      </c>
      <c r="N40" s="444" t="e">
        <f>+E40-#REF!-J40</f>
        <v>#REF!</v>
      </c>
      <c r="O40" s="363" t="s">
        <v>6</v>
      </c>
      <c r="Q40">
        <v>54</v>
      </c>
    </row>
    <row r="41" spans="1:17">
      <c r="A41" s="370" t="s">
        <v>320</v>
      </c>
      <c r="B41" s="326">
        <f t="shared" ref="B41:N41" si="9">SUM(B42:B51)</f>
        <v>21077280</v>
      </c>
      <c r="C41" s="447"/>
      <c r="D41" s="449">
        <f>SUM(D42:D51)</f>
        <v>14687448</v>
      </c>
      <c r="E41" s="326">
        <f>SUM(E42:E51)</f>
        <v>5731795</v>
      </c>
      <c r="F41" s="326" t="e">
        <f t="shared" si="9"/>
        <v>#REF!</v>
      </c>
      <c r="G41" s="326">
        <f>SUM(G42:G51)</f>
        <v>5731795</v>
      </c>
      <c r="H41" s="326" t="e">
        <f>SUM(H42:H51)</f>
        <v>#REF!</v>
      </c>
      <c r="I41" s="428">
        <f>SUM(I42:I51)</f>
        <v>528254.67000000004</v>
      </c>
      <c r="J41" s="326">
        <f t="shared" si="9"/>
        <v>3765384.1399999997</v>
      </c>
      <c r="K41" s="326">
        <f>SUM(K42:K51)</f>
        <v>2803029.18</v>
      </c>
      <c r="L41" s="326">
        <f>SUM(L42:L51)</f>
        <v>2757685.07</v>
      </c>
      <c r="M41" s="326">
        <f t="shared" si="9"/>
        <v>1966410.86</v>
      </c>
      <c r="N41" s="443" t="e">
        <f t="shared" si="9"/>
        <v>#REF!</v>
      </c>
      <c r="O41" s="357">
        <f>+J41*100/G41</f>
        <v>65.69293109750086</v>
      </c>
      <c r="P41" s="1"/>
      <c r="Q41">
        <v>3114497.44</v>
      </c>
    </row>
    <row r="42" spans="1:17">
      <c r="A42" s="373" t="s">
        <v>321</v>
      </c>
      <c r="B42" s="374">
        <v>200000</v>
      </c>
      <c r="C42" s="360"/>
      <c r="D42" s="448">
        <v>802577</v>
      </c>
      <c r="E42" s="374">
        <v>0</v>
      </c>
      <c r="F42" s="446" t="e">
        <f>+E42-#REF!</f>
        <v>#REF!</v>
      </c>
      <c r="G42" s="374">
        <v>0</v>
      </c>
      <c r="H42" s="361" t="e">
        <f>+G42-#REF!</f>
        <v>#REF!</v>
      </c>
      <c r="I42" s="361">
        <v>0</v>
      </c>
      <c r="J42" s="362">
        <f t="shared" ref="J42:J51" si="10">+I42+Q42</f>
        <v>120882</v>
      </c>
      <c r="K42" s="374"/>
      <c r="L42" s="374"/>
      <c r="M42" s="362">
        <f t="shared" ref="M42:M51" si="11">+G42-J42</f>
        <v>-120882</v>
      </c>
      <c r="N42" s="444" t="e">
        <f>+E42-#REF!-J42</f>
        <v>#REF!</v>
      </c>
      <c r="O42" s="363" t="s">
        <v>6</v>
      </c>
      <c r="Q42">
        <v>120882</v>
      </c>
    </row>
    <row r="43" spans="1:17">
      <c r="A43" s="373" t="s">
        <v>322</v>
      </c>
      <c r="B43" s="375">
        <v>779587</v>
      </c>
      <c r="C43" s="360"/>
      <c r="D43" s="448">
        <v>566538</v>
      </c>
      <c r="E43" s="375">
        <v>198049</v>
      </c>
      <c r="F43" s="446" t="e">
        <f>+E43-#REF!</f>
        <v>#REF!</v>
      </c>
      <c r="G43" s="375">
        <v>198049</v>
      </c>
      <c r="H43" s="361" t="e">
        <f>+G43-#REF!</f>
        <v>#REF!</v>
      </c>
      <c r="I43" s="361">
        <v>0</v>
      </c>
      <c r="J43" s="362">
        <f t="shared" si="10"/>
        <v>198049</v>
      </c>
      <c r="K43" s="451">
        <v>199048.97</v>
      </c>
      <c r="L43" s="375">
        <v>199048.97</v>
      </c>
      <c r="M43" s="362">
        <f t="shared" si="11"/>
        <v>0</v>
      </c>
      <c r="N43" s="444" t="e">
        <f>+E43-#REF!-J43</f>
        <v>#REF!</v>
      </c>
      <c r="O43" s="363">
        <f>+J43*100/G43</f>
        <v>100</v>
      </c>
      <c r="Q43">
        <v>198049</v>
      </c>
    </row>
    <row r="44" spans="1:17" ht="22.9" customHeight="1">
      <c r="A44" s="367" t="s">
        <v>323</v>
      </c>
      <c r="B44" s="375">
        <v>100000</v>
      </c>
      <c r="C44" s="360"/>
      <c r="D44" s="448"/>
      <c r="E44" s="375">
        <v>1471315</v>
      </c>
      <c r="F44" s="446" t="e">
        <f>+E44-#REF!</f>
        <v>#REF!</v>
      </c>
      <c r="G44" s="375">
        <v>1471315</v>
      </c>
      <c r="H44" s="361" t="e">
        <f>+G44-#REF!</f>
        <v>#REF!</v>
      </c>
      <c r="I44" s="361">
        <v>0</v>
      </c>
      <c r="J44" s="362">
        <f t="shared" si="10"/>
        <v>1471314.67</v>
      </c>
      <c r="K44" s="451">
        <v>1471314.67</v>
      </c>
      <c r="L44" s="375">
        <v>1471314.67</v>
      </c>
      <c r="M44" s="362">
        <f t="shared" si="11"/>
        <v>0.33000000007450581</v>
      </c>
      <c r="N44" s="444" t="e">
        <f>+E44-#REF!-J44</f>
        <v>#REF!</v>
      </c>
      <c r="O44" s="363">
        <f>+J44*100/G44</f>
        <v>99.999977571084372</v>
      </c>
      <c r="Q44">
        <v>1471314.67</v>
      </c>
    </row>
    <row r="45" spans="1:17" ht="14.45" customHeight="1">
      <c r="A45" s="367" t="s">
        <v>324</v>
      </c>
      <c r="B45" s="375">
        <v>2500000</v>
      </c>
      <c r="C45" s="360"/>
      <c r="D45" s="448">
        <v>200000</v>
      </c>
      <c r="E45" s="375">
        <v>2100000</v>
      </c>
      <c r="F45" s="446" t="e">
        <f>+E45-#REF!</f>
        <v>#REF!</v>
      </c>
      <c r="G45" s="375">
        <v>2100000</v>
      </c>
      <c r="H45" s="361" t="e">
        <f>+G45-#REF!</f>
        <v>#REF!</v>
      </c>
      <c r="I45" s="361">
        <v>0</v>
      </c>
      <c r="J45" s="362">
        <f t="shared" si="10"/>
        <v>0</v>
      </c>
      <c r="K45" s="451"/>
      <c r="L45" s="375"/>
      <c r="M45" s="362">
        <f t="shared" si="11"/>
        <v>2100000</v>
      </c>
      <c r="N45" s="444" t="e">
        <f>+E45-#REF!-J45</f>
        <v>#REF!</v>
      </c>
      <c r="O45" s="363">
        <f>+J45*100/G45</f>
        <v>0</v>
      </c>
      <c r="Q45">
        <v>0</v>
      </c>
    </row>
    <row r="46" spans="1:17" ht="16.149999999999999" customHeight="1">
      <c r="A46" s="367" t="s">
        <v>325</v>
      </c>
      <c r="B46" s="375">
        <v>776450</v>
      </c>
      <c r="C46" s="360"/>
      <c r="D46" s="448">
        <v>777290</v>
      </c>
      <c r="E46" s="375">
        <v>257160</v>
      </c>
      <c r="F46" s="446" t="e">
        <f>+E46-#REF!</f>
        <v>#REF!</v>
      </c>
      <c r="G46" s="375">
        <v>257160</v>
      </c>
      <c r="H46" s="361" t="e">
        <f>+G46-#REF!</f>
        <v>#REF!</v>
      </c>
      <c r="I46" s="361">
        <v>102345.67000000001</v>
      </c>
      <c r="J46" s="362">
        <f t="shared" si="10"/>
        <v>257160</v>
      </c>
      <c r="K46" s="451">
        <v>154814.32999999999</v>
      </c>
      <c r="L46" s="375">
        <v>154814.32999999999</v>
      </c>
      <c r="M46" s="362">
        <f t="shared" si="11"/>
        <v>0</v>
      </c>
      <c r="N46" s="444" t="e">
        <f>+E46-#REF!-J46</f>
        <v>#REF!</v>
      </c>
      <c r="O46" s="363">
        <f>+J46*100/G46</f>
        <v>100</v>
      </c>
      <c r="Q46">
        <v>154814.32999999999</v>
      </c>
    </row>
    <row r="47" spans="1:17" ht="13.15" customHeight="1">
      <c r="A47" s="367" t="s">
        <v>326</v>
      </c>
      <c r="B47" s="375">
        <v>76951</v>
      </c>
      <c r="C47" s="360"/>
      <c r="D47" s="448">
        <v>38475</v>
      </c>
      <c r="E47" s="375">
        <v>0</v>
      </c>
      <c r="F47" s="446" t="e">
        <f>+E47-#REF!</f>
        <v>#REF!</v>
      </c>
      <c r="G47" s="375">
        <v>0</v>
      </c>
      <c r="H47" s="361" t="e">
        <f>+G47-#REF!</f>
        <v>#REF!</v>
      </c>
      <c r="I47" s="361">
        <v>0</v>
      </c>
      <c r="J47" s="362">
        <f t="shared" si="10"/>
        <v>0</v>
      </c>
      <c r="K47" s="451"/>
      <c r="L47" s="375"/>
      <c r="M47" s="362">
        <f t="shared" si="11"/>
        <v>0</v>
      </c>
      <c r="N47" s="444" t="e">
        <f>+E47-#REF!-J47</f>
        <v>#REF!</v>
      </c>
      <c r="O47" s="363" t="s">
        <v>6</v>
      </c>
      <c r="Q47">
        <v>0</v>
      </c>
    </row>
    <row r="48" spans="1:17" ht="17.45" customHeight="1">
      <c r="A48" s="367" t="s">
        <v>327</v>
      </c>
      <c r="B48" s="375">
        <v>3466500</v>
      </c>
      <c r="C48" s="360"/>
      <c r="D48" s="448">
        <v>2769293</v>
      </c>
      <c r="E48" s="375">
        <v>42207</v>
      </c>
      <c r="F48" s="446" t="e">
        <f>+E48-#REF!</f>
        <v>#REF!</v>
      </c>
      <c r="G48" s="375">
        <v>42207</v>
      </c>
      <c r="H48" s="361" t="e">
        <f>+G48-#REF!</f>
        <v>#REF!</v>
      </c>
      <c r="I48" s="361">
        <v>0</v>
      </c>
      <c r="J48" s="362">
        <f t="shared" si="10"/>
        <v>42206.92</v>
      </c>
      <c r="K48" s="451">
        <v>9762.68</v>
      </c>
      <c r="L48" s="375">
        <v>6017.68</v>
      </c>
      <c r="M48" s="362">
        <f t="shared" si="11"/>
        <v>8.000000000174623E-2</v>
      </c>
      <c r="N48" s="444" t="e">
        <f>+E48-#REF!-J48</f>
        <v>#REF!</v>
      </c>
      <c r="O48" s="363">
        <f>+J48*100/G48</f>
        <v>99.9998104579809</v>
      </c>
      <c r="Q48">
        <v>42206.92</v>
      </c>
    </row>
    <row r="49" spans="1:17" ht="17.45" customHeight="1">
      <c r="A49" s="367" t="s">
        <v>328</v>
      </c>
      <c r="B49" s="375">
        <v>3000000</v>
      </c>
      <c r="C49" s="360"/>
      <c r="D49" s="448">
        <v>2598034</v>
      </c>
      <c r="E49" s="375">
        <v>485792</v>
      </c>
      <c r="F49" s="446" t="e">
        <f>+E49-#REF!</f>
        <v>#REF!</v>
      </c>
      <c r="G49" s="375">
        <v>485792</v>
      </c>
      <c r="H49" s="361" t="e">
        <f>+G49-#REF!</f>
        <v>#REF!</v>
      </c>
      <c r="I49" s="361">
        <v>72591</v>
      </c>
      <c r="J49" s="362">
        <f t="shared" si="10"/>
        <v>487037.30000000005</v>
      </c>
      <c r="K49" s="451">
        <v>263313.37</v>
      </c>
      <c r="L49" s="375">
        <v>223705.97</v>
      </c>
      <c r="M49" s="362">
        <f t="shared" si="11"/>
        <v>-1245.3000000000466</v>
      </c>
      <c r="N49" s="444" t="e">
        <f>+E49-#REF!-J49</f>
        <v>#REF!</v>
      </c>
      <c r="O49" s="363">
        <f>+J49*100/G49</f>
        <v>100.25634427903302</v>
      </c>
      <c r="Q49">
        <v>414446.30000000005</v>
      </c>
    </row>
    <row r="50" spans="1:17" ht="17.45" customHeight="1">
      <c r="A50" s="367" t="s">
        <v>329</v>
      </c>
      <c r="B50" s="375">
        <v>9327792</v>
      </c>
      <c r="C50" s="360"/>
      <c r="D50" s="448">
        <v>6135241</v>
      </c>
      <c r="E50" s="375">
        <v>1177272</v>
      </c>
      <c r="F50" s="446" t="e">
        <f>+E50-#REF!</f>
        <v>#REF!</v>
      </c>
      <c r="G50" s="375">
        <v>1177272</v>
      </c>
      <c r="H50" s="361" t="e">
        <f>+G50-#REF!</f>
        <v>#REF!</v>
      </c>
      <c r="I50" s="361">
        <v>353318</v>
      </c>
      <c r="J50" s="362">
        <f t="shared" si="10"/>
        <v>1188734.25</v>
      </c>
      <c r="K50" s="451">
        <v>704775.16</v>
      </c>
      <c r="L50" s="375">
        <v>702783.45</v>
      </c>
      <c r="M50" s="362">
        <f t="shared" si="11"/>
        <v>-11462.25</v>
      </c>
      <c r="N50" s="444" t="e">
        <f>+E50-#REF!-J50</f>
        <v>#REF!</v>
      </c>
      <c r="O50" s="363">
        <f>+J50*100/G50</f>
        <v>100.97362801459646</v>
      </c>
      <c r="Q50">
        <v>835416.25</v>
      </c>
    </row>
    <row r="51" spans="1:17" ht="21.6" customHeight="1">
      <c r="A51" s="367" t="s">
        <v>330</v>
      </c>
      <c r="B51" s="376">
        <v>850000</v>
      </c>
      <c r="C51" s="376"/>
      <c r="D51" s="450">
        <v>800000</v>
      </c>
      <c r="E51" s="376">
        <v>0</v>
      </c>
      <c r="F51" s="446" t="e">
        <f>+E51-#REF!</f>
        <v>#REF!</v>
      </c>
      <c r="G51" s="375">
        <v>0</v>
      </c>
      <c r="H51" s="361" t="e">
        <f>+G51-#REF!</f>
        <v>#REF!</v>
      </c>
      <c r="I51" s="360"/>
      <c r="J51" s="362">
        <f t="shared" si="10"/>
        <v>0</v>
      </c>
      <c r="K51" s="375"/>
      <c r="L51" s="375"/>
      <c r="M51" s="362">
        <f t="shared" si="11"/>
        <v>0</v>
      </c>
      <c r="N51" s="444" t="e">
        <f>+E51-#REF!-J51</f>
        <v>#REF!</v>
      </c>
      <c r="O51" s="363" t="s">
        <v>6</v>
      </c>
      <c r="Q51">
        <v>0</v>
      </c>
    </row>
    <row r="52" spans="1:17">
      <c r="A52" s="355" t="s">
        <v>21</v>
      </c>
      <c r="B52" s="377">
        <f t="shared" ref="B52:N52" si="12">B9+B19+B41</f>
        <v>75692165</v>
      </c>
      <c r="C52" s="465"/>
      <c r="D52" s="445">
        <f>D9+D19+D41</f>
        <v>61040905</v>
      </c>
      <c r="E52" s="377">
        <f t="shared" si="12"/>
        <v>14651260</v>
      </c>
      <c r="F52" s="377" t="e">
        <f t="shared" si="12"/>
        <v>#REF!</v>
      </c>
      <c r="G52" s="377">
        <f t="shared" si="12"/>
        <v>14651260</v>
      </c>
      <c r="H52" s="377" t="e">
        <f t="shared" si="12"/>
        <v>#REF!</v>
      </c>
      <c r="I52" s="377">
        <f>+I9+I19+I41</f>
        <v>2247661.9</v>
      </c>
      <c r="J52" s="377">
        <f t="shared" si="12"/>
        <v>12766356.77</v>
      </c>
      <c r="K52" s="377">
        <f t="shared" si="12"/>
        <v>8971980.3300000001</v>
      </c>
      <c r="L52" s="377">
        <f t="shared" si="12"/>
        <v>7927521.9500000011</v>
      </c>
      <c r="M52" s="377">
        <f t="shared" si="12"/>
        <v>1884903.2299999993</v>
      </c>
      <c r="N52" s="377" t="e">
        <f t="shared" si="12"/>
        <v>#REF!</v>
      </c>
      <c r="O52" s="357">
        <f>+J52*100/G52</f>
        <v>87.134872836875459</v>
      </c>
      <c r="Q52" t="s">
        <v>364</v>
      </c>
    </row>
    <row r="53" spans="1:17">
      <c r="A53" s="42" t="s">
        <v>331</v>
      </c>
      <c r="N53" s="1"/>
      <c r="O53" s="1"/>
    </row>
    <row r="55" spans="1:17">
      <c r="E55" s="1" t="s">
        <v>6</v>
      </c>
    </row>
  </sheetData>
  <mergeCells count="9">
    <mergeCell ref="A2:O2"/>
    <mergeCell ref="A3:O3"/>
    <mergeCell ref="A4:O4"/>
    <mergeCell ref="A5:O5"/>
    <mergeCell ref="B7:L7"/>
    <mergeCell ref="M7:M8"/>
    <mergeCell ref="N7:N8"/>
    <mergeCell ref="O7:O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  <ignoredErrors>
    <ignoredError sqref="G19:M19 J9 J41:M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RESUMEN</vt:lpstr>
      <vt:lpstr>BALANCE</vt:lpstr>
      <vt:lpstr>INGRESOS</vt:lpstr>
      <vt:lpstr>FINANCIAMIENTO</vt:lpstr>
      <vt:lpstr>FLUJO INGRESOS GASTO</vt:lpstr>
      <vt:lpstr>BALANCE GASTOS</vt:lpstr>
      <vt:lpstr>FUNCIONAMIENTO</vt:lpstr>
      <vt:lpstr>ESTRUCTURA PROG</vt:lpstr>
      <vt:lpstr>PROYECTOS</vt:lpstr>
      <vt:lpstr>BALANCE!Área_de_impresión</vt:lpstr>
      <vt:lpstr>'BALANCE GASTOS'!Área_de_impresión</vt:lpstr>
      <vt:lpstr>'ESTRUCTURA PROG'!Área_de_impresión</vt:lpstr>
      <vt:lpstr>FINANCIAMIENTO!Área_de_impresión</vt:lpstr>
      <vt:lpstr>'FLUJO INGRESOS GASTO'!Área_de_impresión</vt:lpstr>
      <vt:lpstr>FUNCIONAMIENTO!Área_de_impresión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BALANCE!Títulos_a_imprimir</vt:lpstr>
      <vt:lpstr>'BALANCE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2024-09-12T20:46:14Z</cp:lastPrinted>
  <dcterms:created xsi:type="dcterms:W3CDTF">2010-01-07T20:52:23Z</dcterms:created>
  <dcterms:modified xsi:type="dcterms:W3CDTF">2024-09-13T15:41:10Z</dcterms:modified>
</cp:coreProperties>
</file>