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5\Enero\"/>
    </mc:Choice>
  </mc:AlternateContent>
  <xr:revisionPtr revIDLastSave="0" documentId="8_{3CDEA5FB-E749-4D9A-BF9D-AE67D053AC4F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Resumen Pto" sheetId="18" r:id="rId1"/>
    <sheet name="Balance Ingresos" sheetId="8" r:id="rId2"/>
    <sheet name="Ingresos" sheetId="9" r:id="rId3"/>
    <sheet name="Financiamiento" sheetId="10" r:id="rId4"/>
    <sheet name="Flujo" sheetId="11" r:id="rId5"/>
    <sheet name="Balance gastos" sheetId="12" r:id="rId6"/>
    <sheet name="Funcionamiento" sheetId="24" r:id="rId7"/>
    <sheet name="Func Cta." sheetId="26" r:id="rId8"/>
    <sheet name="Estruc Prog." sheetId="15" r:id="rId9"/>
    <sheet name="Proyectos" sheetId="60" r:id="rId10"/>
    <sheet name="INVxOBJETO" sheetId="23" r:id="rId11"/>
  </sheets>
  <externalReferences>
    <externalReference r:id="rId12"/>
    <externalReference r:id="rId13"/>
  </externalReferences>
  <definedNames>
    <definedName name="a">"$#REF!.$CP$1"</definedName>
    <definedName name="_xlnm.Print_Area" localSheetId="5">'Balance gastos'!$A$6:$K$62</definedName>
    <definedName name="_xlnm.Print_Area" localSheetId="8">'Estruc Prog.'!$A$3:$L$32</definedName>
    <definedName name="_xlnm.Print_Area" localSheetId="3">Financiamiento!$A$1:$H$32</definedName>
    <definedName name="_xlnm.Print_Area" localSheetId="4">Flujo!$A$8:$I$54</definedName>
    <definedName name="_xlnm.Print_Area" localSheetId="7">'Func Cta.'!$A$1:$L$67</definedName>
    <definedName name="_xlnm.Print_Area" localSheetId="2">Ingresos!$A$1:$J$31</definedName>
    <definedName name="_xlnm.Print_Area" localSheetId="10">INVxOBJETO!$A$1:$N$59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'Balance Ingresos'!$B$3:$I$47</definedName>
    <definedName name="Excel_BuiltIn_Print_Area_7_1">'Balance Ingresos'!$B$3:$I$41</definedName>
    <definedName name="Excel_BuiltIn_Print_Area_7_1_1">'Balance Ingresos'!$B$3:$I$47</definedName>
    <definedName name="Excel_BuiltIn_Print_Area_8_1">[1]INGRESOS!$A$6:$I$39</definedName>
    <definedName name="Excel_BuiltIn_Print_Area_8_1_1">[1]INGRESOS!$A$6:$I$40</definedName>
    <definedName name="Excel_BuiltIn_Print_Area_9_1">Financiamiento!$A$4:$H$33</definedName>
    <definedName name="Excel_BuiltIn_Print_Titles_11">'Balance gastos'!$4:$5</definedName>
    <definedName name="Excel_BuiltIn_Print_Titles_12_1">"$#REF!.$A$1:$B$65535;$#REF!.$A$1:$IV$7"</definedName>
    <definedName name="Excel_BuiltIn_Print_Titles_7">'Balance Ingresos'!$3:$4</definedName>
    <definedName name="Excel_BuiltIn_Print_Titles_7_1">"$cuadro_A_1.$#REF!$#REF!:$#REF!$#REF!"</definedName>
    <definedName name="Excel_BuiltIn_Print_Titles_8_1">[1]INGRESOS!$A$1:$IV$5</definedName>
    <definedName name="_xlnm.Print_Titles" localSheetId="5">'Balance gastos'!$1:$5</definedName>
    <definedName name="_xlnm.Print_Titles" localSheetId="1">'Balance Ingresos'!$1:$4</definedName>
    <definedName name="_xlnm.Print_Titles" localSheetId="6">Funcionamiento!$4:$10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60" l="1"/>
  <c r="I32" i="60"/>
  <c r="I39" i="60"/>
  <c r="I38" i="60"/>
  <c r="I37" i="60"/>
  <c r="I36" i="60"/>
  <c r="I35" i="60"/>
  <c r="I30" i="60"/>
  <c r="I29" i="60"/>
  <c r="I28" i="60"/>
  <c r="I27" i="60"/>
  <c r="I24" i="60"/>
  <c r="I23" i="60"/>
  <c r="I22" i="60"/>
  <c r="I21" i="60"/>
  <c r="I18" i="60"/>
  <c r="I14" i="60"/>
  <c r="I13" i="60"/>
  <c r="I12" i="60"/>
  <c r="I11" i="60"/>
  <c r="K20" i="60"/>
  <c r="I20" i="60"/>
  <c r="C49" i="11" l="1"/>
  <c r="C48" i="11"/>
  <c r="C64" i="26"/>
  <c r="B41" i="11"/>
  <c r="B40" i="11"/>
  <c r="B39" i="11"/>
  <c r="B27" i="11"/>
  <c r="B26" i="11" s="1"/>
  <c r="C10" i="10"/>
  <c r="B10" i="10"/>
  <c r="F28" i="8"/>
  <c r="C38" i="8"/>
  <c r="C37" i="8" s="1"/>
  <c r="C36" i="8" s="1"/>
  <c r="C42" i="8"/>
  <c r="C41" i="8" s="1"/>
  <c r="C40" i="8" s="1"/>
  <c r="C31" i="8"/>
  <c r="B20" i="11" s="1"/>
  <c r="C26" i="8"/>
  <c r="B19" i="11" s="1"/>
  <c r="C17" i="8"/>
  <c r="C15" i="8" s="1"/>
  <c r="C23" i="8"/>
  <c r="C21" i="8" s="1"/>
  <c r="B18" i="11" s="1"/>
  <c r="B20" i="18"/>
  <c r="N11" i="23"/>
  <c r="N13" i="23"/>
  <c r="H37" i="23"/>
  <c r="H10" i="23"/>
  <c r="H9" i="23" s="1"/>
  <c r="D12" i="26"/>
  <c r="C31" i="60"/>
  <c r="G33" i="12"/>
  <c r="G27" i="12"/>
  <c r="G26" i="12"/>
  <c r="G25" i="12"/>
  <c r="G24" i="12"/>
  <c r="G19" i="12"/>
  <c r="G18" i="12"/>
  <c r="I11" i="15"/>
  <c r="H21" i="15"/>
  <c r="H11" i="15"/>
  <c r="I21" i="15"/>
  <c r="H60" i="26"/>
  <c r="H42" i="26"/>
  <c r="H36" i="26"/>
  <c r="H29" i="26"/>
  <c r="H25" i="26"/>
  <c r="H24" i="26"/>
  <c r="H22" i="26"/>
  <c r="H17" i="26"/>
  <c r="H12" i="26"/>
  <c r="H11" i="26"/>
  <c r="G11" i="26"/>
  <c r="H199" i="24"/>
  <c r="H187" i="24"/>
  <c r="G29" i="12" s="1"/>
  <c r="G23" i="12" s="1"/>
  <c r="H133" i="24"/>
  <c r="H41" i="26" s="1"/>
  <c r="H127" i="24"/>
  <c r="H40" i="26" s="1"/>
  <c r="H119" i="24"/>
  <c r="H39" i="26" s="1"/>
  <c r="H113" i="24"/>
  <c r="H38" i="26" s="1"/>
  <c r="H109" i="24"/>
  <c r="H37" i="26" s="1"/>
  <c r="H103" i="24"/>
  <c r="H97" i="24"/>
  <c r="H35" i="26" s="1"/>
  <c r="H94" i="24"/>
  <c r="H76" i="24"/>
  <c r="H30" i="26" s="1"/>
  <c r="H67" i="24"/>
  <c r="H28" i="26" s="1"/>
  <c r="H62" i="24"/>
  <c r="H27" i="26" s="1"/>
  <c r="H58" i="24"/>
  <c r="H45" i="24"/>
  <c r="H23" i="26" s="1"/>
  <c r="H20" i="24"/>
  <c r="H19" i="24"/>
  <c r="H18" i="24"/>
  <c r="H17" i="24"/>
  <c r="H15" i="24"/>
  <c r="H12" i="24" s="1"/>
  <c r="I64" i="26"/>
  <c r="G64" i="26"/>
  <c r="F64" i="26"/>
  <c r="E64" i="26"/>
  <c r="D64" i="26"/>
  <c r="D22" i="24"/>
  <c r="D17" i="26" s="1"/>
  <c r="H31" i="60"/>
  <c r="G31" i="60"/>
  <c r="G44" i="12" s="1"/>
  <c r="E31" i="60"/>
  <c r="D31" i="60"/>
  <c r="B31" i="60"/>
  <c r="D16" i="60"/>
  <c r="B16" i="60"/>
  <c r="C9" i="60"/>
  <c r="G16" i="60"/>
  <c r="G43" i="12" s="1"/>
  <c r="G8" i="60"/>
  <c r="G42" i="12" s="1"/>
  <c r="B9" i="60"/>
  <c r="B8" i="60" s="1"/>
  <c r="J12" i="23"/>
  <c r="J20" i="23"/>
  <c r="J18" i="23"/>
  <c r="J11" i="23"/>
  <c r="D38" i="23"/>
  <c r="I10" i="23"/>
  <c r="G10" i="23"/>
  <c r="F10" i="23"/>
  <c r="E10" i="23"/>
  <c r="D15" i="23"/>
  <c r="D10" i="23"/>
  <c r="D9" i="23" s="1"/>
  <c r="C15" i="23"/>
  <c r="J13" i="24"/>
  <c r="I127" i="24"/>
  <c r="I119" i="24"/>
  <c r="I113" i="24"/>
  <c r="I109" i="24"/>
  <c r="I103" i="24"/>
  <c r="I94" i="24"/>
  <c r="I97" i="24"/>
  <c r="I76" i="24"/>
  <c r="I45" i="24"/>
  <c r="I195" i="24"/>
  <c r="F195" i="24"/>
  <c r="E195" i="24"/>
  <c r="D195" i="24"/>
  <c r="D63" i="26" s="1"/>
  <c r="C195" i="24"/>
  <c r="E201" i="24"/>
  <c r="E199" i="24"/>
  <c r="D201" i="24"/>
  <c r="D199" i="24"/>
  <c r="K199" i="24"/>
  <c r="J199" i="24"/>
  <c r="I199" i="24"/>
  <c r="G199" i="24"/>
  <c r="F199" i="24"/>
  <c r="C199" i="24"/>
  <c r="D189" i="24"/>
  <c r="D187" i="24"/>
  <c r="D127" i="24"/>
  <c r="D113" i="24"/>
  <c r="D109" i="24"/>
  <c r="D103" i="24"/>
  <c r="D97" i="24"/>
  <c r="D94" i="24"/>
  <c r="E73" i="24"/>
  <c r="E45" i="24"/>
  <c r="D76" i="24"/>
  <c r="D73" i="24"/>
  <c r="D67" i="24"/>
  <c r="D62" i="24"/>
  <c r="D58" i="24"/>
  <c r="D55" i="24"/>
  <c r="C73" i="24"/>
  <c r="C45" i="24"/>
  <c r="C55" i="24"/>
  <c r="C58" i="24"/>
  <c r="C62" i="24"/>
  <c r="C67" i="24"/>
  <c r="C76" i="24"/>
  <c r="D43" i="24"/>
  <c r="D42" i="24"/>
  <c r="C43" i="12" l="1"/>
  <c r="B44" i="12"/>
  <c r="I9" i="15"/>
  <c r="C13" i="8"/>
  <c r="C11" i="8" s="1"/>
  <c r="H9" i="15"/>
  <c r="C29" i="12"/>
  <c r="C23" i="12" s="1"/>
  <c r="H93" i="24"/>
  <c r="G17" i="12" s="1"/>
  <c r="B17" i="11"/>
  <c r="B16" i="11" s="1"/>
  <c r="B13" i="11" s="1"/>
  <c r="B28" i="10"/>
  <c r="B24" i="11"/>
  <c r="B22" i="11" s="1"/>
  <c r="N10" i="23"/>
  <c r="H16" i="24"/>
  <c r="H14" i="26" s="1"/>
  <c r="H56" i="23"/>
  <c r="C34" i="8"/>
  <c r="H37" i="24"/>
  <c r="G16" i="12" s="1"/>
  <c r="B30" i="10"/>
  <c r="H34" i="26"/>
  <c r="H33" i="26" s="1"/>
  <c r="G40" i="12"/>
  <c r="G37" i="12" s="1"/>
  <c r="G40" i="60"/>
  <c r="C42" i="12"/>
  <c r="C44" i="12"/>
  <c r="H186" i="24"/>
  <c r="G21" i="12" s="1"/>
  <c r="H26" i="26"/>
  <c r="H21" i="26" s="1"/>
  <c r="H13" i="26"/>
  <c r="H10" i="26" s="1"/>
  <c r="D142" i="24"/>
  <c r="D29" i="24"/>
  <c r="D16" i="24"/>
  <c r="G20" i="24"/>
  <c r="I20" i="24" s="1"/>
  <c r="G19" i="24"/>
  <c r="I19" i="24" s="1"/>
  <c r="G17" i="24"/>
  <c r="I17" i="24" s="1"/>
  <c r="C16" i="24"/>
  <c r="C9" i="8" l="1"/>
  <c r="H11" i="24"/>
  <c r="G15" i="12" s="1"/>
  <c r="G13" i="12" s="1"/>
  <c r="G11" i="12" s="1"/>
  <c r="G9" i="12" s="1"/>
  <c r="H9" i="26"/>
  <c r="H67" i="26" s="1"/>
  <c r="B26" i="10"/>
  <c r="B30" i="11"/>
  <c r="D15" i="8"/>
  <c r="D17" i="8"/>
  <c r="D23" i="8"/>
  <c r="D21" i="8" s="1"/>
  <c r="D26" i="8"/>
  <c r="D31" i="8"/>
  <c r="D38" i="8"/>
  <c r="D37" i="8" s="1"/>
  <c r="C30" i="10" s="1"/>
  <c r="D42" i="8"/>
  <c r="D45" i="8"/>
  <c r="H209" i="24" l="1"/>
  <c r="D41" i="8"/>
  <c r="D40" i="8" s="1"/>
  <c r="D36" i="8"/>
  <c r="D13" i="8"/>
  <c r="D11" i="8" s="1"/>
  <c r="D34" i="8" l="1"/>
  <c r="D9" i="8" s="1"/>
  <c r="D9" i="18"/>
  <c r="C57" i="26"/>
  <c r="C42" i="26"/>
  <c r="C24" i="26"/>
  <c r="C16" i="26"/>
  <c r="C15" i="26"/>
  <c r="C13" i="26"/>
  <c r="C12" i="26"/>
  <c r="C11" i="26"/>
  <c r="L207" i="24"/>
  <c r="L191" i="24"/>
  <c r="C189" i="24"/>
  <c r="C62" i="26" s="1"/>
  <c r="E205" i="24"/>
  <c r="F119" i="24"/>
  <c r="E97" i="24"/>
  <c r="G116" i="24"/>
  <c r="L116" i="24" s="1"/>
  <c r="I83" i="24"/>
  <c r="D54" i="24"/>
  <c r="F42" i="8"/>
  <c r="F41" i="8" s="1"/>
  <c r="K116" i="24" l="1"/>
  <c r="C10" i="26"/>
  <c r="J116" i="24"/>
  <c r="G19" i="8" l="1"/>
  <c r="G18" i="8"/>
  <c r="D10" i="10" l="1"/>
  <c r="D13" i="10"/>
  <c r="B23" i="18" l="1"/>
  <c r="B22" i="18"/>
  <c r="E22" i="18"/>
  <c r="E20" i="18"/>
  <c r="C51" i="23"/>
  <c r="D53" i="23"/>
  <c r="C26" i="23"/>
  <c r="D33" i="23"/>
  <c r="D30" i="23"/>
  <c r="F15" i="60" l="1"/>
  <c r="F11" i="15" l="1"/>
  <c r="C9" i="18"/>
  <c r="C18" i="18"/>
  <c r="C25" i="18"/>
  <c r="G101" i="24"/>
  <c r="L101" i="24" s="1"/>
  <c r="G23" i="24"/>
  <c r="G18" i="24"/>
  <c r="I18" i="24" s="1"/>
  <c r="F67" i="24"/>
  <c r="I67" i="24"/>
  <c r="E67" i="24"/>
  <c r="C28" i="26"/>
  <c r="C23" i="26" l="1"/>
  <c r="D45" i="24"/>
  <c r="C16" i="18"/>
  <c r="G19" i="15" l="1"/>
  <c r="J19" i="15" s="1"/>
  <c r="G39" i="8"/>
  <c r="G28" i="8"/>
  <c r="H28" i="8" s="1"/>
  <c r="G42" i="23" l="1"/>
  <c r="G170" i="24" l="1"/>
  <c r="G156" i="24"/>
  <c r="G46" i="24"/>
  <c r="K156" i="24" l="1"/>
  <c r="G25" i="8" l="1"/>
  <c r="G23" i="8" s="1"/>
  <c r="G43" i="8"/>
  <c r="G32" i="8"/>
  <c r="G29" i="8"/>
  <c r="G27" i="8"/>
  <c r="G29" i="15" l="1"/>
  <c r="E23" i="18" s="1"/>
  <c r="F9" i="60" l="1"/>
  <c r="F10" i="60"/>
  <c r="F17" i="60"/>
  <c r="F19" i="60"/>
  <c r="F25" i="60"/>
  <c r="F26" i="60"/>
  <c r="F33" i="60"/>
  <c r="F34" i="60"/>
  <c r="F31" i="60" l="1"/>
  <c r="F16" i="60"/>
  <c r="E28" i="18" s="1"/>
  <c r="F8" i="60"/>
  <c r="E26" i="18" s="1"/>
  <c r="G23" i="15" l="1"/>
  <c r="G171" i="24"/>
  <c r="F55" i="24" l="1"/>
  <c r="G63" i="24"/>
  <c r="E55" i="24" l="1"/>
  <c r="G54" i="24"/>
  <c r="G24" i="26" s="1"/>
  <c r="I27" i="24"/>
  <c r="K25" i="60" l="1"/>
  <c r="J26" i="8" l="1"/>
  <c r="F40" i="8" l="1"/>
  <c r="G42" i="8" l="1"/>
  <c r="G41" i="8" s="1"/>
  <c r="I15" i="23"/>
  <c r="I51" i="23"/>
  <c r="G39" i="23"/>
  <c r="G38" i="23"/>
  <c r="D32" i="23"/>
  <c r="G27" i="15"/>
  <c r="E143" i="24"/>
  <c r="G15" i="24" l="1"/>
  <c r="I15" i="24" s="1"/>
  <c r="D29" i="15" l="1"/>
  <c r="D23" i="18" s="1"/>
  <c r="K29" i="15" l="1"/>
  <c r="F26" i="8"/>
  <c r="F38" i="8"/>
  <c r="F37" i="8" s="1"/>
  <c r="F36" i="8" s="1"/>
  <c r="F34" i="8" s="1"/>
  <c r="F31" i="8"/>
  <c r="G31" i="8" s="1"/>
  <c r="G26" i="8" l="1"/>
  <c r="G19" i="11" s="1"/>
  <c r="G38" i="8"/>
  <c r="G37" i="8" s="1"/>
  <c r="G27" i="11" s="1"/>
  <c r="H39" i="8"/>
  <c r="H38" i="8" s="1"/>
  <c r="H37" i="8" s="1"/>
  <c r="H36" i="8" s="1"/>
  <c r="E38" i="8"/>
  <c r="E37" i="23"/>
  <c r="G30" i="10" l="1"/>
  <c r="G36" i="8"/>
  <c r="F21" i="15"/>
  <c r="G21" i="15" s="1"/>
  <c r="E21" i="18" s="1"/>
  <c r="F153" i="24" l="1"/>
  <c r="G153" i="24" s="1"/>
  <c r="E154" i="24" l="1"/>
  <c r="F94" i="24"/>
  <c r="G94" i="24" s="1"/>
  <c r="G34" i="26" s="1"/>
  <c r="G95" i="24" l="1"/>
  <c r="L95" i="24" s="1"/>
  <c r="E83" i="24"/>
  <c r="F83" i="24"/>
  <c r="J90" i="24"/>
  <c r="G52" i="24"/>
  <c r="J52" i="24" l="1"/>
  <c r="I43" i="8" l="1"/>
  <c r="E37" i="8"/>
  <c r="G40" i="8"/>
  <c r="G34" i="8" s="1"/>
  <c r="E13" i="18" l="1"/>
  <c r="E36" i="8"/>
  <c r="E42" i="8"/>
  <c r="I25" i="8"/>
  <c r="H25" i="8"/>
  <c r="G21" i="8"/>
  <c r="F23" i="8"/>
  <c r="E23" i="8"/>
  <c r="E21" i="8" s="1"/>
  <c r="I42" i="8" l="1"/>
  <c r="E41" i="8"/>
  <c r="F21" i="8"/>
  <c r="E17" i="8"/>
  <c r="E15" i="8" s="1"/>
  <c r="E40" i="8" l="1"/>
  <c r="E34" i="8" s="1"/>
  <c r="H34" i="8" s="1"/>
  <c r="F17" i="8"/>
  <c r="G17" i="8" l="1"/>
  <c r="G15" i="8" s="1"/>
  <c r="F47" i="8"/>
  <c r="D42" i="23" l="1"/>
  <c r="J22" i="23"/>
  <c r="E15" i="23"/>
  <c r="F15" i="23"/>
  <c r="G24" i="23"/>
  <c r="G23" i="23"/>
  <c r="N23" i="23" s="1"/>
  <c r="I153" i="24"/>
  <c r="J156" i="24"/>
  <c r="F45" i="24" l="1"/>
  <c r="G45" i="24" s="1"/>
  <c r="I12" i="24"/>
  <c r="H8" i="60" l="1"/>
  <c r="E26" i="8" l="1"/>
  <c r="F15" i="8" l="1"/>
  <c r="F13" i="8" s="1"/>
  <c r="G43" i="23"/>
  <c r="G13" i="8" l="1"/>
  <c r="G157" i="24"/>
  <c r="G107" i="24"/>
  <c r="F103" i="24"/>
  <c r="G103" i="24" s="1"/>
  <c r="G36" i="26" l="1"/>
  <c r="L150" i="24"/>
  <c r="G16" i="11"/>
  <c r="G11" i="8"/>
  <c r="E58" i="24"/>
  <c r="E11" i="18" l="1"/>
  <c r="E9" i="18" s="1"/>
  <c r="G10" i="10"/>
  <c r="I37" i="23" l="1"/>
  <c r="F51" i="23"/>
  <c r="I48" i="23"/>
  <c r="F48" i="23"/>
  <c r="G53" i="23"/>
  <c r="J53" i="23" s="1"/>
  <c r="G49" i="23"/>
  <c r="N49" i="23" s="1"/>
  <c r="G45" i="23"/>
  <c r="G44" i="23"/>
  <c r="G41" i="23"/>
  <c r="G40" i="23"/>
  <c r="N40" i="23" s="1"/>
  <c r="G31" i="23"/>
  <c r="G21" i="23"/>
  <c r="N21" i="23" s="1"/>
  <c r="G51" i="23" l="1"/>
  <c r="N53" i="23"/>
  <c r="G48" i="23"/>
  <c r="I34" i="60"/>
  <c r="I33" i="60"/>
  <c r="G84" i="24"/>
  <c r="L87" i="24" l="1"/>
  <c r="F45" i="8" l="1"/>
  <c r="G45" i="8" s="1"/>
  <c r="C26" i="60" l="1"/>
  <c r="I25" i="60"/>
  <c r="C25" i="60"/>
  <c r="J25" i="60" s="1"/>
  <c r="C19" i="60"/>
  <c r="C17" i="60"/>
  <c r="H16" i="60"/>
  <c r="E16" i="60"/>
  <c r="E43" i="12" s="1"/>
  <c r="E8" i="60"/>
  <c r="D8" i="60"/>
  <c r="D25" i="18" s="1"/>
  <c r="C16" i="60" l="1"/>
  <c r="B43" i="12" s="1"/>
  <c r="H40" i="60"/>
  <c r="C8" i="60"/>
  <c r="B42" i="12" s="1"/>
  <c r="E30" i="18"/>
  <c r="E25" i="18" s="1"/>
  <c r="E42" i="12"/>
  <c r="E40" i="60"/>
  <c r="F40" i="60" s="1"/>
  <c r="H44" i="12"/>
  <c r="E44" i="12"/>
  <c r="D40" i="60"/>
  <c r="B40" i="60"/>
  <c r="F11" i="8"/>
  <c r="F9" i="8" s="1"/>
  <c r="G9" i="8" s="1"/>
  <c r="D44" i="12"/>
  <c r="H43" i="12"/>
  <c r="D43" i="12"/>
  <c r="D42" i="12"/>
  <c r="H42" i="12"/>
  <c r="I26" i="23"/>
  <c r="G15" i="23"/>
  <c r="N15" i="23" s="1"/>
  <c r="B40" i="12" l="1"/>
  <c r="B37" i="12" s="1"/>
  <c r="B47" i="11"/>
  <c r="B45" i="11" s="1"/>
  <c r="C47" i="11"/>
  <c r="B21" i="10"/>
  <c r="B19" i="10" s="1"/>
  <c r="F21" i="10"/>
  <c r="D21" i="10"/>
  <c r="B25" i="18"/>
  <c r="C40" i="60"/>
  <c r="F47" i="11"/>
  <c r="I184" i="24"/>
  <c r="G179" i="24"/>
  <c r="G178" i="24"/>
  <c r="G177" i="24"/>
  <c r="G176" i="24"/>
  <c r="J157" i="24"/>
  <c r="I143" i="24"/>
  <c r="I93" i="24" s="1"/>
  <c r="E133" i="24"/>
  <c r="I62" i="24"/>
  <c r="G91" i="24"/>
  <c r="G89" i="24"/>
  <c r="G51" i="24"/>
  <c r="I38" i="24"/>
  <c r="E16" i="24"/>
  <c r="K157" i="24"/>
  <c r="D47" i="11" l="1"/>
  <c r="C21" i="10"/>
  <c r="J51" i="24"/>
  <c r="K51" i="24"/>
  <c r="L88" i="24"/>
  <c r="L51" i="24"/>
  <c r="E26" i="23" l="1"/>
  <c r="D43" i="23"/>
  <c r="F37" i="23"/>
  <c r="G37" i="23" s="1"/>
  <c r="D41" i="23"/>
  <c r="F26" i="23"/>
  <c r="D31" i="23"/>
  <c r="D24" i="23"/>
  <c r="M24" i="23" s="1"/>
  <c r="M22" i="23"/>
  <c r="G26" i="23" l="1"/>
  <c r="E103" i="24"/>
  <c r="L103" i="24" s="1"/>
  <c r="F97" i="24"/>
  <c r="G208" i="24"/>
  <c r="I182" i="24"/>
  <c r="J179" i="24"/>
  <c r="J178" i="24"/>
  <c r="J177" i="24"/>
  <c r="J176" i="24"/>
  <c r="G180" i="24"/>
  <c r="K176" i="24"/>
  <c r="K179" i="24"/>
  <c r="K178" i="24"/>
  <c r="K177" i="24"/>
  <c r="J170" i="24"/>
  <c r="E153" i="24"/>
  <c r="K170" i="24"/>
  <c r="L147" i="24"/>
  <c r="G110" i="24"/>
  <c r="E94" i="24"/>
  <c r="I29" i="24"/>
  <c r="J147" i="24" l="1"/>
  <c r="J180" i="24"/>
  <c r="G175" i="24"/>
  <c r="E18" i="12"/>
  <c r="J86" i="24"/>
  <c r="K147" i="24"/>
  <c r="L56" i="23" l="1"/>
  <c r="K56" i="23"/>
  <c r="K54" i="23" s="1"/>
  <c r="K53" i="23" s="1"/>
  <c r="K52" i="23" s="1"/>
  <c r="K51" i="23" s="1"/>
  <c r="K49" i="23" s="1"/>
  <c r="K48" i="23" s="1"/>
  <c r="K46" i="23" s="1"/>
  <c r="K45" i="23" s="1"/>
  <c r="K44" i="23" s="1"/>
  <c r="K43" i="23" s="1"/>
  <c r="K42" i="23" s="1"/>
  <c r="K41" i="23" s="1"/>
  <c r="K40" i="23" s="1"/>
  <c r="K39" i="23" s="1"/>
  <c r="K38" i="23" s="1"/>
  <c r="K37" i="23" s="1"/>
  <c r="K35" i="23" s="1"/>
  <c r="K34" i="23" s="1"/>
  <c r="K33" i="23" s="1"/>
  <c r="K32" i="23" s="1"/>
  <c r="K31" i="23" s="1"/>
  <c r="K30" i="23" s="1"/>
  <c r="K29" i="23" s="1"/>
  <c r="K28" i="23" s="1"/>
  <c r="K27" i="23" s="1"/>
  <c r="K26" i="23" s="1"/>
  <c r="K23" i="23" s="1"/>
  <c r="K21" i="23" s="1"/>
  <c r="K19" i="23" s="1"/>
  <c r="K17" i="23" s="1"/>
  <c r="K15" i="23" s="1"/>
  <c r="K13" i="23" s="1"/>
  <c r="K12" i="23" s="1"/>
  <c r="K11" i="23" s="1"/>
  <c r="K10" i="23" s="1"/>
  <c r="L54" i="23"/>
  <c r="J54" i="23"/>
  <c r="L53" i="23"/>
  <c r="L52" i="23"/>
  <c r="L51" i="23"/>
  <c r="L49" i="23"/>
  <c r="J49" i="23"/>
  <c r="L48" i="23"/>
  <c r="L46" i="23"/>
  <c r="J46" i="23"/>
  <c r="L45" i="23"/>
  <c r="J45" i="23"/>
  <c r="L44" i="23"/>
  <c r="J44" i="23"/>
  <c r="M43" i="23"/>
  <c r="L43" i="23"/>
  <c r="J43" i="23"/>
  <c r="M42" i="23"/>
  <c r="L42" i="23"/>
  <c r="J42" i="23"/>
  <c r="M41" i="23"/>
  <c r="L41" i="23"/>
  <c r="J41" i="23"/>
  <c r="L40" i="23"/>
  <c r="J40" i="23"/>
  <c r="L39" i="23"/>
  <c r="J39" i="23"/>
  <c r="M38" i="23"/>
  <c r="L38" i="23"/>
  <c r="J38" i="23"/>
  <c r="L37" i="23"/>
  <c r="L35" i="23"/>
  <c r="M34" i="23"/>
  <c r="L34" i="23"/>
  <c r="J34" i="23"/>
  <c r="M33" i="23"/>
  <c r="L33" i="23"/>
  <c r="J33" i="23"/>
  <c r="M32" i="23"/>
  <c r="L32" i="23"/>
  <c r="J32" i="23"/>
  <c r="M31" i="23"/>
  <c r="L31" i="23"/>
  <c r="J31" i="23"/>
  <c r="M30" i="23"/>
  <c r="L30" i="23"/>
  <c r="L29" i="23"/>
  <c r="J29" i="23"/>
  <c r="M28" i="23"/>
  <c r="L28" i="23"/>
  <c r="J28" i="23"/>
  <c r="M27" i="23"/>
  <c r="L27" i="23"/>
  <c r="J27" i="23"/>
  <c r="L26" i="23"/>
  <c r="L23" i="23"/>
  <c r="J23" i="23"/>
  <c r="L21" i="23"/>
  <c r="L19" i="23"/>
  <c r="J19" i="23"/>
  <c r="L17" i="23"/>
  <c r="L15" i="23"/>
  <c r="L13" i="23"/>
  <c r="J13" i="23"/>
  <c r="L12" i="23"/>
  <c r="L11" i="23"/>
  <c r="L10" i="23"/>
  <c r="N45" i="23"/>
  <c r="N44" i="23"/>
  <c r="E51" i="23"/>
  <c r="N51" i="23" s="1"/>
  <c r="E48" i="23"/>
  <c r="C37" i="23"/>
  <c r="I9" i="23"/>
  <c r="I56" i="23" s="1"/>
  <c r="F9" i="23"/>
  <c r="D54" i="23"/>
  <c r="M54" i="23" s="1"/>
  <c r="M53" i="23"/>
  <c r="D52" i="23"/>
  <c r="M52" i="23" s="1"/>
  <c r="D49" i="23"/>
  <c r="D48" i="23" s="1"/>
  <c r="M48" i="23" s="1"/>
  <c r="D46" i="23"/>
  <c r="M46" i="23" s="1"/>
  <c r="D45" i="23"/>
  <c r="M45" i="23" s="1"/>
  <c r="D44" i="23"/>
  <c r="M44" i="23" s="1"/>
  <c r="D40" i="23"/>
  <c r="M40" i="23" s="1"/>
  <c r="D39" i="23"/>
  <c r="M39" i="23" s="1"/>
  <c r="J26" i="23"/>
  <c r="D35" i="23"/>
  <c r="D29" i="23"/>
  <c r="M29" i="23" s="1"/>
  <c r="M23" i="23"/>
  <c r="M19" i="23"/>
  <c r="M17" i="23"/>
  <c r="M13" i="23"/>
  <c r="M12" i="23"/>
  <c r="E9" i="23"/>
  <c r="D27" i="15"/>
  <c r="K27" i="15" s="1"/>
  <c r="D25" i="15"/>
  <c r="D23" i="15"/>
  <c r="K23" i="15" s="1"/>
  <c r="D19" i="15"/>
  <c r="K19" i="15" s="1"/>
  <c r="D17" i="15"/>
  <c r="D15" i="15"/>
  <c r="D13" i="15"/>
  <c r="J48" i="23" l="1"/>
  <c r="N48" i="23"/>
  <c r="F56" i="23"/>
  <c r="J37" i="23"/>
  <c r="N37" i="23"/>
  <c r="D37" i="23"/>
  <c r="M37" i="23" s="1"/>
  <c r="M15" i="23"/>
  <c r="J15" i="23"/>
  <c r="J51" i="23"/>
  <c r="E56" i="23"/>
  <c r="M11" i="23"/>
  <c r="M49" i="23"/>
  <c r="D51" i="23"/>
  <c r="M51" i="23" s="1"/>
  <c r="E46" i="26" l="1"/>
  <c r="K180" i="24"/>
  <c r="G83" i="24"/>
  <c r="D84" i="24"/>
  <c r="K86" i="24"/>
  <c r="L83" i="24" l="1"/>
  <c r="F54" i="26"/>
  <c r="E54" i="26"/>
  <c r="I53" i="26"/>
  <c r="F53" i="26"/>
  <c r="E53" i="26"/>
  <c r="I52" i="26"/>
  <c r="F52" i="26"/>
  <c r="E52" i="26"/>
  <c r="I51" i="26"/>
  <c r="F51" i="26"/>
  <c r="E51" i="26"/>
  <c r="I50" i="26"/>
  <c r="F50" i="26"/>
  <c r="E50" i="26"/>
  <c r="I49" i="26"/>
  <c r="F49" i="26"/>
  <c r="E49" i="26"/>
  <c r="I48" i="26"/>
  <c r="F48" i="26"/>
  <c r="E48" i="26"/>
  <c r="I47" i="26"/>
  <c r="F47" i="26"/>
  <c r="E47" i="26"/>
  <c r="I46" i="26"/>
  <c r="F46" i="26"/>
  <c r="I42" i="26"/>
  <c r="F42" i="26"/>
  <c r="E42" i="26"/>
  <c r="I24" i="26"/>
  <c r="F24" i="26"/>
  <c r="E24" i="26"/>
  <c r="I18" i="26"/>
  <c r="I16" i="26"/>
  <c r="F16" i="26"/>
  <c r="E16" i="26"/>
  <c r="I15" i="26"/>
  <c r="F15" i="26"/>
  <c r="E15" i="26"/>
  <c r="I13" i="26"/>
  <c r="F13" i="26"/>
  <c r="E13" i="26"/>
  <c r="I12" i="26"/>
  <c r="F12" i="26"/>
  <c r="E12" i="26"/>
  <c r="I11" i="26"/>
  <c r="F11" i="26"/>
  <c r="E11" i="26"/>
  <c r="I10" i="26" l="1"/>
  <c r="F45" i="26"/>
  <c r="C41" i="11" l="1"/>
  <c r="C40" i="11"/>
  <c r="C39" i="11"/>
  <c r="C19" i="10"/>
  <c r="C40" i="12" l="1"/>
  <c r="C37" i="12" s="1"/>
  <c r="C45" i="11" l="1"/>
  <c r="D17" i="11" l="1"/>
  <c r="D24" i="11"/>
  <c r="D19" i="11"/>
  <c r="D20" i="11"/>
  <c r="D27" i="11"/>
  <c r="D30" i="10"/>
  <c r="J208" i="24" l="1"/>
  <c r="E66" i="26"/>
  <c r="L85" i="24"/>
  <c r="I31" i="26"/>
  <c r="F31" i="26"/>
  <c r="E31" i="26"/>
  <c r="C83" i="24"/>
  <c r="G204" i="24"/>
  <c r="G203" i="24"/>
  <c r="G202" i="24"/>
  <c r="G197" i="24"/>
  <c r="G196" i="24"/>
  <c r="G194" i="24"/>
  <c r="G193" i="24"/>
  <c r="L193" i="24" s="1"/>
  <c r="G192" i="24"/>
  <c r="L192" i="24" s="1"/>
  <c r="G190" i="24"/>
  <c r="G188" i="24"/>
  <c r="G183" i="24"/>
  <c r="G142" i="24"/>
  <c r="G42" i="26" s="1"/>
  <c r="G141" i="24"/>
  <c r="G140" i="24"/>
  <c r="G139" i="24"/>
  <c r="G138" i="24"/>
  <c r="G137" i="24"/>
  <c r="G136" i="24"/>
  <c r="G135" i="24"/>
  <c r="G134" i="24"/>
  <c r="G132" i="24"/>
  <c r="G131" i="24"/>
  <c r="G130" i="24"/>
  <c r="G129" i="24"/>
  <c r="G128" i="24"/>
  <c r="G126" i="24"/>
  <c r="G125" i="24"/>
  <c r="G124" i="24"/>
  <c r="G123" i="24"/>
  <c r="G122" i="24"/>
  <c r="G121" i="24"/>
  <c r="G120" i="24"/>
  <c r="G118" i="24"/>
  <c r="G117" i="24"/>
  <c r="G115" i="24"/>
  <c r="G114" i="24"/>
  <c r="G112" i="24"/>
  <c r="G111" i="24"/>
  <c r="G108" i="24"/>
  <c r="G106" i="24"/>
  <c r="G105" i="24"/>
  <c r="L105" i="24" s="1"/>
  <c r="G104" i="24"/>
  <c r="L104" i="24" s="1"/>
  <c r="G102" i="24"/>
  <c r="L102" i="24" s="1"/>
  <c r="G100" i="24"/>
  <c r="L100" i="24" s="1"/>
  <c r="G99" i="24"/>
  <c r="L99" i="24" s="1"/>
  <c r="G98" i="24"/>
  <c r="L98" i="24" s="1"/>
  <c r="G96" i="24"/>
  <c r="L96" i="24" s="1"/>
  <c r="G82" i="24"/>
  <c r="G81" i="24"/>
  <c r="G80" i="24"/>
  <c r="G79" i="24"/>
  <c r="G78" i="24"/>
  <c r="G77" i="24"/>
  <c r="G75" i="24"/>
  <c r="G72" i="24"/>
  <c r="G71" i="24"/>
  <c r="G70" i="24"/>
  <c r="G69" i="24"/>
  <c r="G66" i="24"/>
  <c r="G65" i="24"/>
  <c r="L63" i="24"/>
  <c r="G61" i="24"/>
  <c r="G60" i="24"/>
  <c r="G59" i="24"/>
  <c r="G57" i="24"/>
  <c r="G56" i="24"/>
  <c r="G50" i="24"/>
  <c r="G49" i="24"/>
  <c r="G48" i="24"/>
  <c r="G47" i="24"/>
  <c r="G44" i="24"/>
  <c r="G43" i="24"/>
  <c r="G42" i="24"/>
  <c r="G41" i="24"/>
  <c r="G40" i="24"/>
  <c r="G39" i="24"/>
  <c r="G195" i="24" l="1"/>
  <c r="C31" i="26"/>
  <c r="D83" i="24"/>
  <c r="D31" i="26" s="1"/>
  <c r="L202" i="24"/>
  <c r="L204" i="24"/>
  <c r="L197" i="24"/>
  <c r="L70" i="24"/>
  <c r="L40" i="24"/>
  <c r="L44" i="24"/>
  <c r="L57" i="24"/>
  <c r="L75" i="24"/>
  <c r="L46" i="24"/>
  <c r="L41" i="24"/>
  <c r="L54" i="24"/>
  <c r="L60" i="24"/>
  <c r="L71" i="24"/>
  <c r="L59" i="24"/>
  <c r="L39" i="24"/>
  <c r="L48" i="24"/>
  <c r="L56" i="24"/>
  <c r="L61" i="24"/>
  <c r="J141" i="24"/>
  <c r="L72" i="24"/>
  <c r="L78" i="24"/>
  <c r="L50" i="24"/>
  <c r="L49" i="24"/>
  <c r="L47" i="24"/>
  <c r="J85" i="24"/>
  <c r="K88" i="24"/>
  <c r="K85" i="24"/>
  <c r="J88" i="24"/>
  <c r="G28" i="15"/>
  <c r="G24" i="15"/>
  <c r="G16" i="15"/>
  <c r="G26" i="15"/>
  <c r="J83" i="24" l="1"/>
  <c r="G31" i="26"/>
  <c r="K83" i="24"/>
  <c r="G46" i="8" l="1"/>
  <c r="G33" i="8"/>
  <c r="G30" i="8"/>
  <c r="G24" i="8"/>
  <c r="G22" i="8"/>
  <c r="E28" i="26" l="1"/>
  <c r="E29" i="26"/>
  <c r="J28" i="15"/>
  <c r="J26" i="15"/>
  <c r="G22" i="15"/>
  <c r="J22" i="15" s="1"/>
  <c r="G20" i="15"/>
  <c r="J20" i="15" s="1"/>
  <c r="J16" i="15"/>
  <c r="C29" i="26" l="1"/>
  <c r="F9" i="15"/>
  <c r="G9" i="15" s="1"/>
  <c r="C56" i="26"/>
  <c r="E45" i="26"/>
  <c r="F10" i="26"/>
  <c r="E10" i="26"/>
  <c r="C45" i="26" l="1"/>
  <c r="J31" i="26"/>
  <c r="L42" i="26"/>
  <c r="K31" i="26" l="1"/>
  <c r="J24" i="26" l="1"/>
  <c r="L24" i="26"/>
  <c r="D13" i="26" l="1"/>
  <c r="D15" i="26"/>
  <c r="D16" i="26"/>
  <c r="D28" i="24"/>
  <c r="D24" i="26"/>
  <c r="K24" i="26" s="1"/>
  <c r="C26" i="26" l="1"/>
  <c r="D11" i="26"/>
  <c r="D10" i="26" s="1"/>
  <c r="D28" i="26"/>
  <c r="D27" i="24"/>
  <c r="D12" i="24"/>
  <c r="E45" i="8"/>
  <c r="D26" i="11" l="1"/>
  <c r="C27" i="11"/>
  <c r="C26" i="11" s="1"/>
  <c r="G9" i="23" l="1"/>
  <c r="N9" i="23" s="1"/>
  <c r="M10" i="23"/>
  <c r="J10" i="23"/>
  <c r="G56" i="23" l="1"/>
  <c r="J9" i="23"/>
  <c r="G154" i="24"/>
  <c r="G155" i="24"/>
  <c r="G158" i="24"/>
  <c r="G159" i="24"/>
  <c r="G160" i="24"/>
  <c r="G161" i="24"/>
  <c r="G162" i="24"/>
  <c r="G164" i="24"/>
  <c r="G165" i="24"/>
  <c r="G166" i="24"/>
  <c r="G167" i="24"/>
  <c r="G168" i="24"/>
  <c r="G169" i="24"/>
  <c r="G172" i="24"/>
  <c r="G173" i="24"/>
  <c r="G174" i="24"/>
  <c r="G48" i="26" l="1"/>
  <c r="J48" i="26" s="1"/>
  <c r="G51" i="26"/>
  <c r="G47" i="26"/>
  <c r="J47" i="26" s="1"/>
  <c r="J164" i="24"/>
  <c r="G50" i="26"/>
  <c r="J171" i="24"/>
  <c r="G53" i="26"/>
  <c r="G49" i="26"/>
  <c r="G46" i="26"/>
  <c r="G52" i="26"/>
  <c r="N56" i="23"/>
  <c r="J56" i="23"/>
  <c r="G35" i="24"/>
  <c r="G33" i="24"/>
  <c r="G32" i="24"/>
  <c r="G31" i="24"/>
  <c r="G30" i="24"/>
  <c r="G28" i="24"/>
  <c r="E34" i="26"/>
  <c r="J53" i="26" l="1"/>
  <c r="J51" i="26"/>
  <c r="J52" i="26"/>
  <c r="J49" i="26"/>
  <c r="J50" i="26"/>
  <c r="J46" i="26"/>
  <c r="K28" i="24"/>
  <c r="D52" i="26"/>
  <c r="K52" i="26" s="1"/>
  <c r="F34" i="26" l="1"/>
  <c r="L34" i="26" l="1"/>
  <c r="J183" i="24" l="1"/>
  <c r="J138" i="24"/>
  <c r="J136" i="24"/>
  <c r="J132" i="24"/>
  <c r="J131" i="24"/>
  <c r="J126" i="24"/>
  <c r="J124" i="24"/>
  <c r="J123" i="24"/>
  <c r="J122" i="24"/>
  <c r="J121" i="24"/>
  <c r="J42" i="24"/>
  <c r="J28" i="24"/>
  <c r="C11" i="15" l="1"/>
  <c r="E11" i="15"/>
  <c r="C21" i="15"/>
  <c r="B21" i="18" s="1"/>
  <c r="D21" i="15"/>
  <c r="D21" i="18" s="1"/>
  <c r="E21" i="15"/>
  <c r="K26" i="15"/>
  <c r="B19" i="18" l="1"/>
  <c r="C9" i="15"/>
  <c r="D9" i="15" s="1"/>
  <c r="K9" i="15" s="1"/>
  <c r="K21" i="15"/>
  <c r="B18" i="18"/>
  <c r="D11" i="15"/>
  <c r="E9" i="15"/>
  <c r="J9" i="15" s="1"/>
  <c r="D19" i="18" l="1"/>
  <c r="D18" i="18" s="1"/>
  <c r="D16" i="18" s="1"/>
  <c r="B16" i="18"/>
  <c r="J174" i="24"/>
  <c r="J173" i="24"/>
  <c r="J172" i="24"/>
  <c r="J169" i="24"/>
  <c r="J168" i="24"/>
  <c r="J112" i="24"/>
  <c r="J111" i="24"/>
  <c r="J110" i="24"/>
  <c r="J108" i="24"/>
  <c r="J107" i="24"/>
  <c r="J106" i="24"/>
  <c r="J104" i="24"/>
  <c r="J101" i="24"/>
  <c r="J100" i="24"/>
  <c r="J99" i="24"/>
  <c r="J98" i="24"/>
  <c r="J96" i="24"/>
  <c r="E119" i="24"/>
  <c r="E39" i="26" l="1"/>
  <c r="J175" i="24"/>
  <c r="G54" i="26"/>
  <c r="J95" i="24"/>
  <c r="J54" i="26" l="1"/>
  <c r="G45" i="26"/>
  <c r="J45" i="26" l="1"/>
  <c r="G119" i="24" l="1"/>
  <c r="J134" i="24"/>
  <c r="J72" i="24"/>
  <c r="J63" i="24"/>
  <c r="J44" i="24"/>
  <c r="J43" i="24"/>
  <c r="J39" i="24"/>
  <c r="J32" i="24"/>
  <c r="G21" i="24"/>
  <c r="K20" i="24"/>
  <c r="G206" i="24"/>
  <c r="J204" i="24"/>
  <c r="J202" i="24"/>
  <c r="J194" i="24"/>
  <c r="J193" i="24"/>
  <c r="J192" i="24"/>
  <c r="J191" i="24"/>
  <c r="J190" i="24"/>
  <c r="G185" i="24"/>
  <c r="J167" i="24"/>
  <c r="J166" i="24"/>
  <c r="J165" i="24"/>
  <c r="J162" i="24"/>
  <c r="J161" i="24"/>
  <c r="J160" i="24"/>
  <c r="J159" i="24"/>
  <c r="J158" i="24"/>
  <c r="J155" i="24"/>
  <c r="G152" i="24"/>
  <c r="L144" i="24"/>
  <c r="J142" i="24"/>
  <c r="J42" i="26" s="1"/>
  <c r="J140" i="24"/>
  <c r="J139" i="24"/>
  <c r="J137" i="24"/>
  <c r="J135" i="24"/>
  <c r="J130" i="24"/>
  <c r="J129" i="24"/>
  <c r="J128" i="24"/>
  <c r="J120" i="24"/>
  <c r="J118" i="24"/>
  <c r="J117" i="24"/>
  <c r="J115" i="24"/>
  <c r="J114" i="24"/>
  <c r="J82" i="24"/>
  <c r="J81" i="24"/>
  <c r="J80" i="24"/>
  <c r="J79" i="24"/>
  <c r="J78" i="24"/>
  <c r="J77" i="24"/>
  <c r="J75" i="24"/>
  <c r="J71" i="24"/>
  <c r="J70" i="24"/>
  <c r="J69" i="24"/>
  <c r="J66" i="24"/>
  <c r="J64" i="24"/>
  <c r="J61" i="24"/>
  <c r="J60" i="24"/>
  <c r="J59" i="24"/>
  <c r="J57" i="24"/>
  <c r="J56" i="24"/>
  <c r="J54" i="24"/>
  <c r="J50" i="24"/>
  <c r="J49" i="24"/>
  <c r="J48" i="24"/>
  <c r="J47" i="24"/>
  <c r="J46" i="24"/>
  <c r="J40" i="24"/>
  <c r="J35" i="24"/>
  <c r="J33" i="24"/>
  <c r="J31" i="24"/>
  <c r="J30" i="24"/>
  <c r="G26" i="24"/>
  <c r="G25" i="24"/>
  <c r="G24" i="24"/>
  <c r="J18" i="24"/>
  <c r="G14" i="24"/>
  <c r="G22" i="24" l="1"/>
  <c r="K13" i="24"/>
  <c r="L152" i="24"/>
  <c r="L149" i="24"/>
  <c r="L145" i="24"/>
  <c r="L151" i="24"/>
  <c r="L146" i="24"/>
  <c r="L148" i="24"/>
  <c r="J206" i="24"/>
  <c r="J144" i="24"/>
  <c r="J26" i="24"/>
  <c r="J25" i="24"/>
  <c r="J24" i="24"/>
  <c r="J23" i="24"/>
  <c r="J17" i="24"/>
  <c r="G16" i="26"/>
  <c r="L16" i="26"/>
  <c r="J145" i="24"/>
  <c r="J150" i="24"/>
  <c r="J146" i="24"/>
  <c r="J151" i="24"/>
  <c r="J148" i="24"/>
  <c r="J152" i="24"/>
  <c r="J149" i="24"/>
  <c r="F39" i="26"/>
  <c r="J14" i="24"/>
  <c r="J12" i="26" s="1"/>
  <c r="G12" i="26"/>
  <c r="J20" i="24"/>
  <c r="J15" i="26" s="1"/>
  <c r="G15" i="26"/>
  <c r="J11" i="26"/>
  <c r="J15" i="24"/>
  <c r="J13" i="26" s="1"/>
  <c r="G13" i="26"/>
  <c r="J154" i="24"/>
  <c r="G40" i="11"/>
  <c r="J196" i="24"/>
  <c r="G184" i="24"/>
  <c r="J185" i="24"/>
  <c r="J197" i="24"/>
  <c r="G187" i="24"/>
  <c r="J188" i="24"/>
  <c r="J21" i="24"/>
  <c r="J16" i="26" s="1"/>
  <c r="J41" i="24"/>
  <c r="G12" i="24"/>
  <c r="G39" i="26" l="1"/>
  <c r="L39" i="26" s="1"/>
  <c r="G16" i="24"/>
  <c r="G14" i="26" s="1"/>
  <c r="G58" i="26"/>
  <c r="G56" i="26" s="1"/>
  <c r="J119" i="24"/>
  <c r="J39" i="26" s="1"/>
  <c r="G10" i="26"/>
  <c r="G61" i="26"/>
  <c r="G17" i="26"/>
  <c r="J19" i="24"/>
  <c r="F18" i="12"/>
  <c r="K10" i="26" l="1"/>
  <c r="J10" i="26"/>
  <c r="J94" i="24" l="1"/>
  <c r="J34" i="26" s="1"/>
  <c r="F28" i="26" l="1"/>
  <c r="G67" i="24" l="1"/>
  <c r="K167" i="24"/>
  <c r="L67" i="24" l="1"/>
  <c r="G28" i="26"/>
  <c r="J28" i="26" s="1"/>
  <c r="E62" i="24"/>
  <c r="E27" i="26" s="1"/>
  <c r="F58" i="24"/>
  <c r="I29" i="26"/>
  <c r="E40" i="12"/>
  <c r="L28" i="26" l="1"/>
  <c r="K28" i="26"/>
  <c r="G58" i="24"/>
  <c r="F26" i="26"/>
  <c r="G26" i="26" l="1"/>
  <c r="E37" i="12"/>
  <c r="I27" i="26" l="1"/>
  <c r="F62" i="24"/>
  <c r="E65" i="26"/>
  <c r="G62" i="24" l="1"/>
  <c r="F27" i="26"/>
  <c r="K66" i="24"/>
  <c r="L62" i="24" l="1"/>
  <c r="G27" i="26"/>
  <c r="J27" i="26" s="1"/>
  <c r="J62" i="24"/>
  <c r="E189" i="24"/>
  <c r="E62" i="26" s="1"/>
  <c r="E184" i="24"/>
  <c r="L27" i="26" l="1"/>
  <c r="J184" i="24"/>
  <c r="E58" i="26"/>
  <c r="E43" i="26"/>
  <c r="E38" i="24"/>
  <c r="E22" i="26" s="1"/>
  <c r="J58" i="26" l="1"/>
  <c r="K27" i="24"/>
  <c r="K18" i="26" s="1"/>
  <c r="E18" i="26"/>
  <c r="C27" i="24"/>
  <c r="C18" i="26" s="1"/>
  <c r="G27" i="24" l="1"/>
  <c r="F18" i="26"/>
  <c r="L18" i="26" l="1"/>
  <c r="J27" i="24"/>
  <c r="J18" i="26" s="1"/>
  <c r="G18" i="26"/>
  <c r="E187" i="24"/>
  <c r="E63" i="26"/>
  <c r="E182" i="24"/>
  <c r="E57" i="26" s="1"/>
  <c r="E56" i="26" s="1"/>
  <c r="J153" i="24"/>
  <c r="E113" i="24"/>
  <c r="E109" i="24"/>
  <c r="E37" i="26" s="1"/>
  <c r="E36" i="26"/>
  <c r="E35" i="26"/>
  <c r="E23" i="26"/>
  <c r="E41" i="26"/>
  <c r="F133" i="24"/>
  <c r="E127" i="24"/>
  <c r="F127" i="24"/>
  <c r="F109" i="24"/>
  <c r="E76" i="24"/>
  <c r="E30" i="26" s="1"/>
  <c r="F76" i="24"/>
  <c r="E25" i="26"/>
  <c r="E29" i="24"/>
  <c r="E19" i="26" s="1"/>
  <c r="E22" i="24"/>
  <c r="E12" i="24"/>
  <c r="J12" i="24" s="1"/>
  <c r="E186" i="24" l="1"/>
  <c r="F15" i="10" s="1"/>
  <c r="D29" i="12"/>
  <c r="D23" i="12" s="1"/>
  <c r="E38" i="26"/>
  <c r="E93" i="24"/>
  <c r="L58" i="24"/>
  <c r="E37" i="24"/>
  <c r="E40" i="26"/>
  <c r="E11" i="24"/>
  <c r="J58" i="24"/>
  <c r="E26" i="26"/>
  <c r="E21" i="26" s="1"/>
  <c r="G76" i="24"/>
  <c r="F30" i="26"/>
  <c r="G109" i="24"/>
  <c r="F37" i="26"/>
  <c r="F36" i="26"/>
  <c r="G133" i="24"/>
  <c r="F41" i="26"/>
  <c r="G127" i="24"/>
  <c r="F40" i="26"/>
  <c r="E61" i="26"/>
  <c r="G97" i="24"/>
  <c r="L97" i="24" s="1"/>
  <c r="F35" i="26"/>
  <c r="J22" i="24"/>
  <c r="J17" i="26" s="1"/>
  <c r="E17" i="26"/>
  <c r="J16" i="24"/>
  <c r="J14" i="26" s="1"/>
  <c r="E14" i="26"/>
  <c r="J187" i="24"/>
  <c r="J67" i="24"/>
  <c r="E181" i="24"/>
  <c r="E33" i="26" l="1"/>
  <c r="G41" i="26"/>
  <c r="L41" i="26" s="1"/>
  <c r="G40" i="26"/>
  <c r="L40" i="26" s="1"/>
  <c r="G37" i="26"/>
  <c r="L37" i="26" s="1"/>
  <c r="L36" i="26"/>
  <c r="G35" i="26"/>
  <c r="L35" i="26" s="1"/>
  <c r="L76" i="24"/>
  <c r="G30" i="26"/>
  <c r="L30" i="26" s="1"/>
  <c r="E209" i="24"/>
  <c r="J109" i="24"/>
  <c r="J37" i="26" s="1"/>
  <c r="J133" i="24"/>
  <c r="J41" i="26" s="1"/>
  <c r="J103" i="24"/>
  <c r="J36" i="26" s="1"/>
  <c r="J127" i="24"/>
  <c r="J40" i="26" s="1"/>
  <c r="J76" i="24"/>
  <c r="J61" i="26"/>
  <c r="L61" i="26"/>
  <c r="E60" i="26"/>
  <c r="J97" i="24"/>
  <c r="J35" i="26" s="1"/>
  <c r="E9" i="26"/>
  <c r="J26" i="26"/>
  <c r="L26" i="26"/>
  <c r="E31" i="8"/>
  <c r="E13" i="8" s="1"/>
  <c r="F12" i="10" l="1"/>
  <c r="J30" i="26"/>
  <c r="E67" i="26"/>
  <c r="F28" i="10"/>
  <c r="F26" i="10" s="1"/>
  <c r="I201" i="24"/>
  <c r="I65" i="26" s="1"/>
  <c r="I205" i="24"/>
  <c r="I66" i="26" s="1"/>
  <c r="H33" i="12" l="1"/>
  <c r="I40" i="26" l="1"/>
  <c r="K191" i="24" l="1"/>
  <c r="K146" i="24" l="1"/>
  <c r="K149" i="24" l="1"/>
  <c r="F19" i="10" l="1"/>
  <c r="D45" i="11" l="1"/>
  <c r="E47" i="11"/>
  <c r="K145" i="24" l="1"/>
  <c r="C48" i="23" l="1"/>
  <c r="F24" i="11" l="1"/>
  <c r="C119" i="24" l="1"/>
  <c r="D33" i="12"/>
  <c r="C39" i="26" l="1"/>
  <c r="D119" i="24"/>
  <c r="F37" i="11"/>
  <c r="D15" i="12" l="1"/>
  <c r="D18" i="12"/>
  <c r="F40" i="11"/>
  <c r="F38" i="11"/>
  <c r="D16" i="12"/>
  <c r="F39" i="11"/>
  <c r="D17" i="12"/>
  <c r="F41" i="11"/>
  <c r="D19" i="12"/>
  <c r="D21" i="12"/>
  <c r="F43" i="11"/>
  <c r="F201" i="24" l="1"/>
  <c r="F205" i="24"/>
  <c r="E33" i="12" l="1"/>
  <c r="F65" i="26"/>
  <c r="G201" i="24"/>
  <c r="G65" i="26" s="1"/>
  <c r="G205" i="24"/>
  <c r="L205" i="24" s="1"/>
  <c r="F66" i="26"/>
  <c r="J201" i="24" l="1"/>
  <c r="L201" i="24"/>
  <c r="G66" i="26"/>
  <c r="J65" i="26"/>
  <c r="F33" i="12"/>
  <c r="J205" i="24"/>
  <c r="J66" i="26" l="1"/>
  <c r="L65" i="26"/>
  <c r="F27" i="11"/>
  <c r="E27" i="11"/>
  <c r="C20" i="11" l="1"/>
  <c r="H30" i="8"/>
  <c r="C19" i="11"/>
  <c r="H24" i="8"/>
  <c r="H22" i="8"/>
  <c r="C17" i="11"/>
  <c r="L106" i="24"/>
  <c r="L141" i="24"/>
  <c r="L138" i="24"/>
  <c r="L125" i="24"/>
  <c r="K41" i="24"/>
  <c r="K99" i="24"/>
  <c r="K95" i="24"/>
  <c r="C10" i="23"/>
  <c r="C9" i="23" s="1"/>
  <c r="L131" i="24"/>
  <c r="L121" i="24"/>
  <c r="C12" i="24"/>
  <c r="F12" i="24"/>
  <c r="F16" i="24"/>
  <c r="F14" i="26" s="1"/>
  <c r="I16" i="24"/>
  <c r="C22" i="24"/>
  <c r="F22" i="24"/>
  <c r="I22" i="24"/>
  <c r="I17" i="26" s="1"/>
  <c r="K23" i="24"/>
  <c r="K24" i="24"/>
  <c r="F29" i="24"/>
  <c r="I19" i="26"/>
  <c r="K35" i="24"/>
  <c r="C38" i="24"/>
  <c r="F38" i="24"/>
  <c r="D23" i="26"/>
  <c r="I23" i="26"/>
  <c r="I55" i="24"/>
  <c r="K56" i="24"/>
  <c r="K57" i="24"/>
  <c r="D26" i="26"/>
  <c r="K26" i="26" s="1"/>
  <c r="I58" i="24"/>
  <c r="K59" i="24"/>
  <c r="K63" i="24"/>
  <c r="F73" i="24"/>
  <c r="C94" i="24"/>
  <c r="C97" i="24"/>
  <c r="C103" i="24"/>
  <c r="L107" i="24"/>
  <c r="C109" i="24"/>
  <c r="C113" i="24"/>
  <c r="F113" i="24"/>
  <c r="G113" i="24" s="1"/>
  <c r="G38" i="26" s="1"/>
  <c r="I38" i="26"/>
  <c r="K118" i="24"/>
  <c r="K121" i="24"/>
  <c r="K123" i="24"/>
  <c r="K124" i="24"/>
  <c r="K125" i="24"/>
  <c r="K126" i="24"/>
  <c r="L126" i="24"/>
  <c r="C127" i="24"/>
  <c r="L129" i="24"/>
  <c r="K131" i="24"/>
  <c r="C133" i="24"/>
  <c r="K137" i="24"/>
  <c r="K139" i="24"/>
  <c r="K140" i="24"/>
  <c r="K141" i="24"/>
  <c r="L142" i="24"/>
  <c r="C143" i="24"/>
  <c r="F143" i="24"/>
  <c r="I43" i="26"/>
  <c r="K148" i="24"/>
  <c r="K150" i="24"/>
  <c r="C154" i="24"/>
  <c r="K155" i="24"/>
  <c r="K160" i="24"/>
  <c r="C164" i="24"/>
  <c r="D48" i="26"/>
  <c r="K48" i="26" s="1"/>
  <c r="D49" i="26"/>
  <c r="K49" i="26" s="1"/>
  <c r="D50" i="26"/>
  <c r="K50" i="26" s="1"/>
  <c r="D51" i="26"/>
  <c r="K51" i="26" s="1"/>
  <c r="D53" i="26"/>
  <c r="K53" i="26" s="1"/>
  <c r="D54" i="26"/>
  <c r="K54" i="26" s="1"/>
  <c r="C182" i="24"/>
  <c r="F182" i="24"/>
  <c r="I57" i="26"/>
  <c r="L183" i="24"/>
  <c r="C184" i="24"/>
  <c r="D184" i="24" s="1"/>
  <c r="F184" i="24"/>
  <c r="I58" i="26"/>
  <c r="C187" i="24"/>
  <c r="B29" i="12" s="1"/>
  <c r="B23" i="12" s="1"/>
  <c r="F187" i="24"/>
  <c r="I187" i="24"/>
  <c r="F189" i="24"/>
  <c r="I189" i="24"/>
  <c r="I62" i="26" s="1"/>
  <c r="I63" i="26"/>
  <c r="C201" i="24"/>
  <c r="B33" i="12" s="1"/>
  <c r="C205" i="24"/>
  <c r="D13" i="12"/>
  <c r="D11" i="12" s="1"/>
  <c r="F31" i="12"/>
  <c r="F36" i="12"/>
  <c r="D40" i="12"/>
  <c r="H40" i="12"/>
  <c r="H37" i="12" s="1"/>
  <c r="D59" i="12"/>
  <c r="E59" i="12"/>
  <c r="F59" i="12" s="1"/>
  <c r="H59" i="12"/>
  <c r="F60" i="12"/>
  <c r="I60" i="12" s="1"/>
  <c r="F61" i="12"/>
  <c r="J61" i="12" s="1"/>
  <c r="H25" i="11"/>
  <c r="E26" i="11"/>
  <c r="F26" i="11"/>
  <c r="F36" i="11"/>
  <c r="F34" i="11" s="1"/>
  <c r="F45" i="11"/>
  <c r="H48" i="11"/>
  <c r="H50" i="11"/>
  <c r="L123" i="24"/>
  <c r="L25" i="24"/>
  <c r="L124" i="24"/>
  <c r="L118" i="24"/>
  <c r="C38" i="11" l="1"/>
  <c r="C36" i="11" s="1"/>
  <c r="B38" i="11"/>
  <c r="M9" i="23"/>
  <c r="C56" i="23"/>
  <c r="I37" i="24"/>
  <c r="H16" i="12" s="1"/>
  <c r="C186" i="24"/>
  <c r="I186" i="24"/>
  <c r="F186" i="24"/>
  <c r="F37" i="24"/>
  <c r="G37" i="24" s="1"/>
  <c r="K60" i="12"/>
  <c r="C66" i="26"/>
  <c r="D205" i="24"/>
  <c r="D186" i="24" s="1"/>
  <c r="C15" i="10" s="1"/>
  <c r="C40" i="26"/>
  <c r="D40" i="26"/>
  <c r="K40" i="26" s="1"/>
  <c r="C41" i="26"/>
  <c r="D133" i="24"/>
  <c r="D41" i="26" s="1"/>
  <c r="K41" i="26" s="1"/>
  <c r="C63" i="26"/>
  <c r="C37" i="26"/>
  <c r="D37" i="26"/>
  <c r="K37" i="26" s="1"/>
  <c r="C61" i="26"/>
  <c r="C181" i="24"/>
  <c r="D182" i="24"/>
  <c r="C43" i="26"/>
  <c r="D143" i="24"/>
  <c r="D43" i="26" s="1"/>
  <c r="C38" i="26"/>
  <c r="D38" i="26"/>
  <c r="C22" i="26"/>
  <c r="D38" i="24"/>
  <c r="D22" i="26" s="1"/>
  <c r="D36" i="26"/>
  <c r="K36" i="26" s="1"/>
  <c r="C36" i="26"/>
  <c r="D35" i="26"/>
  <c r="K35" i="26" s="1"/>
  <c r="C35" i="26"/>
  <c r="D34" i="26"/>
  <c r="K34" i="26" s="1"/>
  <c r="C34" i="26"/>
  <c r="C33" i="12"/>
  <c r="C65" i="26"/>
  <c r="D30" i="26"/>
  <c r="K30" i="26" s="1"/>
  <c r="C30" i="26"/>
  <c r="D27" i="26"/>
  <c r="K27" i="26" s="1"/>
  <c r="C27" i="26"/>
  <c r="C19" i="26"/>
  <c r="C17" i="26"/>
  <c r="D14" i="26"/>
  <c r="D9" i="26" s="1"/>
  <c r="C14" i="26"/>
  <c r="D25" i="26"/>
  <c r="C25" i="26"/>
  <c r="K208" i="24"/>
  <c r="D11" i="10"/>
  <c r="C24" i="11"/>
  <c r="C22" i="11" s="1"/>
  <c r="C28" i="10"/>
  <c r="C26" i="10" s="1"/>
  <c r="I25" i="26"/>
  <c r="I39" i="26"/>
  <c r="I37" i="26"/>
  <c r="I36" i="26"/>
  <c r="I35" i="26"/>
  <c r="I34" i="26"/>
  <c r="I28" i="26"/>
  <c r="I30" i="26"/>
  <c r="E29" i="12"/>
  <c r="E23" i="12" s="1"/>
  <c r="I26" i="26"/>
  <c r="I11" i="24"/>
  <c r="F43" i="26"/>
  <c r="G143" i="24"/>
  <c r="L143" i="24" s="1"/>
  <c r="F93" i="24"/>
  <c r="H29" i="12"/>
  <c r="H23" i="12" s="1"/>
  <c r="D62" i="26"/>
  <c r="F29" i="12"/>
  <c r="F23" i="12" s="1"/>
  <c r="D18" i="11"/>
  <c r="D16" i="11" s="1"/>
  <c r="D13" i="11" s="1"/>
  <c r="C18" i="11"/>
  <c r="C16" i="11" s="1"/>
  <c r="I22" i="26"/>
  <c r="F29" i="26"/>
  <c r="F11" i="24"/>
  <c r="G11" i="24" s="1"/>
  <c r="J11" i="24" s="1"/>
  <c r="I56" i="26"/>
  <c r="I14" i="26"/>
  <c r="I9" i="26" s="1"/>
  <c r="F38" i="26"/>
  <c r="L45" i="24"/>
  <c r="F23" i="26"/>
  <c r="F58" i="26"/>
  <c r="G55" i="24"/>
  <c r="F25" i="26"/>
  <c r="G182" i="24"/>
  <c r="F57" i="26"/>
  <c r="L195" i="24"/>
  <c r="F63" i="26"/>
  <c r="I61" i="26"/>
  <c r="I60" i="26" s="1"/>
  <c r="K142" i="24"/>
  <c r="D42" i="26"/>
  <c r="K42" i="26" s="1"/>
  <c r="G38" i="24"/>
  <c r="F22" i="26"/>
  <c r="G189" i="24"/>
  <c r="G186" i="24" s="1"/>
  <c r="G43" i="11" s="1"/>
  <c r="F62" i="26"/>
  <c r="F61" i="26"/>
  <c r="G29" i="24"/>
  <c r="F19" i="26"/>
  <c r="F17" i="26"/>
  <c r="D26" i="23"/>
  <c r="C37" i="24"/>
  <c r="B16" i="12" s="1"/>
  <c r="G73" i="24"/>
  <c r="F14" i="10"/>
  <c r="D29" i="26"/>
  <c r="F22" i="11"/>
  <c r="B13" i="18"/>
  <c r="D22" i="11"/>
  <c r="J60" i="12"/>
  <c r="L110" i="24"/>
  <c r="L112" i="24"/>
  <c r="L20" i="24"/>
  <c r="L15" i="26" s="1"/>
  <c r="L19" i="24"/>
  <c r="L17" i="24"/>
  <c r="I59" i="12"/>
  <c r="J59" i="12"/>
  <c r="E24" i="11"/>
  <c r="E22" i="11" s="1"/>
  <c r="D28" i="10"/>
  <c r="D26" i="10" s="1"/>
  <c r="I181" i="24"/>
  <c r="H19" i="12" s="1"/>
  <c r="K14" i="24"/>
  <c r="K12" i="26" s="1"/>
  <c r="L14" i="24"/>
  <c r="L12" i="26" s="1"/>
  <c r="L13" i="24"/>
  <c r="L11" i="26" s="1"/>
  <c r="K11" i="26"/>
  <c r="K96" i="24"/>
  <c r="K78" i="24"/>
  <c r="K108" i="24"/>
  <c r="K193" i="24"/>
  <c r="L108" i="24"/>
  <c r="K19" i="24"/>
  <c r="K206" i="24"/>
  <c r="K65" i="24"/>
  <c r="K192" i="24"/>
  <c r="K18" i="24"/>
  <c r="K69" i="24"/>
  <c r="K82" i="24"/>
  <c r="F20" i="11"/>
  <c r="E20" i="11"/>
  <c r="F19" i="11"/>
  <c r="E19" i="11"/>
  <c r="F18" i="11"/>
  <c r="E18" i="11"/>
  <c r="F17" i="11"/>
  <c r="E17" i="11"/>
  <c r="C11" i="24"/>
  <c r="D58" i="26"/>
  <c r="K58" i="26" s="1"/>
  <c r="F181" i="24"/>
  <c r="G181" i="24" s="1"/>
  <c r="C93" i="24"/>
  <c r="K79" i="24"/>
  <c r="K188" i="24"/>
  <c r="L120" i="24"/>
  <c r="K175" i="24"/>
  <c r="K168" i="24"/>
  <c r="K166" i="24"/>
  <c r="K152" i="24"/>
  <c r="K144" i="24"/>
  <c r="K111" i="24"/>
  <c r="K39" i="24"/>
  <c r="K203" i="24"/>
  <c r="K173" i="24"/>
  <c r="K183" i="24"/>
  <c r="L130" i="24"/>
  <c r="K130" i="24"/>
  <c r="K64" i="24"/>
  <c r="K172" i="24"/>
  <c r="K171" i="24"/>
  <c r="K165" i="24"/>
  <c r="K117" i="24"/>
  <c r="K61" i="24"/>
  <c r="K159" i="24"/>
  <c r="K158" i="24"/>
  <c r="K197" i="24"/>
  <c r="K169" i="24"/>
  <c r="K136" i="24"/>
  <c r="L136" i="24"/>
  <c r="K112" i="24"/>
  <c r="K104" i="24"/>
  <c r="K50" i="24"/>
  <c r="K25" i="24"/>
  <c r="L23" i="24"/>
  <c r="K15" i="26"/>
  <c r="K204" i="24"/>
  <c r="L188" i="24"/>
  <c r="K161" i="24"/>
  <c r="K162" i="24"/>
  <c r="K129" i="24"/>
  <c r="L137" i="24"/>
  <c r="K151" i="24"/>
  <c r="K128" i="24"/>
  <c r="K101" i="24"/>
  <c r="K107" i="24"/>
  <c r="K100" i="24"/>
  <c r="K114" i="24"/>
  <c r="K31" i="24"/>
  <c r="K194" i="24"/>
  <c r="E11" i="8"/>
  <c r="D37" i="12"/>
  <c r="K81" i="24"/>
  <c r="K77" i="24"/>
  <c r="L135" i="24"/>
  <c r="K135" i="24"/>
  <c r="L127" i="24"/>
  <c r="K132" i="24"/>
  <c r="L132" i="24"/>
  <c r="K115" i="24"/>
  <c r="K110" i="24"/>
  <c r="K98" i="24"/>
  <c r="K75" i="24"/>
  <c r="K60" i="24"/>
  <c r="K49" i="24"/>
  <c r="K48" i="24"/>
  <c r="K47" i="24"/>
  <c r="K46" i="24"/>
  <c r="K43" i="24"/>
  <c r="K33" i="24"/>
  <c r="L24" i="24"/>
  <c r="L18" i="24"/>
  <c r="K185" i="24"/>
  <c r="K202" i="24"/>
  <c r="K196" i="24"/>
  <c r="K190" i="24"/>
  <c r="K174" i="24"/>
  <c r="K138" i="24"/>
  <c r="K120" i="24"/>
  <c r="K106" i="24"/>
  <c r="K102" i="24"/>
  <c r="K54" i="24"/>
  <c r="K72" i="24"/>
  <c r="K80" i="24"/>
  <c r="K30" i="24"/>
  <c r="K15" i="24"/>
  <c r="K13" i="26" s="1"/>
  <c r="K44" i="24"/>
  <c r="K32" i="24"/>
  <c r="L15" i="24"/>
  <c r="L13" i="26" s="1"/>
  <c r="L26" i="24"/>
  <c r="K40" i="24"/>
  <c r="K26" i="24"/>
  <c r="D39" i="26"/>
  <c r="K39" i="26" s="1"/>
  <c r="K71" i="24"/>
  <c r="K105" i="24"/>
  <c r="D47" i="26"/>
  <c r="K47" i="26" s="1"/>
  <c r="C153" i="24"/>
  <c r="L134" i="24"/>
  <c r="K59" i="12"/>
  <c r="L122" i="24"/>
  <c r="K122" i="24"/>
  <c r="K70" i="24"/>
  <c r="K42" i="24"/>
  <c r="K17" i="24"/>
  <c r="K134" i="24"/>
  <c r="L111" i="24"/>
  <c r="B37" i="11" l="1"/>
  <c r="B36" i="11" s="1"/>
  <c r="B15" i="12"/>
  <c r="B15" i="10"/>
  <c r="B43" i="11"/>
  <c r="B21" i="12"/>
  <c r="D93" i="24"/>
  <c r="B17" i="12"/>
  <c r="D181" i="24"/>
  <c r="E41" i="11" s="1"/>
  <c r="B19" i="12"/>
  <c r="F10" i="10"/>
  <c r="E9" i="8"/>
  <c r="C19" i="12"/>
  <c r="C60" i="26"/>
  <c r="C33" i="26"/>
  <c r="C21" i="26"/>
  <c r="C16" i="12"/>
  <c r="C9" i="26"/>
  <c r="C17" i="12"/>
  <c r="D11" i="24"/>
  <c r="D37" i="11" s="1"/>
  <c r="E16" i="12"/>
  <c r="B11" i="18"/>
  <c r="F15" i="12"/>
  <c r="C13" i="11"/>
  <c r="C30" i="11" s="1"/>
  <c r="E21" i="12"/>
  <c r="E19" i="12"/>
  <c r="E17" i="12"/>
  <c r="G93" i="24"/>
  <c r="H15" i="12"/>
  <c r="J189" i="24"/>
  <c r="J195" i="24"/>
  <c r="L73" i="24"/>
  <c r="L55" i="24"/>
  <c r="I21" i="26"/>
  <c r="L38" i="26"/>
  <c r="F209" i="24"/>
  <c r="L38" i="24"/>
  <c r="E15" i="12"/>
  <c r="L19" i="26"/>
  <c r="H21" i="12"/>
  <c r="F33" i="26"/>
  <c r="G43" i="26"/>
  <c r="J143" i="24"/>
  <c r="G22" i="26"/>
  <c r="G23" i="26"/>
  <c r="L23" i="26" s="1"/>
  <c r="G29" i="26"/>
  <c r="L29" i="26" s="1"/>
  <c r="J55" i="24"/>
  <c r="G19" i="26"/>
  <c r="G9" i="26" s="1"/>
  <c r="J9" i="26" s="1"/>
  <c r="G41" i="11"/>
  <c r="I41" i="11" s="1"/>
  <c r="D56" i="23"/>
  <c r="M56" i="23" s="1"/>
  <c r="M26" i="23"/>
  <c r="C209" i="24"/>
  <c r="D40" i="11"/>
  <c r="J113" i="24"/>
  <c r="J38" i="26" s="1"/>
  <c r="G62" i="26"/>
  <c r="G63" i="26"/>
  <c r="K63" i="26" s="1"/>
  <c r="L113" i="24"/>
  <c r="F56" i="26"/>
  <c r="K55" i="24"/>
  <c r="F21" i="26"/>
  <c r="G25" i="26"/>
  <c r="K25" i="26" s="1"/>
  <c r="F9" i="26"/>
  <c r="J45" i="24"/>
  <c r="K182" i="24"/>
  <c r="D57" i="26"/>
  <c r="D33" i="26"/>
  <c r="L182" i="24"/>
  <c r="K205" i="24"/>
  <c r="D66" i="26"/>
  <c r="K66" i="26" s="1"/>
  <c r="F60" i="26"/>
  <c r="D21" i="26"/>
  <c r="D65" i="26"/>
  <c r="K65" i="26" s="1"/>
  <c r="D61" i="26"/>
  <c r="J38" i="24"/>
  <c r="J182" i="24"/>
  <c r="G37" i="11"/>
  <c r="I37" i="11" s="1"/>
  <c r="J29" i="24"/>
  <c r="J19" i="26" s="1"/>
  <c r="C21" i="12"/>
  <c r="C43" i="11"/>
  <c r="C34" i="11" s="1"/>
  <c r="C52" i="11" s="1"/>
  <c r="C15" i="12"/>
  <c r="C37" i="11"/>
  <c r="D37" i="24"/>
  <c r="J73" i="24"/>
  <c r="D30" i="11"/>
  <c r="F16" i="11"/>
  <c r="F13" i="11" s="1"/>
  <c r="L189" i="24"/>
  <c r="L187" i="24"/>
  <c r="L12" i="24"/>
  <c r="L10" i="26" s="1"/>
  <c r="L16" i="24"/>
  <c r="L14" i="26" s="1"/>
  <c r="K22" i="24"/>
  <c r="K17" i="26" s="1"/>
  <c r="K184" i="24"/>
  <c r="K143" i="24"/>
  <c r="K38" i="24"/>
  <c r="K187" i="24"/>
  <c r="K195" i="24"/>
  <c r="E16" i="11"/>
  <c r="E13" i="11" s="1"/>
  <c r="E30" i="11" s="1"/>
  <c r="K103" i="24"/>
  <c r="K201" i="24"/>
  <c r="K58" i="24"/>
  <c r="K62" i="24"/>
  <c r="K67" i="24"/>
  <c r="K127" i="24"/>
  <c r="K119" i="24"/>
  <c r="L119" i="24"/>
  <c r="K12" i="24"/>
  <c r="K16" i="24"/>
  <c r="K14" i="26" s="1"/>
  <c r="D9" i="12"/>
  <c r="K76" i="24"/>
  <c r="K189" i="24"/>
  <c r="K97" i="24"/>
  <c r="K73" i="24"/>
  <c r="K45" i="24"/>
  <c r="K29" i="24"/>
  <c r="K19" i="26" s="1"/>
  <c r="L22" i="24"/>
  <c r="L17" i="26" s="1"/>
  <c r="L109" i="24"/>
  <c r="K109" i="24"/>
  <c r="K113" i="24"/>
  <c r="K164" i="24"/>
  <c r="L94" i="24"/>
  <c r="K94" i="24"/>
  <c r="K9" i="23"/>
  <c r="L133" i="24"/>
  <c r="K133" i="24"/>
  <c r="F52" i="11"/>
  <c r="D41" i="11" l="1"/>
  <c r="B13" i="12"/>
  <c r="B34" i="11"/>
  <c r="B52" i="11" s="1"/>
  <c r="C67" i="26"/>
  <c r="B9" i="18"/>
  <c r="C13" i="12"/>
  <c r="C14" i="10" s="1"/>
  <c r="G209" i="24"/>
  <c r="G12" i="10" s="1"/>
  <c r="J57" i="26"/>
  <c r="L56" i="26"/>
  <c r="E13" i="12"/>
  <c r="E11" i="12" s="1"/>
  <c r="L57" i="26"/>
  <c r="K38" i="26"/>
  <c r="G33" i="26"/>
  <c r="G21" i="26"/>
  <c r="K21" i="26" s="1"/>
  <c r="F67" i="26"/>
  <c r="L62" i="26"/>
  <c r="G60" i="26"/>
  <c r="L22" i="26"/>
  <c r="G39" i="11"/>
  <c r="I39" i="11" s="1"/>
  <c r="J93" i="24"/>
  <c r="L181" i="24"/>
  <c r="K29" i="26"/>
  <c r="J29" i="26"/>
  <c r="K9" i="26"/>
  <c r="K22" i="26"/>
  <c r="J22" i="26"/>
  <c r="J43" i="26"/>
  <c r="K43" i="26"/>
  <c r="J181" i="24"/>
  <c r="K181" i="24"/>
  <c r="F19" i="12"/>
  <c r="J19" i="12" s="1"/>
  <c r="K23" i="26"/>
  <c r="J23" i="26"/>
  <c r="I43" i="11"/>
  <c r="J62" i="26"/>
  <c r="G15" i="10"/>
  <c r="H15" i="10" s="1"/>
  <c r="J186" i="24"/>
  <c r="F21" i="12"/>
  <c r="K62" i="26"/>
  <c r="L63" i="26"/>
  <c r="F17" i="12"/>
  <c r="J63" i="26"/>
  <c r="J25" i="26"/>
  <c r="L25" i="26"/>
  <c r="J37" i="24"/>
  <c r="K11" i="24"/>
  <c r="D56" i="26"/>
  <c r="K57" i="26"/>
  <c r="D60" i="26"/>
  <c r="K61" i="26"/>
  <c r="G38" i="11"/>
  <c r="I38" i="11" s="1"/>
  <c r="L37" i="24"/>
  <c r="D39" i="11"/>
  <c r="D43" i="11"/>
  <c r="D38" i="11"/>
  <c r="F16" i="12"/>
  <c r="K37" i="24"/>
  <c r="D19" i="10"/>
  <c r="E45" i="11"/>
  <c r="D14" i="10"/>
  <c r="E37" i="11"/>
  <c r="E38" i="11"/>
  <c r="E39" i="11"/>
  <c r="H41" i="11"/>
  <c r="K33" i="12"/>
  <c r="J33" i="12"/>
  <c r="I33" i="12"/>
  <c r="E43" i="11"/>
  <c r="D15" i="10"/>
  <c r="K186" i="24"/>
  <c r="L186" i="24"/>
  <c r="K93" i="24"/>
  <c r="L9" i="23"/>
  <c r="L93" i="24"/>
  <c r="B11" i="12" l="1"/>
  <c r="B14" i="10"/>
  <c r="B12" i="10" s="1"/>
  <c r="C11" i="12"/>
  <c r="D67" i="26"/>
  <c r="C12" i="10"/>
  <c r="G14" i="10"/>
  <c r="G67" i="26"/>
  <c r="J67" i="26" s="1"/>
  <c r="F13" i="12"/>
  <c r="F11" i="12" s="1"/>
  <c r="J33" i="26"/>
  <c r="J56" i="26"/>
  <c r="K56" i="26"/>
  <c r="K33" i="26"/>
  <c r="L33" i="26"/>
  <c r="L60" i="26"/>
  <c r="E9" i="12"/>
  <c r="L21" i="26"/>
  <c r="J60" i="26"/>
  <c r="K60" i="26"/>
  <c r="J21" i="26"/>
  <c r="G36" i="11"/>
  <c r="G34" i="11" s="1"/>
  <c r="D36" i="11"/>
  <c r="D34" i="11" s="1"/>
  <c r="D52" i="11" s="1"/>
  <c r="F30" i="11"/>
  <c r="K19" i="12"/>
  <c r="I19" i="12"/>
  <c r="J21" i="12"/>
  <c r="K21" i="12"/>
  <c r="I21" i="12"/>
  <c r="H43" i="11"/>
  <c r="I18" i="12"/>
  <c r="K17" i="12"/>
  <c r="I17" i="12"/>
  <c r="J17" i="12"/>
  <c r="H39" i="11"/>
  <c r="H38" i="11"/>
  <c r="J16" i="12"/>
  <c r="K16" i="12"/>
  <c r="I16" i="12"/>
  <c r="B9" i="12" l="1"/>
  <c r="C9" i="12"/>
  <c r="L67" i="26"/>
  <c r="I36" i="11"/>
  <c r="I34" i="11"/>
  <c r="I23" i="12"/>
  <c r="I29" i="12" s="1"/>
  <c r="K23" i="12"/>
  <c r="J23" i="12"/>
  <c r="J29" i="12" s="1"/>
  <c r="K29" i="12"/>
  <c r="K21" i="24" l="1"/>
  <c r="K16" i="26" s="1"/>
  <c r="L11" i="24" l="1"/>
  <c r="L9" i="26" s="1"/>
  <c r="J209" i="24" l="1"/>
  <c r="I15" i="12"/>
  <c r="J15" i="12"/>
  <c r="K15" i="12"/>
  <c r="H37" i="11"/>
  <c r="L209" i="24"/>
  <c r="I13" i="12" l="1"/>
  <c r="K13" i="12"/>
  <c r="H14" i="10"/>
  <c r="H12" i="10"/>
  <c r="I11" i="12" l="1"/>
  <c r="K11" i="12"/>
  <c r="D154" i="24" l="1"/>
  <c r="D153" i="24" l="1"/>
  <c r="K153" i="24" s="1"/>
  <c r="D45" i="26"/>
  <c r="K46" i="26"/>
  <c r="K154" i="24"/>
  <c r="E40" i="11" l="1"/>
  <c r="E36" i="11" s="1"/>
  <c r="D209" i="24"/>
  <c r="K67" i="26"/>
  <c r="K45" i="26"/>
  <c r="H40" i="11" l="1"/>
  <c r="J18" i="12"/>
  <c r="K209" i="24"/>
  <c r="H36" i="11"/>
  <c r="E34" i="11"/>
  <c r="D12" i="10"/>
  <c r="J13" i="12"/>
  <c r="J11" i="12" l="1"/>
  <c r="E52" i="11"/>
  <c r="E54" i="11" s="1"/>
  <c r="H34" i="11"/>
  <c r="M35" i="23" l="1"/>
  <c r="J89" i="24" l="1"/>
  <c r="K89" i="24"/>
  <c r="K91" i="24"/>
  <c r="J91" i="24"/>
  <c r="I54" i="26"/>
  <c r="I45" i="26" s="1"/>
  <c r="H18" i="12"/>
  <c r="J33" i="60"/>
  <c r="J34" i="60" l="1"/>
  <c r="M21" i="23"/>
  <c r="J21" i="23"/>
  <c r="J10" i="60" l="1"/>
  <c r="J26" i="60"/>
  <c r="J40" i="60"/>
  <c r="F44" i="12"/>
  <c r="K15" i="60"/>
  <c r="I19" i="60"/>
  <c r="I9" i="60"/>
  <c r="I17" i="60" l="1"/>
  <c r="K19" i="60"/>
  <c r="K26" i="60"/>
  <c r="K40" i="60"/>
  <c r="K10" i="60"/>
  <c r="K8" i="60"/>
  <c r="K9" i="60"/>
  <c r="K44" i="12"/>
  <c r="J44" i="12"/>
  <c r="I44" i="12"/>
  <c r="I10" i="60"/>
  <c r="I26" i="60"/>
  <c r="J15" i="60"/>
  <c r="J19" i="60"/>
  <c r="I31" i="60"/>
  <c r="I40" i="60"/>
  <c r="K31" i="60"/>
  <c r="J9" i="60"/>
  <c r="I15" i="60"/>
  <c r="J31" i="60"/>
  <c r="K17" i="60"/>
  <c r="G21" i="10"/>
  <c r="H21" i="10" s="1"/>
  <c r="G47" i="11"/>
  <c r="I8" i="60" l="1"/>
  <c r="I16" i="60"/>
  <c r="F43" i="12"/>
  <c r="I43" i="12" s="1"/>
  <c r="K16" i="60"/>
  <c r="J16" i="60"/>
  <c r="F42" i="12"/>
  <c r="J42" i="12" s="1"/>
  <c r="J8" i="60"/>
  <c r="I47" i="11"/>
  <c r="G45" i="11"/>
  <c r="H47" i="11"/>
  <c r="G19" i="10"/>
  <c r="H19" i="10" s="1"/>
  <c r="I42" i="12" l="1"/>
  <c r="J43" i="12"/>
  <c r="K42" i="12"/>
  <c r="F40" i="12"/>
  <c r="I40" i="12" s="1"/>
  <c r="K43" i="12"/>
  <c r="I45" i="11"/>
  <c r="G52" i="11"/>
  <c r="H45" i="11"/>
  <c r="H52" i="11" s="1"/>
  <c r="F37" i="12" l="1"/>
  <c r="K37" i="12" s="1"/>
  <c r="K40" i="12"/>
  <c r="J40" i="12"/>
  <c r="I52" i="11"/>
  <c r="I37" i="12" l="1"/>
  <c r="J37" i="12"/>
  <c r="F9" i="12"/>
  <c r="I9" i="12" s="1"/>
  <c r="I41" i="26"/>
  <c r="I33" i="26" s="1"/>
  <c r="I67" i="26" s="1"/>
  <c r="I209" i="24"/>
  <c r="J9" i="12" l="1"/>
  <c r="K9" i="12"/>
  <c r="H17" i="12"/>
  <c r="H13" i="12" s="1"/>
  <c r="H11" i="12" s="1"/>
  <c r="L23" i="15"/>
  <c r="L27" i="15"/>
  <c r="G15" i="15"/>
  <c r="K15" i="15" s="1"/>
  <c r="L29" i="15"/>
  <c r="G13" i="15"/>
  <c r="K13" i="15" s="1"/>
  <c r="G17" i="15"/>
  <c r="K17" i="15" s="1"/>
  <c r="J25" i="15" l="1"/>
  <c r="K25" i="15"/>
  <c r="G11" i="15"/>
  <c r="J13" i="15"/>
  <c r="H9" i="12"/>
  <c r="L25" i="15"/>
  <c r="J15" i="15"/>
  <c r="L13" i="15"/>
  <c r="L9" i="15"/>
  <c r="J27" i="15"/>
  <c r="L19" i="15"/>
  <c r="J17" i="15"/>
  <c r="J29" i="15"/>
  <c r="J23" i="15"/>
  <c r="L17" i="15"/>
  <c r="L15" i="15"/>
  <c r="E19" i="18" l="1"/>
  <c r="E18" i="18" s="1"/>
  <c r="E16" i="18" s="1"/>
  <c r="K11" i="15"/>
  <c r="L21" i="15"/>
  <c r="J21" i="15"/>
  <c r="L11" i="15"/>
  <c r="J11" i="15"/>
  <c r="G47" i="8" l="1"/>
  <c r="I23" i="8"/>
  <c r="I41" i="8"/>
  <c r="I47" i="8" l="1"/>
  <c r="I45" i="8"/>
  <c r="H45" i="8"/>
  <c r="G28" i="10"/>
  <c r="G26" i="10" s="1"/>
  <c r="H47" i="8"/>
  <c r="H23" i="8"/>
  <c r="H41" i="8"/>
  <c r="H27" i="11" l="1"/>
  <c r="G26" i="11"/>
  <c r="I27" i="11"/>
  <c r="H28" i="10"/>
  <c r="H26" i="10"/>
  <c r="H26" i="11" l="1"/>
  <c r="I26" i="11"/>
  <c r="I27" i="8" l="1"/>
  <c r="H27" i="8"/>
  <c r="I28" i="8" l="1"/>
  <c r="H32" i="8" l="1"/>
  <c r="I32" i="8"/>
  <c r="G20" i="11"/>
  <c r="I20" i="11" l="1"/>
  <c r="H20" i="11"/>
  <c r="I31" i="8"/>
  <c r="H31" i="8"/>
  <c r="I39" i="8" l="1"/>
  <c r="H21" i="8"/>
  <c r="G18" i="11"/>
  <c r="H18" i="11" s="1"/>
  <c r="I21" i="8"/>
  <c r="I18" i="11" l="1"/>
  <c r="I38" i="8"/>
  <c r="I37" i="8"/>
  <c r="I36" i="8" s="1"/>
  <c r="I34" i="8" l="1"/>
  <c r="H29" i="8"/>
  <c r="I29" i="8"/>
  <c r="H40" i="8" l="1"/>
  <c r="G24" i="11"/>
  <c r="H24" i="11" s="1"/>
  <c r="I40" i="8"/>
  <c r="G22" i="11" l="1"/>
  <c r="H22" i="11" s="1"/>
  <c r="I24" i="11"/>
  <c r="H19" i="8"/>
  <c r="I19" i="8"/>
  <c r="I22" i="11" l="1"/>
  <c r="H17" i="8"/>
  <c r="I17" i="8"/>
  <c r="G17" i="11"/>
  <c r="H15" i="8"/>
  <c r="I15" i="8"/>
  <c r="H17" i="11" l="1"/>
  <c r="I17" i="11"/>
  <c r="H13" i="8"/>
  <c r="I13" i="8"/>
  <c r="I11" i="8"/>
  <c r="G17" i="10" l="1"/>
  <c r="G32" i="10" s="1"/>
  <c r="H11" i="8"/>
  <c r="H10" i="10"/>
  <c r="H9" i="8" l="1"/>
  <c r="I9" i="8"/>
  <c r="H26" i="8"/>
  <c r="I26" i="8"/>
  <c r="I16" i="11" l="1"/>
  <c r="H16" i="11"/>
  <c r="G13" i="11"/>
  <c r="H19" i="11"/>
  <c r="I19" i="11"/>
  <c r="H13" i="11" l="1"/>
  <c r="I13" i="11"/>
  <c r="G30" i="11"/>
  <c r="G54" i="11" l="1"/>
  <c r="H30" i="11"/>
  <c r="I30" i="11"/>
  <c r="H18" i="8" l="1"/>
  <c r="I18" i="8"/>
  <c r="F26" i="12"/>
  <c r="E26" i="12"/>
  <c r="E25" i="12"/>
  <c r="F25" i="12"/>
  <c r="E27" i="12"/>
  <c r="F27" i="12"/>
  <c r="E24" i="12"/>
  <c r="F24" i="12"/>
  <c r="U54" i="24"/>
</calcChain>
</file>

<file path=xl/sharedStrings.xml><?xml version="1.0" encoding="utf-8"?>
<sst xmlns="http://schemas.openxmlformats.org/spreadsheetml/2006/main" count="1385" uniqueCount="590">
  <si>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</si>
  <si>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</si>
  <si>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</si>
  <si>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</si>
  <si>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</si>
  <si>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</si>
  <si>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</si>
  <si>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</si>
  <si>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   3. Tasa y Derechos</t>
  </si>
  <si>
    <t xml:space="preserve">    4. Ingresos Varios</t>
  </si>
  <si>
    <t xml:space="preserve"> II  Ingreso de Capital</t>
  </si>
  <si>
    <t>MODIFICADO</t>
  </si>
  <si>
    <t>EJECUTADO</t>
  </si>
  <si>
    <t>T   O   T   A   L</t>
  </si>
  <si>
    <t>INGRESOS PROPIOS</t>
  </si>
  <si>
    <t xml:space="preserve">   VENTA DE SERVICIOS</t>
  </si>
  <si>
    <t xml:space="preserve">   OTROS SER. AUTOGESTION</t>
  </si>
  <si>
    <t xml:space="preserve">   MATRICULA-DERECHOS</t>
  </si>
  <si>
    <t xml:space="preserve">   OTROS - BIBLIOTECA</t>
  </si>
  <si>
    <t xml:space="preserve">   TASAS</t>
  </si>
  <si>
    <t xml:space="preserve">   INGRESOS VARIOS</t>
  </si>
  <si>
    <t>APORTE ESTATAL</t>
  </si>
  <si>
    <t>EJECUCION PORCENTUAL</t>
  </si>
  <si>
    <t>ANUAL</t>
  </si>
  <si>
    <t>INGRESOS</t>
  </si>
  <si>
    <t xml:space="preserve"> I. Ingresos Corrientes</t>
  </si>
  <si>
    <t>GASTOS</t>
  </si>
  <si>
    <t xml:space="preserve"> I.   Gastos Corrientes</t>
  </si>
  <si>
    <t xml:space="preserve"> II     Gastos de Capital</t>
  </si>
  <si>
    <t>Resultados Presupuestarios</t>
  </si>
  <si>
    <t>TOTAL</t>
  </si>
  <si>
    <t>FUNCIONAMIENTO</t>
  </si>
  <si>
    <t>INVERSIONES</t>
  </si>
  <si>
    <t>PRESUPUESTO</t>
  </si>
  <si>
    <t>DIRECCION Y ADMON  GENERAL</t>
  </si>
  <si>
    <t>EDUC. SUPERIOR TECNOLOGICA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</si>
  <si>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</si>
  <si>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</si>
  <si>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</si>
  <si>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</si>
  <si>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</si>
  <si>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</si>
  <si>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 xml:space="preserve">           RECAUDACION</t>
  </si>
  <si>
    <t>ACUMULADA</t>
  </si>
  <si>
    <t xml:space="preserve"> 1.2.1.4.07</t>
  </si>
  <si>
    <t xml:space="preserve"> 1.2.1.4.99</t>
  </si>
  <si>
    <t>TRANSFERENCIAS CORRIENTES</t>
  </si>
  <si>
    <t>TRANSFERENCIAS DE CAPITAL</t>
  </si>
  <si>
    <t xml:space="preserve"> I.  Ingresos Corrientes</t>
  </si>
  <si>
    <t xml:space="preserve"> II. Gastos Corrientes</t>
  </si>
  <si>
    <t xml:space="preserve">      Gastos  de Operación ( 0-1-2-3-4-9 )</t>
  </si>
  <si>
    <t xml:space="preserve"> IV.  Gasto  de Capital</t>
  </si>
  <si>
    <t xml:space="preserve"> V.   Ingresos de Capital ( 2 )</t>
  </si>
  <si>
    <t xml:space="preserve">        Saldo Inicial en Caja y Banco</t>
  </si>
  <si>
    <t xml:space="preserve">        Transferencias de Capital</t>
  </si>
  <si>
    <t xml:space="preserve"> VI. Resultado Presupuestario (III -1V + V)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</si>
  <si>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</si>
  <si>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</si>
  <si>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</si>
  <si>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</si>
  <si>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</si>
  <si>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B.  Recursos del Crédito</t>
  </si>
  <si>
    <t xml:space="preserve">   D.   Menos S. Final en Caja</t>
  </si>
  <si>
    <t xml:space="preserve">      Total Final en Caja</t>
  </si>
  <si>
    <t xml:space="preserve">        3.  Materiales y Suministro</t>
  </si>
  <si>
    <t xml:space="preserve">        4.  Maquinaria y Equipo</t>
  </si>
  <si>
    <t xml:space="preserve">      B.  Inversiones Financieras</t>
  </si>
  <si>
    <t xml:space="preserve">      D  Amortización de la Deuda.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</si>
  <si>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</si>
  <si>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</si>
  <si>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</si>
  <si>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</si>
  <si>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I  Gastos Corrientes</t>
  </si>
  <si>
    <t xml:space="preserve">       A. Operación</t>
  </si>
  <si>
    <t xml:space="preserve">          I.  Servicios Personales</t>
  </si>
  <si>
    <t xml:space="preserve">          3.  Materiales y Suministro</t>
  </si>
  <si>
    <t xml:space="preserve">       B. Transferencias</t>
  </si>
  <si>
    <t xml:space="preserve">               a. Gobierno Central</t>
  </si>
  <si>
    <t xml:space="preserve">               d. Municipios</t>
  </si>
  <si>
    <t xml:space="preserve">    II  Gastos DE CAPITAL</t>
  </si>
  <si>
    <t xml:space="preserve">       A.  Inversiones Físicas</t>
  </si>
  <si>
    <t xml:space="preserve">          1. Interna.</t>
  </si>
  <si>
    <t xml:space="preserve">          2. Externa.</t>
  </si>
  <si>
    <t>EJECUCIÓN</t>
  </si>
  <si>
    <t>PAGADO ACUMUL.</t>
  </si>
  <si>
    <t>LEY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</si>
  <si>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</si>
  <si>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</si>
  <si>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</si>
  <si>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</si>
  <si>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</si>
  <si>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</si>
  <si>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</si>
  <si>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</si>
  <si>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</si>
  <si>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</si>
  <si>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</si>
  <si>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011</t>
  </si>
  <si>
    <t>SOBRESUELDO POR ANTIG.</t>
  </si>
  <si>
    <t>SOBRESUELDOS POR JEF.</t>
  </si>
  <si>
    <t>019</t>
  </si>
  <si>
    <t>OTROS SOBRESUELDOS</t>
  </si>
  <si>
    <t>030</t>
  </si>
  <si>
    <t>GASTOS DE REPRES.</t>
  </si>
  <si>
    <t>050</t>
  </si>
  <si>
    <t>XIII MES</t>
  </si>
  <si>
    <t>070</t>
  </si>
  <si>
    <t>CONTRIBUC. A LA S.S.</t>
  </si>
  <si>
    <t>071</t>
  </si>
  <si>
    <t>C.P. SEG. SOCIAL</t>
  </si>
  <si>
    <t>072</t>
  </si>
  <si>
    <t>C.P. SEG. EDUCATIVO</t>
  </si>
  <si>
    <t>073</t>
  </si>
  <si>
    <t>C.P. RIESGO PROF.</t>
  </si>
  <si>
    <t>074</t>
  </si>
  <si>
    <t>C.P. FDO COMPLEM.</t>
  </si>
  <si>
    <t>080</t>
  </si>
  <si>
    <t>OTROS SERV. PERSONALES</t>
  </si>
  <si>
    <t>090</t>
  </si>
  <si>
    <t>CR.REC.POR S. PERSONAL</t>
  </si>
  <si>
    <t>091</t>
  </si>
  <si>
    <t>CRED.REC.POR SUELDO</t>
  </si>
  <si>
    <t>092</t>
  </si>
  <si>
    <t>1</t>
  </si>
  <si>
    <t>SERV. NO PERSONALES</t>
  </si>
  <si>
    <t>ALQUILERES</t>
  </si>
  <si>
    <t>101</t>
  </si>
  <si>
    <t>DE EDIFICIOS</t>
  </si>
  <si>
    <t>102</t>
  </si>
  <si>
    <t>EQUIPO ELECTRONICO</t>
  </si>
  <si>
    <t>103</t>
  </si>
  <si>
    <t>EQUIPO DE OFICINA</t>
  </si>
  <si>
    <t>104</t>
  </si>
  <si>
    <t>ALQ. DE EQ. DE PROD.</t>
  </si>
  <si>
    <t>105</t>
  </si>
  <si>
    <t>ALQ. DE EQ. DE TRANSPORTE</t>
  </si>
  <si>
    <t>109</t>
  </si>
  <si>
    <t>OTROS ALQUILERES</t>
  </si>
  <si>
    <t>110</t>
  </si>
  <si>
    <t>SERVICIOS BASICOS</t>
  </si>
  <si>
    <t>111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</si>
  <si>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</si>
  <si>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</si>
  <si>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</si>
  <si>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</si>
  <si>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</si>
  <si>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</si>
  <si>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</si>
  <si>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</si>
  <si>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</si>
  <si>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120</t>
  </si>
  <si>
    <t>IMPRESOS Y ENCUADER.</t>
  </si>
  <si>
    <t>130</t>
  </si>
  <si>
    <t>INF.Y PUBLICIDAD</t>
  </si>
  <si>
    <t>131</t>
  </si>
  <si>
    <t>ANUNCIOS Y AVISOS</t>
  </si>
  <si>
    <t>140</t>
  </si>
  <si>
    <t>VIATICOS</t>
  </si>
  <si>
    <t>141</t>
  </si>
  <si>
    <t>DENTRO DEL PAIS</t>
  </si>
  <si>
    <t>142</t>
  </si>
  <si>
    <t>EN EL EXTERIOR</t>
  </si>
  <si>
    <t>A PERSONAS</t>
  </si>
  <si>
    <t>150</t>
  </si>
  <si>
    <t>TRANSPORTE</t>
  </si>
  <si>
    <t>151</t>
  </si>
  <si>
    <t>152</t>
  </si>
  <si>
    <t>DE OTRAS PERSONAS</t>
  </si>
  <si>
    <t>160</t>
  </si>
  <si>
    <t>S. COMERCIALES</t>
  </si>
  <si>
    <t>164</t>
  </si>
  <si>
    <t>GASTOS DE SEGURO</t>
  </si>
  <si>
    <t>SERVICIOS ADUANEROS</t>
  </si>
  <si>
    <t>169</t>
  </si>
  <si>
    <t>OTROS SERVICIOS</t>
  </si>
  <si>
    <t>172</t>
  </si>
  <si>
    <t>SERVICIOS ESPECIALES</t>
  </si>
  <si>
    <t>180</t>
  </si>
  <si>
    <t>MANTO Y REPARACION</t>
  </si>
  <si>
    <t>MANT. Y REPARACION  EDIF.</t>
  </si>
  <si>
    <t>182</t>
  </si>
  <si>
    <t>189</t>
  </si>
  <si>
    <t>OTROS MANTENIMIENTO</t>
  </si>
  <si>
    <t>CR.REC.POR S. NO PERS.</t>
  </si>
  <si>
    <t>2</t>
  </si>
  <si>
    <t>MATER.Y SUMINISTROS</t>
  </si>
  <si>
    <t>200</t>
  </si>
  <si>
    <t>ALIMENTOS Y BEBIDAS</t>
  </si>
  <si>
    <t>201</t>
  </si>
  <si>
    <t>PARA CONSUMO HUMANO</t>
  </si>
  <si>
    <t>203</t>
  </si>
  <si>
    <t>BEBIDAS</t>
  </si>
  <si>
    <t>210</t>
  </si>
  <si>
    <t>TEXTILES Y VESTUARIOS</t>
  </si>
  <si>
    <t>211</t>
  </si>
  <si>
    <t>ACABADO TEXTIL</t>
  </si>
  <si>
    <t>212</t>
  </si>
  <si>
    <t>CALZADOS</t>
  </si>
  <si>
    <t>213</t>
  </si>
  <si>
    <t>HILADOS Y TELAS</t>
  </si>
  <si>
    <t>214</t>
  </si>
  <si>
    <t>PRENDAS DE VESTIR</t>
  </si>
  <si>
    <t>219</t>
  </si>
  <si>
    <t>OTROS TEXTILES</t>
  </si>
  <si>
    <t>220</t>
  </si>
  <si>
    <t>COMBUSTIBLES Y LUB.</t>
  </si>
  <si>
    <t>221</t>
  </si>
  <si>
    <t>DIESEL</t>
  </si>
  <si>
    <t>223</t>
  </si>
  <si>
    <t>GASOLINA</t>
  </si>
  <si>
    <t>224</t>
  </si>
  <si>
    <t>LUBRICANTES</t>
  </si>
  <si>
    <t>OTROS COMBUSTIBLES</t>
  </si>
  <si>
    <t>230</t>
  </si>
  <si>
    <t>PROD. DE PAPEL</t>
  </si>
  <si>
    <t>231</t>
  </si>
  <si>
    <t>IMPRESOS</t>
  </si>
  <si>
    <t>232</t>
  </si>
  <si>
    <t>PAPELERIA</t>
  </si>
  <si>
    <t>239</t>
  </si>
  <si>
    <t>OTROS PROD. DE PAPEL</t>
  </si>
  <si>
    <t>240</t>
  </si>
  <si>
    <t>OTROS PROD. QUIMICOS</t>
  </si>
  <si>
    <t>241</t>
  </si>
  <si>
    <t>ABONOS Y FERTILIZANTES</t>
  </si>
  <si>
    <t>242</t>
  </si>
  <si>
    <t>INSECT. FUMIGANTES Y OTROS</t>
  </si>
  <si>
    <t>243</t>
  </si>
  <si>
    <t>PINTURAS</t>
  </si>
  <si>
    <t>244</t>
  </si>
  <si>
    <t>PRODUCTOS MEDICINALES</t>
  </si>
  <si>
    <t>249</t>
  </si>
  <si>
    <t>OTROS P. QUIMICOS</t>
  </si>
  <si>
    <t>250</t>
  </si>
  <si>
    <t>MAT. DE CONSTRUCCION</t>
  </si>
  <si>
    <t>252</t>
  </si>
  <si>
    <t>CEMENTO</t>
  </si>
  <si>
    <t>253</t>
  </si>
  <si>
    <t>MADERAS</t>
  </si>
  <si>
    <t>M. DE PLOMERIA</t>
  </si>
  <si>
    <t>255</t>
  </si>
  <si>
    <t>M. DE ELECTRICIDAD</t>
  </si>
  <si>
    <t>256</t>
  </si>
  <si>
    <t>M. METALICOS</t>
  </si>
  <si>
    <t>PIEDRA Y ARENA</t>
  </si>
  <si>
    <t>259</t>
  </si>
  <si>
    <t>OROS MATERIALES</t>
  </si>
  <si>
    <t>260</t>
  </si>
  <si>
    <t>PRODUCTOS VARIOS</t>
  </si>
  <si>
    <t>ARTICULOS PARA RECEPCION</t>
  </si>
  <si>
    <t>262</t>
  </si>
  <si>
    <t>265</t>
  </si>
  <si>
    <t>269</t>
  </si>
  <si>
    <t>OTROS P. VARIOS</t>
  </si>
  <si>
    <t>270</t>
  </si>
  <si>
    <t>UTILES DE M. DIVERSOS</t>
  </si>
  <si>
    <t>271</t>
  </si>
  <si>
    <t>UTILES DE COCINA Y COMEDOR</t>
  </si>
  <si>
    <t>272</t>
  </si>
  <si>
    <t>UTILES DEPORTIVOS</t>
  </si>
  <si>
    <t>273</t>
  </si>
  <si>
    <t>UTILES DE ASEO</t>
  </si>
  <si>
    <t>274</t>
  </si>
  <si>
    <t>UTILES DE LABORATORIOS</t>
  </si>
  <si>
    <t>275</t>
  </si>
  <si>
    <t>UTILES DE OFICINA</t>
  </si>
  <si>
    <t>INSTRUMENTOS MEDICOS</t>
  </si>
  <si>
    <t>ARTICULOS DE PROTESIS Y REHA.</t>
  </si>
  <si>
    <t>279</t>
  </si>
  <si>
    <t>OTROS U. Y MATERIALES</t>
  </si>
  <si>
    <t>280</t>
  </si>
  <si>
    <t>REPUESTOS</t>
  </si>
  <si>
    <t>CR.REC.POR MAT. Y SUM.</t>
  </si>
  <si>
    <t>CR.REC. POR ALIMENTOS</t>
  </si>
  <si>
    <t>CD.REC. COMB. Y LUB.</t>
  </si>
  <si>
    <t>CD.REC. PROD. VARIOS</t>
  </si>
  <si>
    <t>CRED.REC.UTILES Y MAT.</t>
  </si>
  <si>
    <t>3</t>
  </si>
  <si>
    <t>MAQUINARIA Y EQUIPO</t>
  </si>
  <si>
    <t>MAQ.Y EQ. DE PRODUCCION</t>
  </si>
  <si>
    <t>MAQ. Y EQ. TRANSPORTE</t>
  </si>
  <si>
    <t>EQUIPO DE LABORATORIO</t>
  </si>
  <si>
    <t>EQUIPO DE, LABORATORIO</t>
  </si>
  <si>
    <t>MOBILIARIO DE OFICINA</t>
  </si>
  <si>
    <t>MAQ. Y EQUIPOS VARIOS</t>
  </si>
  <si>
    <t>EQUIPO DE COMPUTACION</t>
  </si>
  <si>
    <t>INV. FINANCIERAS</t>
  </si>
  <si>
    <t>COMPRA DE EXISTENCIA</t>
  </si>
  <si>
    <t>OTRAS EXISTENCIAS</t>
  </si>
  <si>
    <t>CR. REC. INVERSIONES FIN.</t>
  </si>
  <si>
    <t>CR. REC.  COMPRA EXISTENCIA</t>
  </si>
  <si>
    <t>6</t>
  </si>
  <si>
    <t>TRANSFERECIAS CORR.</t>
  </si>
  <si>
    <t>600</t>
  </si>
  <si>
    <t>PENSIONES Y JUBILACIONES</t>
  </si>
  <si>
    <t>609</t>
  </si>
  <si>
    <t>610</t>
  </si>
  <si>
    <t>BECAS DE ESTUDIO</t>
  </si>
  <si>
    <t>ADIEST. Y ESTUDIOS</t>
  </si>
  <si>
    <t>660</t>
  </si>
  <si>
    <t>TRANSF. AL EXTERIOR</t>
  </si>
  <si>
    <t>CUOTA  ORG. CENTROAM.</t>
  </si>
  <si>
    <t>663</t>
  </si>
  <si>
    <t>CUOTA  ORG. INTERAM.</t>
  </si>
  <si>
    <t>664</t>
  </si>
  <si>
    <t>CUOTA A ORG. MUNDIALES</t>
  </si>
  <si>
    <t>TOTAL FUNCIONAMIENTO</t>
  </si>
  <si>
    <t>P</t>
  </si>
  <si>
    <t>SALDO A LA FECHA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</si>
  <si>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</si>
  <si>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</si>
  <si>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</si>
  <si>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</si>
  <si>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</si>
  <si>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</si>
  <si>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</si>
  <si>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</si>
  <si>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>163</t>
  </si>
  <si>
    <t>GASTOS JUDICIALES</t>
  </si>
  <si>
    <t>GAS</t>
  </si>
  <si>
    <t>Ingresos Corrientes</t>
  </si>
  <si>
    <t>Ingresos de Capital</t>
  </si>
  <si>
    <t>EGRESOS</t>
  </si>
  <si>
    <t>Construcciones Educativas</t>
  </si>
  <si>
    <t>Mobiliario, Libros y Equipos Educ.</t>
  </si>
  <si>
    <t>PROGRAMA DE CONSTRUCCIONES</t>
  </si>
  <si>
    <t>CONSTRUCCION II FASE DEL PROYECTO DEL CAMPUS CENTRAL</t>
  </si>
  <si>
    <t>PROGRAMA DE MOBILIARIO</t>
  </si>
  <si>
    <t>PROGRAMAS-PROYECTOS</t>
  </si>
  <si>
    <t>099</t>
  </si>
  <si>
    <t>132</t>
  </si>
  <si>
    <t>PROMOCION Y PUBLICIDAD</t>
  </si>
  <si>
    <t>MANT. Y REPARACION MAQ. OTROS</t>
  </si>
  <si>
    <t>MANT. Y REPARACION  MOBILIARIOS</t>
  </si>
  <si>
    <t>MANT. Y REPARACION  OBRAS</t>
  </si>
  <si>
    <t>OTRAS MAQ. Y EQ. TRANSPORTE</t>
  </si>
  <si>
    <t>622</t>
  </si>
  <si>
    <t>BECAS UNIVERSITARIAS</t>
  </si>
  <si>
    <t>DONATIVOS A PERSONAS</t>
  </si>
  <si>
    <t>096</t>
  </si>
  <si>
    <t>CRED.REC.POR DECIMO III</t>
  </si>
  <si>
    <t>CRED. REC. POR TRANSF.COM</t>
  </si>
  <si>
    <t>MANT. DE EQUIPOS DE COMP.</t>
  </si>
  <si>
    <t xml:space="preserve">        1.  Servicios Personales</t>
  </si>
  <si>
    <t xml:space="preserve">MAQ. Y EQUIPO DE TALLERES </t>
  </si>
  <si>
    <t xml:space="preserve">     </t>
  </si>
  <si>
    <t>OTRAS TRANSFERENCIAS</t>
  </si>
  <si>
    <t>CONSULTORIAS Y SERV</t>
  </si>
  <si>
    <t>INDEMNIZ. POR RETIRO VOL.</t>
  </si>
  <si>
    <t>INDEMNIZ. ESPECIALES</t>
  </si>
  <si>
    <t>CRED.REC.POR REPUESTOS</t>
  </si>
  <si>
    <t>CR. REC.TRASNF. EXTERIOR</t>
  </si>
  <si>
    <t>Maq. Y Equipo Industrial</t>
  </si>
  <si>
    <t>Maq. Y Equipo de Talleres y Almacenes</t>
  </si>
  <si>
    <t>FORTALECIMIENTO DE LA SEDE REGIONAL</t>
  </si>
  <si>
    <t>094</t>
  </si>
  <si>
    <t>CRED. REC. GASTOS E REPRES.</t>
  </si>
  <si>
    <t>CR.RECONOCIDO POR MAQ. Y EQ.</t>
  </si>
  <si>
    <t>MAT. Y EQUIPO DE SEGURIDAD</t>
  </si>
  <si>
    <t>MAQ. Y EQUIPO DE ENERGIA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</si>
  <si>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</si>
  <si>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</si>
  <si>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</si>
  <si>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</si>
  <si>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</si>
  <si>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</si>
  <si>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FORTALECIMIENTO DE LA GESTIÓN DE PATENTES TECNOLÓGICAS</t>
  </si>
  <si>
    <t>BECAS DE ESTUDIOS</t>
  </si>
  <si>
    <r>
      <t xml:space="preserve">       </t>
    </r>
    <r>
      <rPr>
        <b/>
        <sz val="11"/>
        <color rgb="FF002060"/>
        <rFont val="Arial"/>
        <family val="2"/>
      </rPr>
      <t>D.  Amort. de la Deuda.</t>
    </r>
  </si>
  <si>
    <t>CD.REC. TEXTILES Y VESTUARIOS</t>
  </si>
  <si>
    <t>MANTENIMIENTO PREVENTIVO Y CORRECTIVO DE LA INFRAESTRUCTURA FISICA Y PATRIMONIAL DE LA UTP A NIVEL NACIONAL.</t>
  </si>
  <si>
    <t>INVESTIGACION Y TRANSFERENCIA DE TECNOLOGÍA</t>
  </si>
  <si>
    <t>CD.REC.POR MATERIALES CONST.</t>
  </si>
  <si>
    <t>EQUIIPO MEDICO, LABORATORIOS</t>
  </si>
  <si>
    <t>INDEMNIZACIONES LABORALES</t>
  </si>
  <si>
    <t>Transferencia de Tecnología</t>
  </si>
  <si>
    <t>DECIMO TERCER MES</t>
  </si>
  <si>
    <t>CONTRIBUCIÓN SEG. SOCIAL</t>
  </si>
  <si>
    <t>Dirección y Administración General</t>
  </si>
  <si>
    <t>Educación Superior Tecnológica</t>
  </si>
  <si>
    <t>081</t>
  </si>
  <si>
    <t>GRATIFICACIÓN O AGUINALDO</t>
  </si>
  <si>
    <t>DESARROLLO DEL CENTRO DE ESTUDIOS MULTIDISCIPLINARIO EN CIENCIAS</t>
  </si>
  <si>
    <t>CR.REC.PROD. QUIMICOS Y CONEXOS</t>
  </si>
  <si>
    <t>Investigación, Post Grado y Extensión</t>
  </si>
  <si>
    <t>TRANSPORTE DE BIENES</t>
  </si>
  <si>
    <t>P R E S U P U E S T O</t>
  </si>
  <si>
    <t>MAT. Y SUMINISTROS DE COMP.</t>
  </si>
  <si>
    <t>TRANSFERENCIAS CORR.</t>
  </si>
  <si>
    <t>IMPRESIÓN Y ENCUADERNACIÓN</t>
  </si>
  <si>
    <t>PORCENTUAL</t>
  </si>
  <si>
    <t xml:space="preserve">   B. Transf. de Capital</t>
  </si>
  <si>
    <t>ABOLUTA</t>
  </si>
  <si>
    <t>O/G</t>
  </si>
  <si>
    <t>CTA.</t>
  </si>
  <si>
    <t>EJECUCIÓN  PORCENTUAL</t>
  </si>
  <si>
    <t>EJECUCIÓN PORCENTUAL</t>
  </si>
  <si>
    <t>PAGADO  ACUMULADO</t>
  </si>
  <si>
    <t xml:space="preserve">CUADRO-6. EJECUCION PRESUPUESTARIA  DE FUNCIONAMIENTO </t>
  </si>
  <si>
    <t>SALDO ANUAL</t>
  </si>
  <si>
    <t>MEJORAMIENTO DEL CENTRO DE DATOS DE LA UTP</t>
  </si>
  <si>
    <t>CRED.REC. POR SERVICIOS NO PERS.</t>
  </si>
  <si>
    <t>CRED.REC.POR SERV. BÁSICOS</t>
  </si>
  <si>
    <t>CRED.REC.POR TRANSP. PERSONAS</t>
  </si>
  <si>
    <t>UNIVERSIDAD TECNOLÓGICA DE PANAMÁ</t>
  </si>
  <si>
    <t>DIRECCIÓN NACIONAL DE PRESUPUESTO</t>
  </si>
  <si>
    <t>UNIVERSIDAD TECNOLÓGICA DE PANAMA</t>
  </si>
  <si>
    <t>OTRAS PENSIONES Y JUBILACIONES</t>
  </si>
  <si>
    <t>MAQ. Y EQUIPO ACUEDUC. Y RIEGO</t>
  </si>
  <si>
    <t>CR.RECONOCIDO MAQ. Y EQ.</t>
  </si>
  <si>
    <t>CRED.REC.POR AlQUILERES</t>
  </si>
  <si>
    <t>CRED.REC.POR IMPRESIÓN Y ENC.</t>
  </si>
  <si>
    <t>CRED.REC.POR VIÁTICOS</t>
  </si>
  <si>
    <t>CRED.REC.POR SERV. COMERCIALES</t>
  </si>
  <si>
    <t>CRED.REC.POR MANTO. Y REPARAC.</t>
  </si>
  <si>
    <t>CR.RECONOCIDO   EQUIPO COMP.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</si>
  <si>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</si>
  <si>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</si>
  <si>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</si>
  <si>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</si>
  <si>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</si>
  <si>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DIRECCIÓN NACIONAL DE PANAMA</t>
  </si>
  <si>
    <t>CRED. REC. POR TRANSF.</t>
  </si>
  <si>
    <t>PENSIÓN Y JUBILACIONES</t>
  </si>
  <si>
    <t>SERVICIO TRASMISION DATOS</t>
  </si>
  <si>
    <t>CD.REC. PRODUCTO DE PAPEL</t>
  </si>
  <si>
    <t>MAQ. Y EQUIPO CONSTRUCCIONES</t>
  </si>
  <si>
    <t>EQUIPO MÉDICO Y LABORATORIO</t>
  </si>
  <si>
    <t>CR.RECONOCIDO  EQ. EDUCACIONAL</t>
  </si>
  <si>
    <t>MEJORAMIENTO LABORATORIOS FACULTADES Y CENTROS REGIONALES</t>
  </si>
  <si>
    <t>CONSULTORÍA</t>
  </si>
  <si>
    <t>CR.REC.  SERV. NO PERSONALES</t>
  </si>
  <si>
    <t xml:space="preserve">CUADRO  A-7 EJECUCION PRESUPUESTARIA SEGÚN ESTRUCTURA PROGRAMATICA  </t>
  </si>
  <si>
    <t>CRED. REC. POR SOBRESURLDOS</t>
  </si>
  <si>
    <t>SERVICIO DE TELEFONÍA CELULAR</t>
  </si>
  <si>
    <t>MAQ. Y  EQUIPO  INDUSTRIAL</t>
  </si>
  <si>
    <t>MAQ. Y  EQUIPO  COMUNICACIONES</t>
  </si>
  <si>
    <t xml:space="preserve"> III. Ahorro  en Cta Corriente ( I-II )</t>
  </si>
  <si>
    <t xml:space="preserve">        Inversiòn Fisica  </t>
  </si>
  <si>
    <t xml:space="preserve">        Recursos del Credito</t>
  </si>
  <si>
    <t xml:space="preserve">       2. Transf. Corrientes</t>
  </si>
  <si>
    <t xml:space="preserve">   A.  Saldo Inicial en Caja y Bco.</t>
  </si>
  <si>
    <t xml:space="preserve">   C.  Otros Rec. de Capital</t>
  </si>
  <si>
    <t xml:space="preserve">        1. Transf. de Capital</t>
  </si>
  <si>
    <t xml:space="preserve">    A. Operaciòn</t>
  </si>
  <si>
    <t xml:space="preserve">        2.  Serv. No Personales</t>
  </si>
  <si>
    <t xml:space="preserve">        5.  Inversiones Fínancieras</t>
  </si>
  <si>
    <t xml:space="preserve">     B.  Transf. Corrientes</t>
  </si>
  <si>
    <t xml:space="preserve">      A.  Inversiones Fìsicas</t>
  </si>
  <si>
    <t xml:space="preserve">      C   Transf. de Capital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</si>
  <si>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</si>
  <si>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</si>
  <si>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</si>
  <si>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</si>
  <si>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4.  Maquinaria y Equipo</t>
  </si>
  <si>
    <t xml:space="preserve">          5.  Inversiones Directas</t>
  </si>
  <si>
    <t xml:space="preserve">         2. Transferencias al Exterior</t>
  </si>
  <si>
    <t xml:space="preserve">        1.  Al Sector Público.</t>
  </si>
  <si>
    <t xml:space="preserve">             a. Gobierno Central</t>
  </si>
  <si>
    <t xml:space="preserve">             c. Empresasa Públicas</t>
  </si>
  <si>
    <t xml:space="preserve">             b. Entidades   Descent.ral. </t>
  </si>
  <si>
    <t xml:space="preserve">          2. Maquinaria y Equipo.</t>
  </si>
  <si>
    <t xml:space="preserve">          3. Investig. Y Transf. de Tec.</t>
  </si>
  <si>
    <t>013</t>
  </si>
  <si>
    <t>CUADRO  A-8.   EJECUCION PRESUPUESTARIA DE INVERSIONES</t>
  </si>
  <si>
    <t xml:space="preserve">CUADRO A-9   EJECUCIÓN PRESUPUESTARIA DE INVERSIONES </t>
  </si>
  <si>
    <t>MAQ. Y  EQUIPO AGROPECUARIO</t>
  </si>
  <si>
    <t>SERVICIOS BÁSICOS</t>
  </si>
  <si>
    <t>CODIFICACIÓN</t>
  </si>
  <si>
    <t>1.95.1.2.1</t>
  </si>
  <si>
    <t>1.95.1.2</t>
  </si>
  <si>
    <t>1.95.1.2.1.4.99</t>
  </si>
  <si>
    <t>1.95.1.2.3</t>
  </si>
  <si>
    <t xml:space="preserve">    2.  Transferencias Corrientes</t>
  </si>
  <si>
    <t>1.95.2.3.1.07</t>
  </si>
  <si>
    <t>1.95.1.2.4</t>
  </si>
  <si>
    <t>1.95.1.2.4.1.26</t>
  </si>
  <si>
    <t>1.95.1.2.4.1.99</t>
  </si>
  <si>
    <t>1.95.1.2.4.1.24</t>
  </si>
  <si>
    <t>1.95.1.2.6</t>
  </si>
  <si>
    <t>1.95.1.2.6.0.99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</si>
  <si>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</si>
  <si>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</si>
  <si>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</si>
  <si>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</si>
  <si>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</si>
  <si>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</si>
  <si>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</si>
  <si>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1.  No Tributarios</t>
  </si>
  <si>
    <t xml:space="preserve">            1.1.1.1 Lab. y C. Especializados.</t>
  </si>
  <si>
    <t xml:space="preserve">      1. Otros Ingresos de Capital</t>
  </si>
  <si>
    <t xml:space="preserve">        1.1  Transferencias de Capital</t>
  </si>
  <si>
    <t xml:space="preserve">           1.1.1  Gobierno Central</t>
  </si>
  <si>
    <t xml:space="preserve">             1.1.1.1 Ministerio de Educación</t>
  </si>
  <si>
    <t>CRED.REC.POR CONSULTORÍAS</t>
  </si>
  <si>
    <t>1.95.1.2.1.4</t>
  </si>
  <si>
    <t>CR. REC.TRASNF. CORRIENTES</t>
  </si>
  <si>
    <t xml:space="preserve">                                                                                                                            </t>
  </si>
  <si>
    <t>GASTOS BANCARIOS</t>
  </si>
  <si>
    <t>INFORMACIÓN Y PUBLICIDAD</t>
  </si>
  <si>
    <t>CRE.REC.POR CONT. SGURIDAD SOC.</t>
  </si>
  <si>
    <t>CRE.REC.POR OTROS SERVICIOS ESP.</t>
  </si>
  <si>
    <t>HERRAMIENTAS  E INSTRUMENTOS</t>
  </si>
  <si>
    <t>CR. REC.P'OR BECAS DE ESTUDIOS</t>
  </si>
  <si>
    <t>MODIFICAD0</t>
  </si>
  <si>
    <t xml:space="preserve"> OBJETO DE GASTO: AL 30 DE ENERO DE 2025</t>
  </si>
  <si>
    <t>OTROS SERVICIOS BASICOS</t>
  </si>
  <si>
    <t xml:space="preserve">CONSULTORIAS </t>
  </si>
  <si>
    <t>OTRAS BECAS</t>
  </si>
  <si>
    <t>TRANSF. CORRIENTES A INST. PUB.</t>
  </si>
  <si>
    <t>AL GOBIERNO CENTRAL</t>
  </si>
  <si>
    <t>.</t>
  </si>
  <si>
    <t xml:space="preserve">   AL 30 DE ENERO DE 2025</t>
  </si>
  <si>
    <t xml:space="preserve">  A NIVEL DE CUENTAS  AL 30 DE ENERO DE 2025</t>
  </si>
  <si>
    <t xml:space="preserve"> NIVEL DE CUENTA :AL 30 DE ENERO DE 2025</t>
  </si>
  <si>
    <t>AL 30 DE ENERO DE 2025</t>
  </si>
  <si>
    <t>POR PROGRAMA  AL 30 DE ENERO DE 2025</t>
  </si>
  <si>
    <t>REPARACIÓN DEL EDIFICIO 70 Y TALLER DE METAL MECANICA DE COLÓN</t>
  </si>
  <si>
    <t>IMPLEMENTACIÓN DE LA MOVILIDAD ELECTRICA EN LA UTP</t>
  </si>
  <si>
    <t>MEJORAMIENTO DE LA INFRAESTRUCTURA TECNOLÓGICA DE LA UTP</t>
  </si>
  <si>
    <t>FORTALECIMIENTO DE LA GESTIÓN ADMINISTRATIVA DE LA UTP</t>
  </si>
  <si>
    <t>MEJORAMIENTO DE LOS LABORATORIOS DE LA FAC. DE ING. MECÁNICA UTP</t>
  </si>
  <si>
    <t>EQUIPAMIENTO DE LABORATORIO ACADÉMICOS C.REG. DE BOCAS DEL TORO</t>
  </si>
  <si>
    <t>EQUIPAMIENTO DE LABORATORIO DE SUELDOS Y MATERIALES (LASYMA)</t>
  </si>
  <si>
    <t>HABILITACIÓN DEL LABORATORIO DE ANÁLISIS INDUSTRIALES Y CIENCIA (LABAICA</t>
  </si>
  <si>
    <t>HABILITACIÓN DE LABORATORIOS DE DOCENCIA PARA EL CENTRO CITT</t>
  </si>
  <si>
    <t>FORTALECIMIENTO DE CAPACIDADES DEL LABORATORIO DE BIOSÓLIDOS</t>
  </si>
  <si>
    <t>MEJORAMIENTO DE LAB. ACADÉMICOS Y DE ÁREAS DOCENTES Y ADM. FII-UTP</t>
  </si>
  <si>
    <t>HABILITACIÓN DE LABORATORIOS DE QUÍMICA CAMPUS CENTRAL</t>
  </si>
  <si>
    <t>MEJORAMIENTO DEL LABORATORIO DE SUELOS Y MAT. C.REG. CHIRIQUÍ</t>
  </si>
  <si>
    <t>DESARROLLO DE CONSULTORÍAS PARA PROYECOTS DE ESTADO</t>
  </si>
  <si>
    <t>DESARROLLO DEL HUB DE FORMACIÓN PARA LA TRANSFORMACIÓN DIGITAL E INDUSTRA 4.0</t>
  </si>
  <si>
    <t>HABILITACIÓN DE INFRAEST. Y EQUIP. DE LAB. PARA EL IMPULSO DE INVESTIGACIÓN Y LA INNOVACIÓN.</t>
  </si>
  <si>
    <t>HABILITACIÓN DEL CENTRO NACIONALDE SUPERCOMPUTACIÓN PARA INV. DE DIFERENTES FENÓMENOS Y ESCALAS (IBEROGUN)-UTP</t>
  </si>
  <si>
    <t>HABILITACIÓN DE UN CENTRO DE TEC. AVANZADA PARA LA INDUSTRIA DE SEMICONDUCTORES DE PANAMA (C-TASC PANAMÁ)</t>
  </si>
  <si>
    <t>DESARROLLO DEL PLAN DE FORMACIÓN PARA DOCENTES INVESTIGADORES</t>
  </si>
  <si>
    <t>REHABILITACIÓN DE LOS ESTACIONAMIENTOS DEL CENTRO REGIONAL CHIRIQUÍ</t>
  </si>
  <si>
    <t>CONSTRUCCIÓN II ETAPA DE EDIFICIO DE AULAS  DE PANAMA OESTE</t>
  </si>
  <si>
    <t>CONSTRUCCIÓN DE EDIFICIO DE FACILIDADES ESTUDIANTILES Y CAFETERIA COLÓN</t>
  </si>
  <si>
    <t>TRANSF. CORRIENTES A INST.PUB.</t>
  </si>
  <si>
    <t>DEVENGADO ACUMULADO</t>
  </si>
  <si>
    <t>DEVENGADO        ACUMULADO</t>
  </si>
  <si>
    <t>AL 30 DE  ENERO DE 2025</t>
  </si>
  <si>
    <t>DEVENGADO  ACUMULADO</t>
  </si>
  <si>
    <t>SALDO  A LA FECHA</t>
  </si>
  <si>
    <t>1.95.1.2.1.4.12</t>
  </si>
  <si>
    <t>1.95.2.4.1</t>
  </si>
  <si>
    <t>1.95.2.4.1.2</t>
  </si>
  <si>
    <t>1.95.2.4.1.2.01</t>
  </si>
  <si>
    <t>EJECUCIÓN ACUMULADA</t>
  </si>
  <si>
    <t>EJEDCUCIÓN ACUMULADA</t>
  </si>
  <si>
    <t>TRANSPORTE DE PERSONAS Y  B.</t>
  </si>
  <si>
    <t xml:space="preserve">            1.1.1.2 Otros Servicios-Autog.</t>
  </si>
  <si>
    <t xml:space="preserve">      1.1.1 Ingresos por Vtas. de Serv.</t>
  </si>
  <si>
    <t>Fuente: Dirección Nacional de Presupuesto.</t>
  </si>
  <si>
    <t xml:space="preserve">        Inversión Financiera</t>
  </si>
  <si>
    <t xml:space="preserve">        Transferencia de capital (7)</t>
  </si>
  <si>
    <t xml:space="preserve">        Amortización de la Deuda (8)</t>
  </si>
  <si>
    <t xml:space="preserve">      Transferencias Corrientes  (6)</t>
  </si>
  <si>
    <t xml:space="preserve">   SALDO EN CAJA  (CORRIENTE)</t>
  </si>
  <si>
    <t xml:space="preserve">   SALDO EN CAJA (CAPITAL)</t>
  </si>
  <si>
    <t xml:space="preserve">   APORTE LIBRE</t>
  </si>
  <si>
    <t xml:space="preserve">   I.D.A.A.N.</t>
  </si>
  <si>
    <t xml:space="preserve">   CONTRIBUCION A LA S.S.</t>
  </si>
  <si>
    <t xml:space="preserve"> 1.2.4.1.24</t>
  </si>
  <si>
    <t xml:space="preserve"> 1.2.4.1.99</t>
  </si>
  <si>
    <t xml:space="preserve"> 1.2.4.2.26</t>
  </si>
  <si>
    <t xml:space="preserve"> 1.2.6.0.99</t>
  </si>
  <si>
    <t xml:space="preserve"> 1.4.2.0.01</t>
  </si>
  <si>
    <t xml:space="preserve"> 2.4.2.0.01</t>
  </si>
  <si>
    <t xml:space="preserve"> 1.2.3.1.07</t>
  </si>
  <si>
    <t xml:space="preserve"> 2.3.2.1.07</t>
  </si>
  <si>
    <t>1.95.1.2.3.1</t>
  </si>
  <si>
    <t xml:space="preserve"> II.  Ingreso de Capital</t>
  </si>
  <si>
    <t xml:space="preserve">     1.1  Renta de Activos</t>
  </si>
  <si>
    <t xml:space="preserve">      2. 1  Gobierno Central</t>
  </si>
  <si>
    <t xml:space="preserve">       2.1.1  Ministerio de Educación.</t>
  </si>
  <si>
    <t xml:space="preserve">      3.2. Derechos</t>
  </si>
  <si>
    <t xml:space="preserve">      3.1 Tasas por Servicios</t>
  </si>
  <si>
    <t xml:space="preserve">      3.3. Otros  -Biblioteca</t>
  </si>
  <si>
    <t xml:space="preserve">      4.1. Otros Ing. Varios</t>
  </si>
  <si>
    <t xml:space="preserve">        2.1. Disponible  Libre en Bco.</t>
  </si>
  <si>
    <t xml:space="preserve">      2. Saldo en Caja y Banco</t>
  </si>
  <si>
    <t xml:space="preserve">             2.1.1  Instituciones Descentral.</t>
  </si>
  <si>
    <t xml:space="preserve">               2.1.1.1 Saldo en Caja</t>
  </si>
  <si>
    <t>BALANCE PRESUPUESTARIO ACUMULADO DE INGRESOS</t>
  </si>
  <si>
    <t xml:space="preserve"> EJECUCION DE INGRESOS SEGÚN OBJETO</t>
  </si>
  <si>
    <t xml:space="preserve"> FINANCIAMIENTO PRESUPUESTARIO DE INGRESOS Y GASTOS</t>
  </si>
  <si>
    <t>BALANCE PRESUPUESTARIO ACUMULADO DE GASTO</t>
  </si>
  <si>
    <t xml:space="preserve"> EJECUCION PRESUPUESTARIA  DE FUNCIONAMIENTO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</si>
</sst>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€]#,##0.00\ ;[$€]\(#,##0.00\);[$€]\-#\ ;@\ "/>
    <numFmt numFmtId="165" formatCode="#,##0\ ;\(#,##0\)"/>
    <numFmt numFmtId="166" formatCode="0.0"/>
    <numFmt numFmtId="167" formatCode="&quot; B/.&quot;#,##0.00\ ;&quot; B/.(&quot;#,##0.00\);&quot; B/.-&quot;#\ ;@\ "/>
    <numFmt numFmtId="168" formatCode="#,##0.0"/>
    <numFmt numFmtId="169" formatCode="0.00\ "/>
    <numFmt numFmtId="170" formatCode="#"/>
    <numFmt numFmtId="171" formatCode="#,###"/>
    <numFmt numFmtId="172" formatCode="dd/mmm"/>
    <numFmt numFmtId="173" formatCode="#,##0.0\ ;\(#,##0.0\)"/>
    <numFmt numFmtId="174" formatCode="#,##0\ ;[Red]\-#,##0\ "/>
    <numFmt numFmtId="175" formatCode="#,##0.0_);[Red]\(#,##0.0\)"/>
    <numFmt numFmtId="176" formatCode="#,##0.0\ ;\(#,###\)"/>
    <numFmt numFmtId="177" formatCode="#,##0.00000000000000"/>
    <numFmt numFmtId="178" formatCode="#,##0.0000000000000"/>
  </numFmts>
  <fonts count="71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18"/>
      <name val="Franklin Gothic Book"/>
      <family val="2"/>
    </font>
    <font>
      <sz val="7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8"/>
      <name val="Franklin Gothic Book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i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002060"/>
      <name val="Arial"/>
      <family val="2"/>
    </font>
    <font>
      <b/>
      <sz val="12"/>
      <color rgb="FF002060"/>
      <name val="Georgia"/>
      <family val="1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i/>
      <sz val="11"/>
      <color rgb="FF00206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 Unicode MS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000066"/>
      <name val="Arial"/>
      <family val="2"/>
    </font>
    <font>
      <sz val="12"/>
      <color rgb="FF002060"/>
      <name val="Georgia"/>
      <family val="1"/>
    </font>
    <font>
      <sz val="9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2060"/>
      <name val="Arial Black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i/>
      <sz val="10.5"/>
      <color rgb="FF002060"/>
      <name val="Arial Black"/>
      <family val="2"/>
    </font>
    <font>
      <sz val="9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"/>
      <color rgb="FF002060"/>
      <name val="Arial Rounded MT Bold"/>
      <family val="2"/>
    </font>
    <font>
      <sz val="10"/>
      <color rgb="FF002060"/>
      <name val="Arial Rounded MT Bold"/>
      <family val="2"/>
    </font>
    <font>
      <b/>
      <u/>
      <sz val="10"/>
      <color rgb="FF002060"/>
      <name val="Arial Rounded MT Bold"/>
      <family val="2"/>
    </font>
    <font>
      <b/>
      <u/>
      <sz val="10"/>
      <color rgb="FF002060"/>
      <name val="Arial"/>
      <family val="2"/>
    </font>
    <font>
      <sz val="7"/>
      <color rgb="FF002060"/>
      <name val="Arial"/>
      <family val="2"/>
    </font>
    <font>
      <sz val="9"/>
      <color rgb="FF002060"/>
      <name val="Arial Black"/>
      <family val="2"/>
    </font>
    <font>
      <b/>
      <sz val="10.5"/>
      <color rgb="FF002060"/>
      <name val="Arial"/>
      <family val="2"/>
    </font>
    <font>
      <b/>
      <u/>
      <sz val="12"/>
      <color rgb="FF002060"/>
      <name val="Arial"/>
      <family val="2"/>
    </font>
    <font>
      <b/>
      <sz val="10"/>
      <color rgb="FF002060"/>
      <name val="Arial Black"/>
      <family val="2"/>
    </font>
    <font>
      <b/>
      <sz val="9"/>
      <color rgb="FF002060"/>
      <name val="Franklin Gothic Book"/>
      <family val="2"/>
    </font>
    <font>
      <sz val="12"/>
      <color rgb="FF002060"/>
      <name val="Arial"/>
      <family val="2"/>
    </font>
    <font>
      <b/>
      <sz val="12"/>
      <color theme="4" tint="-0.499984740745262"/>
      <name val="Arial"/>
      <family val="2"/>
    </font>
    <font>
      <b/>
      <sz val="10"/>
      <color rgb="FF00206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31"/>
      </patternFill>
    </fill>
  </fills>
  <borders count="229">
    <border>
      <left/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/>
      <top style="double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/>
      <bottom/>
      <diagonal/>
    </border>
    <border>
      <left/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indexed="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rgb="FF002060"/>
      </left>
      <right style="thin">
        <color indexed="62"/>
      </right>
      <top/>
      <bottom/>
      <diagonal/>
    </border>
    <border>
      <left/>
      <right style="thin">
        <color theme="3" tint="-0.499984740745262"/>
      </right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 style="thin">
        <color indexed="62"/>
      </left>
      <right style="thin">
        <color indexed="62"/>
      </right>
      <top style="thin">
        <color rgb="FF000066"/>
      </top>
      <bottom style="thin">
        <color rgb="FF000066"/>
      </bottom>
      <diagonal/>
    </border>
    <border>
      <left style="thin">
        <color indexed="62"/>
      </left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 style="thin">
        <color indexed="62"/>
      </left>
      <right/>
      <top style="medium">
        <color rgb="FF000066"/>
      </top>
      <bottom style="medium">
        <color rgb="FF000066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rgb="FF000066"/>
      </top>
      <bottom style="medium">
        <color rgb="FF000066"/>
      </bottom>
      <diagonal/>
    </border>
    <border>
      <left/>
      <right style="thin">
        <color rgb="FF000066"/>
      </right>
      <top/>
      <bottom/>
      <diagonal/>
    </border>
    <border>
      <left/>
      <right/>
      <top style="medium">
        <color rgb="FF000066"/>
      </top>
      <bottom/>
      <diagonal/>
    </border>
    <border>
      <left style="thin">
        <color theme="3" tint="-0.24994659260841701"/>
      </left>
      <right/>
      <top/>
      <bottom/>
      <diagonal/>
    </border>
    <border>
      <left style="thin">
        <color indexed="62"/>
      </left>
      <right style="thin">
        <color theme="3" tint="-0.499984740745262"/>
      </right>
      <top/>
      <bottom/>
      <diagonal/>
    </border>
    <border>
      <left/>
      <right style="thin">
        <color indexed="62"/>
      </right>
      <top style="thin">
        <color rgb="FF000066"/>
      </top>
      <bottom style="thin">
        <color rgb="FF000066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auto="1"/>
      </top>
      <bottom style="medium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medium">
        <color auto="1"/>
      </bottom>
      <diagonal/>
    </border>
    <border>
      <left style="thin">
        <color theme="3" tint="-0.24994659260841701"/>
      </left>
      <right/>
      <top style="medium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rgb="FF000066"/>
      </top>
      <bottom style="thin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/>
      <diagonal/>
    </border>
    <border>
      <left/>
      <right style="thin">
        <color theme="3" tint="-0.499984740745262"/>
      </right>
      <top style="medium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indexed="62"/>
      </bottom>
      <diagonal/>
    </border>
    <border>
      <left style="thin">
        <color theme="3" tint="-0.499984740745262"/>
      </left>
      <right/>
      <top style="medium">
        <color auto="1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medium">
        <color auto="1"/>
      </top>
      <bottom style="medium">
        <color auto="1"/>
      </bottom>
      <diagonal/>
    </border>
    <border>
      <left style="thin">
        <color indexed="62"/>
      </left>
      <right/>
      <top style="medium">
        <color auto="1"/>
      </top>
      <bottom style="medium">
        <color auto="1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 style="thin">
        <color theme="3" tint="-0.499984740745262"/>
      </left>
      <right/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/>
      <right style="thin">
        <color rgb="FF002060"/>
      </right>
      <top/>
      <bottom style="thin">
        <color indexed="62"/>
      </bottom>
      <diagonal/>
    </border>
    <border>
      <left style="thin">
        <color rgb="FF002060"/>
      </left>
      <right/>
      <top/>
      <bottom style="thin">
        <color theme="3" tint="-0.499984740745262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/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rgb="FF002060"/>
      </left>
      <right style="thin">
        <color rgb="FF002060"/>
      </right>
      <top style="thin">
        <color rgb="FF000066"/>
      </top>
      <bottom/>
      <diagonal/>
    </border>
    <border>
      <left style="thin">
        <color rgb="FF002060"/>
      </left>
      <right style="thin">
        <color rgb="FF002060"/>
      </right>
      <top style="thin">
        <color rgb="FF000066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3" tint="-0.499984740745262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theme="3" tint="-0.24994659260841701"/>
      </left>
      <right style="thin">
        <color indexed="62"/>
      </right>
      <top/>
      <bottom/>
      <diagonal/>
    </border>
    <border>
      <left style="thin">
        <color auto="1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rgb="FF000066"/>
      </right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auto="1"/>
      </bottom>
      <diagonal/>
    </border>
    <border>
      <left style="thin">
        <color theme="3" tint="-0.499984740745262"/>
      </left>
      <right/>
      <top style="thin">
        <color indexed="62"/>
      </top>
      <bottom style="thin">
        <color indexed="62"/>
      </bottom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indexed="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theme="3" tint="-0.499984740745262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3" tint="-0.499984740745262"/>
      </left>
      <right/>
      <top style="medium">
        <color auto="1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rgb="FF002060"/>
      </left>
      <right/>
      <top style="thin">
        <color auto="1"/>
      </top>
      <bottom style="thin">
        <color rgb="FF000066"/>
      </bottom>
      <diagonal/>
    </border>
    <border>
      <left/>
      <right/>
      <top style="thin">
        <color auto="1"/>
      </top>
      <bottom style="thin">
        <color rgb="FF000066"/>
      </bottom>
      <diagonal/>
    </border>
    <border>
      <left/>
      <right style="thin">
        <color rgb="FF002060"/>
      </right>
      <top style="thin">
        <color auto="1"/>
      </top>
      <bottom style="thin">
        <color rgb="FF000066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/>
      <diagonal/>
    </border>
    <border>
      <left style="thin">
        <color rgb="FF000066"/>
      </left>
      <right style="thin">
        <color rgb="FF000066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/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18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">
    <xf numFmtId="0" fontId="0" fillId="0" borderId="0"/>
    <xf numFmtId="164" fontId="14" fillId="0" borderId="0" applyFill="0" applyBorder="0" applyAlignment="0" applyProtection="0"/>
    <xf numFmtId="167" fontId="14" fillId="0" borderId="0" applyFill="0" applyBorder="0" applyAlignment="0" applyProtection="0"/>
    <xf numFmtId="0" fontId="14" fillId="0" borderId="0"/>
  </cellStyleXfs>
  <cellXfs count="755">
    <xf numFmtId="0" fontId="0" fillId="0" borderId="0" xfId="0"/>
    <xf numFmtId="3" fontId="0" fillId="0" borderId="0" xfId="0" applyNumberForma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2" xfId="0" applyBorder="1"/>
    <xf numFmtId="0" fontId="10" fillId="0" borderId="0" xfId="0" applyFont="1"/>
    <xf numFmtId="3" fontId="2" fillId="0" borderId="0" xfId="0" applyNumberFormat="1" applyFont="1" applyAlignment="1">
      <alignment horizontal="center"/>
    </xf>
    <xf numFmtId="3" fontId="9" fillId="0" borderId="0" xfId="0" applyNumberFormat="1" applyFont="1"/>
    <xf numFmtId="169" fontId="8" fillId="0" borderId="0" xfId="0" applyNumberFormat="1" applyFont="1" applyAlignment="1">
      <alignment horizontal="left"/>
    </xf>
    <xf numFmtId="174" fontId="9" fillId="0" borderId="0" xfId="0" applyNumberFormat="1" applyFont="1"/>
    <xf numFmtId="0" fontId="13" fillId="0" borderId="0" xfId="0" applyFont="1"/>
    <xf numFmtId="49" fontId="8" fillId="0" borderId="0" xfId="0" applyNumberFormat="1" applyFont="1" applyAlignment="1">
      <alignment horizontal="left"/>
    </xf>
    <xf numFmtId="3" fontId="9" fillId="0" borderId="3" xfId="0" applyNumberFormat="1" applyFont="1" applyBorder="1"/>
    <xf numFmtId="17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4" xfId="0" applyNumberFormat="1" applyFont="1" applyBorder="1"/>
    <xf numFmtId="0" fontId="0" fillId="3" borderId="0" xfId="0" applyFill="1"/>
    <xf numFmtId="0" fontId="15" fillId="0" borderId="0" xfId="0" applyFont="1"/>
    <xf numFmtId="3" fontId="12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9" fillId="0" borderId="0" xfId="0" applyFont="1"/>
    <xf numFmtId="49" fontId="21" fillId="0" borderId="0" xfId="0" applyNumberFormat="1" applyFont="1" applyAlignment="1">
      <alignment horizontal="right"/>
    </xf>
    <xf numFmtId="0" fontId="20" fillId="0" borderId="0" xfId="0" applyFont="1" applyAlignment="1">
      <alignment horizontal="left"/>
    </xf>
    <xf numFmtId="3" fontId="22" fillId="0" borderId="0" xfId="0" applyNumberFormat="1" applyFont="1"/>
    <xf numFmtId="49" fontId="23" fillId="0" borderId="0" xfId="0" applyNumberFormat="1" applyFont="1"/>
    <xf numFmtId="0" fontId="24" fillId="0" borderId="0" xfId="0" applyFont="1"/>
    <xf numFmtId="3" fontId="25" fillId="0" borderId="0" xfId="0" applyNumberFormat="1" applyFont="1"/>
    <xf numFmtId="37" fontId="25" fillId="0" borderId="0" xfId="0" applyNumberFormat="1" applyFont="1" applyAlignment="1">
      <alignment horizontal="right"/>
    </xf>
    <xf numFmtId="0" fontId="22" fillId="0" borderId="0" xfId="0" applyFont="1"/>
    <xf numFmtId="0" fontId="26" fillId="0" borderId="0" xfId="0" applyFont="1"/>
    <xf numFmtId="0" fontId="21" fillId="0" borderId="0" xfId="0" applyFont="1"/>
    <xf numFmtId="0" fontId="19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3" fontId="26" fillId="0" borderId="0" xfId="0" applyNumberFormat="1" applyFont="1"/>
    <xf numFmtId="3" fontId="19" fillId="0" borderId="0" xfId="0" applyNumberFormat="1" applyFont="1"/>
    <xf numFmtId="2" fontId="28" fillId="0" borderId="0" xfId="0" applyNumberFormat="1" applyFont="1"/>
    <xf numFmtId="168" fontId="28" fillId="0" borderId="0" xfId="0" applyNumberFormat="1" applyFont="1"/>
    <xf numFmtId="0" fontId="23" fillId="0" borderId="0" xfId="0" applyFont="1"/>
    <xf numFmtId="3" fontId="20" fillId="0" borderId="0" xfId="0" applyNumberFormat="1" applyFont="1"/>
    <xf numFmtId="37" fontId="19" fillId="0" borderId="0" xfId="0" applyNumberFormat="1" applyFont="1"/>
    <xf numFmtId="0" fontId="20" fillId="0" borderId="0" xfId="0" applyFont="1"/>
    <xf numFmtId="3" fontId="8" fillId="0" borderId="0" xfId="0" applyNumberFormat="1" applyFont="1"/>
    <xf numFmtId="4" fontId="0" fillId="0" borderId="0" xfId="0" applyNumberFormat="1"/>
    <xf numFmtId="0" fontId="34" fillId="0" borderId="0" xfId="0" applyFont="1"/>
    <xf numFmtId="4" fontId="34" fillId="0" borderId="0" xfId="0" applyNumberFormat="1" applyFont="1"/>
    <xf numFmtId="0" fontId="35" fillId="0" borderId="0" xfId="0" applyFont="1" applyAlignment="1">
      <alignment horizontal="center"/>
    </xf>
    <xf numFmtId="0" fontId="35" fillId="0" borderId="0" xfId="0" applyFont="1"/>
    <xf numFmtId="3" fontId="36" fillId="0" borderId="0" xfId="0" applyNumberFormat="1" applyFont="1"/>
    <xf numFmtId="166" fontId="0" fillId="0" borderId="0" xfId="0" applyNumberFormat="1"/>
    <xf numFmtId="0" fontId="37" fillId="0" borderId="0" xfId="0" applyFont="1"/>
    <xf numFmtId="0" fontId="18" fillId="5" borderId="0" xfId="0" applyFont="1" applyFill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8" fillId="0" borderId="0" xfId="0" applyFont="1"/>
    <xf numFmtId="0" fontId="27" fillId="0" borderId="0" xfId="0" applyFont="1" applyAlignment="1">
      <alignment horizontal="center"/>
    </xf>
    <xf numFmtId="3" fontId="17" fillId="0" borderId="0" xfId="0" applyNumberFormat="1" applyFont="1"/>
    <xf numFmtId="3" fontId="29" fillId="0" borderId="10" xfId="0" applyNumberFormat="1" applyFont="1" applyBorder="1"/>
    <xf numFmtId="3" fontId="19" fillId="0" borderId="10" xfId="0" applyNumberFormat="1" applyFont="1" applyBorder="1"/>
    <xf numFmtId="0" fontId="40" fillId="0" borderId="0" xfId="0" applyFont="1"/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4" fontId="43" fillId="0" borderId="0" xfId="0" applyNumberFormat="1" applyFont="1" applyAlignment="1">
      <alignment vertical="center"/>
    </xf>
    <xf numFmtId="0" fontId="42" fillId="0" borderId="0" xfId="0" applyFont="1" applyAlignment="1">
      <alignment horizontal="left" vertical="center"/>
    </xf>
    <xf numFmtId="4" fontId="44" fillId="0" borderId="0" xfId="0" applyNumberFormat="1" applyFont="1" applyAlignment="1">
      <alignment vertical="center"/>
    </xf>
    <xf numFmtId="169" fontId="1" fillId="0" borderId="0" xfId="0" applyNumberFormat="1" applyFont="1" applyAlignment="1">
      <alignment horizontal="left"/>
    </xf>
    <xf numFmtId="3" fontId="6" fillId="0" borderId="0" xfId="0" applyNumberFormat="1" applyFont="1"/>
    <xf numFmtId="177" fontId="0" fillId="0" borderId="0" xfId="0" applyNumberFormat="1"/>
    <xf numFmtId="178" fontId="0" fillId="0" borderId="0" xfId="0" applyNumberFormat="1"/>
    <xf numFmtId="0" fontId="48" fillId="0" borderId="0" xfId="0" applyFont="1"/>
    <xf numFmtId="0" fontId="49" fillId="0" borderId="0" xfId="0" applyFont="1"/>
    <xf numFmtId="0" fontId="45" fillId="0" borderId="0" xfId="0" applyFont="1"/>
    <xf numFmtId="0" fontId="51" fillId="0" borderId="0" xfId="0" applyFont="1"/>
    <xf numFmtId="3" fontId="39" fillId="0" borderId="16" xfId="0" applyNumberFormat="1" applyFont="1" applyBorder="1" applyAlignment="1">
      <alignment horizontal="left"/>
    </xf>
    <xf numFmtId="3" fontId="39" fillId="0" borderId="10" xfId="0" applyNumberFormat="1" applyFont="1" applyBorder="1" applyAlignment="1">
      <alignment horizontal="left"/>
    </xf>
    <xf numFmtId="3" fontId="39" fillId="0" borderId="10" xfId="0" applyNumberFormat="1" applyFont="1" applyBorder="1"/>
    <xf numFmtId="3" fontId="52" fillId="0" borderId="16" xfId="0" applyNumberFormat="1" applyFont="1" applyBorder="1" applyAlignment="1">
      <alignment horizontal="left"/>
    </xf>
    <xf numFmtId="3" fontId="52" fillId="0" borderId="10" xfId="0" applyNumberFormat="1" applyFont="1" applyBorder="1" applyAlignment="1">
      <alignment horizontal="left"/>
    </xf>
    <xf numFmtId="3" fontId="52" fillId="0" borderId="10" xfId="0" applyNumberFormat="1" applyFont="1" applyBorder="1"/>
    <xf numFmtId="3" fontId="39" fillId="0" borderId="10" xfId="0" applyNumberFormat="1" applyFont="1" applyBorder="1" applyAlignment="1">
      <alignment horizontal="right"/>
    </xf>
    <xf numFmtId="3" fontId="39" fillId="0" borderId="16" xfId="0" applyNumberFormat="1" applyFont="1" applyBorder="1"/>
    <xf numFmtId="3" fontId="52" fillId="0" borderId="16" xfId="0" applyNumberFormat="1" applyFont="1" applyBorder="1"/>
    <xf numFmtId="3" fontId="52" fillId="0" borderId="16" xfId="0" applyNumberFormat="1" applyFont="1" applyBorder="1" applyAlignment="1">
      <alignment horizontal="left" vertical="center" wrapText="1"/>
    </xf>
    <xf numFmtId="3" fontId="52" fillId="0" borderId="0" xfId="0" applyNumberFormat="1" applyFont="1" applyAlignment="1">
      <alignment horizontal="left"/>
    </xf>
    <xf numFmtId="3" fontId="39" fillId="0" borderId="0" xfId="0" applyNumberFormat="1" applyFont="1" applyAlignment="1">
      <alignment horizontal="left"/>
    </xf>
    <xf numFmtId="0" fontId="39" fillId="0" borderId="0" xfId="0" applyFont="1" applyAlignment="1">
      <alignment horizontal="left"/>
    </xf>
    <xf numFmtId="3" fontId="52" fillId="0" borderId="1" xfId="0" applyNumberFormat="1" applyFont="1" applyBorder="1" applyAlignment="1">
      <alignment horizontal="left" vertical="center"/>
    </xf>
    <xf numFmtId="3" fontId="39" fillId="0" borderId="0" xfId="0" applyNumberFormat="1" applyFont="1"/>
    <xf numFmtId="3" fontId="52" fillId="0" borderId="0" xfId="0" applyNumberFormat="1" applyFont="1"/>
    <xf numFmtId="3" fontId="52" fillId="0" borderId="0" xfId="0" applyNumberFormat="1" applyFont="1" applyAlignment="1">
      <alignment vertical="center"/>
    </xf>
    <xf numFmtId="3" fontId="39" fillId="0" borderId="54" xfId="0" applyNumberFormat="1" applyFont="1" applyBorder="1" applyAlignment="1">
      <alignment horizontal="left"/>
    </xf>
    <xf numFmtId="3" fontId="52" fillId="0" borderId="10" xfId="0" applyNumberFormat="1" applyFont="1" applyBorder="1" applyAlignment="1">
      <alignment vertical="center" wrapText="1"/>
    </xf>
    <xf numFmtId="3" fontId="39" fillId="0" borderId="34" xfId="0" applyNumberFormat="1" applyFont="1" applyBorder="1" applyAlignment="1">
      <alignment horizontal="left"/>
    </xf>
    <xf numFmtId="0" fontId="39" fillId="0" borderId="34" xfId="0" applyFont="1" applyBorder="1"/>
    <xf numFmtId="3" fontId="39" fillId="0" borderId="36" xfId="0" applyNumberFormat="1" applyFont="1" applyBorder="1" applyAlignment="1">
      <alignment horizontal="left"/>
    </xf>
    <xf numFmtId="3" fontId="39" fillId="0" borderId="36" xfId="0" applyNumberFormat="1" applyFont="1" applyBorder="1"/>
    <xf numFmtId="3" fontId="52" fillId="0" borderId="32" xfId="0" applyNumberFormat="1" applyFont="1" applyBorder="1" applyAlignment="1">
      <alignment vertical="center"/>
    </xf>
    <xf numFmtId="3" fontId="52" fillId="0" borderId="10" xfId="0" applyNumberFormat="1" applyFont="1" applyBorder="1" applyAlignment="1">
      <alignment vertical="center"/>
    </xf>
    <xf numFmtId="3" fontId="39" fillId="0" borderId="32" xfId="0" applyNumberFormat="1" applyFont="1" applyBorder="1"/>
    <xf numFmtId="3" fontId="52" fillId="0" borderId="32" xfId="0" applyNumberFormat="1" applyFont="1" applyBorder="1"/>
    <xf numFmtId="3" fontId="39" fillId="0" borderId="26" xfId="0" applyNumberFormat="1" applyFont="1" applyBorder="1"/>
    <xf numFmtId="3" fontId="52" fillId="0" borderId="24" xfId="0" applyNumberFormat="1" applyFont="1" applyBorder="1" applyAlignment="1">
      <alignment vertical="center"/>
    </xf>
    <xf numFmtId="3" fontId="52" fillId="0" borderId="27" xfId="0" applyNumberFormat="1" applyFont="1" applyBorder="1" applyAlignment="1">
      <alignment vertical="center"/>
    </xf>
    <xf numFmtId="3" fontId="39" fillId="0" borderId="23" xfId="0" applyNumberFormat="1" applyFont="1" applyBorder="1"/>
    <xf numFmtId="3" fontId="39" fillId="0" borderId="24" xfId="0" applyNumberFormat="1" applyFont="1" applyBorder="1"/>
    <xf numFmtId="3" fontId="52" fillId="0" borderId="23" xfId="0" applyNumberFormat="1" applyFont="1" applyBorder="1" applyAlignment="1">
      <alignment vertical="center"/>
    </xf>
    <xf numFmtId="3" fontId="52" fillId="0" borderId="30" xfId="0" applyNumberFormat="1" applyFont="1" applyBorder="1"/>
    <xf numFmtId="3" fontId="39" fillId="0" borderId="30" xfId="0" applyNumberFormat="1" applyFont="1" applyBorder="1" applyAlignment="1">
      <alignment horizontal="left"/>
    </xf>
    <xf numFmtId="3" fontId="39" fillId="0" borderId="30" xfId="0" applyNumberFormat="1" applyFont="1" applyBorder="1"/>
    <xf numFmtId="0" fontId="39" fillId="0" borderId="30" xfId="0" applyFont="1" applyBorder="1"/>
    <xf numFmtId="4" fontId="39" fillId="0" borderId="30" xfId="0" applyNumberFormat="1" applyFont="1" applyBorder="1"/>
    <xf numFmtId="3" fontId="52" fillId="0" borderId="30" xfId="0" applyNumberFormat="1" applyFont="1" applyBorder="1" applyAlignment="1">
      <alignment horizontal="left"/>
    </xf>
    <xf numFmtId="3" fontId="52" fillId="0" borderId="47" xfId="0" applyNumberFormat="1" applyFont="1" applyBorder="1"/>
    <xf numFmtId="3" fontId="52" fillId="0" borderId="26" xfId="0" applyNumberFormat="1" applyFont="1" applyBorder="1"/>
    <xf numFmtId="3" fontId="52" fillId="0" borderId="48" xfId="0" applyNumberFormat="1" applyFont="1" applyBorder="1"/>
    <xf numFmtId="3" fontId="52" fillId="0" borderId="51" xfId="0" applyNumberFormat="1" applyFont="1" applyBorder="1"/>
    <xf numFmtId="3" fontId="39" fillId="0" borderId="48" xfId="0" applyNumberFormat="1" applyFont="1" applyBorder="1"/>
    <xf numFmtId="3" fontId="39" fillId="0" borderId="51" xfId="0" applyNumberFormat="1" applyFont="1" applyBorder="1"/>
    <xf numFmtId="3" fontId="39" fillId="0" borderId="50" xfId="0" applyNumberFormat="1" applyFont="1" applyBorder="1"/>
    <xf numFmtId="3" fontId="10" fillId="0" borderId="28" xfId="0" applyNumberFormat="1" applyFont="1" applyBorder="1" applyAlignment="1">
      <alignment horizontal="left" vertical="center"/>
    </xf>
    <xf numFmtId="3" fontId="52" fillId="0" borderId="11" xfId="0" applyNumberFormat="1" applyFont="1" applyBorder="1" applyAlignment="1">
      <alignment horizontal="left" vertical="center"/>
    </xf>
    <xf numFmtId="3" fontId="52" fillId="0" borderId="11" xfId="0" applyNumberFormat="1" applyFont="1" applyBorder="1" applyAlignment="1">
      <alignment vertical="center"/>
    </xf>
    <xf numFmtId="3" fontId="10" fillId="0" borderId="17" xfId="0" applyNumberFormat="1" applyFont="1" applyBorder="1" applyAlignment="1">
      <alignment horizontal="left" vertical="center"/>
    </xf>
    <xf numFmtId="3" fontId="52" fillId="0" borderId="53" xfId="0" applyNumberFormat="1" applyFont="1" applyBorder="1" applyAlignment="1">
      <alignment horizontal="left" vertical="center"/>
    </xf>
    <xf numFmtId="3" fontId="52" fillId="0" borderId="42" xfId="0" applyNumberFormat="1" applyFont="1" applyBorder="1" applyAlignment="1">
      <alignment vertical="center"/>
    </xf>
    <xf numFmtId="3" fontId="52" fillId="0" borderId="43" xfId="0" applyNumberFormat="1" applyFont="1" applyBorder="1" applyAlignment="1">
      <alignment vertical="center"/>
    </xf>
    <xf numFmtId="3" fontId="52" fillId="0" borderId="44" xfId="0" applyNumberFormat="1" applyFont="1" applyBorder="1" applyAlignment="1">
      <alignment vertical="center"/>
    </xf>
    <xf numFmtId="3" fontId="52" fillId="0" borderId="54" xfId="0" applyNumberFormat="1" applyFont="1" applyBorder="1" applyAlignment="1">
      <alignment horizontal="left"/>
    </xf>
    <xf numFmtId="3" fontId="52" fillId="0" borderId="55" xfId="0" applyNumberFormat="1" applyFont="1" applyBorder="1" applyAlignment="1">
      <alignment horizontal="left"/>
    </xf>
    <xf numFmtId="3" fontId="52" fillId="0" borderId="55" xfId="0" applyNumberFormat="1" applyFont="1" applyBorder="1"/>
    <xf numFmtId="3" fontId="52" fillId="0" borderId="56" xfId="0" applyNumberFormat="1" applyFont="1" applyBorder="1"/>
    <xf numFmtId="3" fontId="52" fillId="0" borderId="6" xfId="0" applyNumberFormat="1" applyFont="1" applyBorder="1" applyAlignment="1">
      <alignment horizontal="left" vertical="center"/>
    </xf>
    <xf numFmtId="3" fontId="52" fillId="0" borderId="68" xfId="0" applyNumberFormat="1" applyFont="1" applyBorder="1" applyAlignment="1">
      <alignment horizontal="left" vertical="center"/>
    </xf>
    <xf numFmtId="3" fontId="52" fillId="0" borderId="68" xfId="0" applyNumberFormat="1" applyFont="1" applyBorder="1" applyAlignment="1">
      <alignment vertical="center"/>
    </xf>
    <xf numFmtId="3" fontId="52" fillId="0" borderId="62" xfId="0" applyNumberFormat="1" applyFont="1" applyBorder="1" applyAlignment="1">
      <alignment horizontal="left" vertical="center"/>
    </xf>
    <xf numFmtId="3" fontId="52" fillId="0" borderId="26" xfId="0" applyNumberFormat="1" applyFont="1" applyBorder="1" applyAlignment="1">
      <alignment vertical="center"/>
    </xf>
    <xf numFmtId="3" fontId="39" fillId="0" borderId="33" xfId="0" applyNumberFormat="1" applyFont="1" applyBorder="1"/>
    <xf numFmtId="3" fontId="39" fillId="0" borderId="26" xfId="0" applyNumberFormat="1" applyFont="1" applyBorder="1" applyAlignment="1">
      <alignment horizontal="left"/>
    </xf>
    <xf numFmtId="3" fontId="52" fillId="0" borderId="33" xfId="0" applyNumberFormat="1" applyFont="1" applyBorder="1" applyAlignment="1">
      <alignment vertical="center"/>
    </xf>
    <xf numFmtId="3" fontId="39" fillId="0" borderId="63" xfId="0" applyNumberFormat="1" applyFont="1" applyBorder="1" applyAlignment="1">
      <alignment horizontal="left"/>
    </xf>
    <xf numFmtId="3" fontId="39" fillId="0" borderId="62" xfId="0" applyNumberFormat="1" applyFont="1" applyBorder="1"/>
    <xf numFmtId="3" fontId="52" fillId="0" borderId="63" xfId="0" applyNumberFormat="1" applyFont="1" applyBorder="1" applyAlignment="1">
      <alignment vertical="center"/>
    </xf>
    <xf numFmtId="3" fontId="52" fillId="0" borderId="62" xfId="0" applyNumberFormat="1" applyFont="1" applyBorder="1" applyAlignment="1">
      <alignment vertical="center"/>
    </xf>
    <xf numFmtId="3" fontId="52" fillId="0" borderId="67" xfId="0" applyNumberFormat="1" applyFont="1" applyBorder="1" applyAlignment="1">
      <alignment vertical="center"/>
    </xf>
    <xf numFmtId="3" fontId="52" fillId="0" borderId="69" xfId="0" applyNumberFormat="1" applyFont="1" applyBorder="1" applyAlignment="1">
      <alignment vertical="center"/>
    </xf>
    <xf numFmtId="3" fontId="52" fillId="0" borderId="70" xfId="0" applyNumberFormat="1" applyFont="1" applyBorder="1" applyAlignment="1">
      <alignment vertical="center"/>
    </xf>
    <xf numFmtId="3" fontId="52" fillId="0" borderId="71" xfId="0" applyNumberFormat="1" applyFont="1" applyBorder="1" applyAlignment="1">
      <alignment vertical="center"/>
    </xf>
    <xf numFmtId="3" fontId="52" fillId="0" borderId="33" xfId="0" applyNumberFormat="1" applyFont="1" applyBorder="1"/>
    <xf numFmtId="3" fontId="52" fillId="0" borderId="29" xfId="0" applyNumberFormat="1" applyFont="1" applyBorder="1"/>
    <xf numFmtId="3" fontId="39" fillId="0" borderId="29" xfId="0" applyNumberFormat="1" applyFont="1" applyBorder="1"/>
    <xf numFmtId="3" fontId="52" fillId="0" borderId="71" xfId="0" applyNumberFormat="1" applyFont="1" applyBorder="1" applyAlignment="1">
      <alignment horizontal="left" vertical="center"/>
    </xf>
    <xf numFmtId="3" fontId="52" fillId="0" borderId="26" xfId="0" applyNumberFormat="1" applyFont="1" applyBorder="1" applyAlignment="1">
      <alignment horizontal="left"/>
    </xf>
    <xf numFmtId="3" fontId="10" fillId="0" borderId="76" xfId="0" applyNumberFormat="1" applyFont="1" applyBorder="1" applyAlignment="1">
      <alignment horizontal="left" vertical="center"/>
    </xf>
    <xf numFmtId="3" fontId="10" fillId="0" borderId="76" xfId="0" applyNumberFormat="1" applyFont="1" applyBorder="1" applyAlignment="1">
      <alignment vertical="center"/>
    </xf>
    <xf numFmtId="3" fontId="10" fillId="0" borderId="77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55" fillId="0" borderId="0" xfId="0" applyNumberFormat="1" applyFont="1"/>
    <xf numFmtId="3" fontId="19" fillId="0" borderId="16" xfId="0" applyNumberFormat="1" applyFont="1" applyBorder="1" applyAlignment="1">
      <alignment horizontal="right"/>
    </xf>
    <xf numFmtId="3" fontId="29" fillId="0" borderId="16" xfId="0" applyNumberFormat="1" applyFont="1" applyBorder="1"/>
    <xf numFmtId="3" fontId="47" fillId="0" borderId="0" xfId="0" applyNumberFormat="1" applyFont="1"/>
    <xf numFmtId="3" fontId="56" fillId="0" borderId="0" xfId="0" applyNumberFormat="1" applyFont="1"/>
    <xf numFmtId="3" fontId="54" fillId="0" borderId="0" xfId="0" applyNumberFormat="1" applyFont="1"/>
    <xf numFmtId="3" fontId="25" fillId="0" borderId="10" xfId="0" applyNumberFormat="1" applyFont="1" applyBorder="1"/>
    <xf numFmtId="0" fontId="20" fillId="0" borderId="16" xfId="0" applyFont="1" applyBorder="1"/>
    <xf numFmtId="3" fontId="22" fillId="0" borderId="10" xfId="0" applyNumberFormat="1" applyFont="1" applyBorder="1"/>
    <xf numFmtId="168" fontId="22" fillId="0" borderId="13" xfId="0" applyNumberFormat="1" applyFont="1" applyBorder="1" applyAlignment="1">
      <alignment horizontal="center"/>
    </xf>
    <xf numFmtId="3" fontId="19" fillId="0" borderId="34" xfId="0" applyNumberFormat="1" applyFont="1" applyBorder="1"/>
    <xf numFmtId="49" fontId="39" fillId="0" borderId="16" xfId="0" applyNumberFormat="1" applyFont="1" applyBorder="1" applyAlignment="1">
      <alignment horizontal="left"/>
    </xf>
    <xf numFmtId="4" fontId="22" fillId="0" borderId="0" xfId="0" applyNumberFormat="1" applyFont="1"/>
    <xf numFmtId="0" fontId="19" fillId="0" borderId="0" xfId="0" applyFont="1" applyAlignment="1">
      <alignment horizontal="left"/>
    </xf>
    <xf numFmtId="3" fontId="45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right"/>
    </xf>
    <xf numFmtId="3" fontId="45" fillId="0" borderId="0" xfId="0" applyNumberFormat="1" applyFont="1" applyAlignment="1">
      <alignment horizontal="right"/>
    </xf>
    <xf numFmtId="3" fontId="61" fillId="0" borderId="0" xfId="0" applyNumberFormat="1" applyFont="1" applyAlignment="1">
      <alignment horizontal="right" vertical="center"/>
    </xf>
    <xf numFmtId="166" fontId="19" fillId="0" borderId="24" xfId="0" applyNumberFormat="1" applyFont="1" applyBorder="1"/>
    <xf numFmtId="3" fontId="19" fillId="0" borderId="23" xfId="0" applyNumberFormat="1" applyFont="1" applyBorder="1"/>
    <xf numFmtId="3" fontId="19" fillId="0" borderId="23" xfId="0" applyNumberFormat="1" applyFont="1" applyBorder="1" applyAlignment="1">
      <alignment horizontal="left"/>
    </xf>
    <xf numFmtId="3" fontId="19" fillId="0" borderId="23" xfId="0" applyNumberFormat="1" applyFont="1" applyBorder="1" applyAlignment="1">
      <alignment horizontal="center"/>
    </xf>
    <xf numFmtId="3" fontId="57" fillId="0" borderId="23" xfId="0" applyNumberFormat="1" applyFont="1" applyBorder="1"/>
    <xf numFmtId="3" fontId="57" fillId="0" borderId="23" xfId="0" applyNumberFormat="1" applyFont="1" applyBorder="1" applyAlignment="1">
      <alignment horizontal="right"/>
    </xf>
    <xf numFmtId="0" fontId="19" fillId="0" borderId="99" xfId="0" applyFont="1" applyBorder="1"/>
    <xf numFmtId="3" fontId="64" fillId="0" borderId="10" xfId="0" applyNumberFormat="1" applyFont="1" applyBorder="1"/>
    <xf numFmtId="3" fontId="57" fillId="0" borderId="10" xfId="0" applyNumberFormat="1" applyFont="1" applyBorder="1"/>
    <xf numFmtId="0" fontId="57" fillId="0" borderId="0" xfId="0" applyFont="1"/>
    <xf numFmtId="37" fontId="57" fillId="0" borderId="23" xfId="0" applyNumberFormat="1" applyFont="1" applyBorder="1"/>
    <xf numFmtId="165" fontId="57" fillId="2" borderId="23" xfId="0" applyNumberFormat="1" applyFont="1" applyFill="1" applyBorder="1"/>
    <xf numFmtId="0" fontId="19" fillId="0" borderId="24" xfId="0" applyFont="1" applyBorder="1"/>
    <xf numFmtId="0" fontId="21" fillId="0" borderId="99" xfId="0" applyFont="1" applyBorder="1"/>
    <xf numFmtId="0" fontId="64" fillId="0" borderId="99" xfId="0" applyFont="1" applyBorder="1"/>
    <xf numFmtId="3" fontId="64" fillId="2" borderId="23" xfId="0" applyNumberFormat="1" applyFont="1" applyFill="1" applyBorder="1"/>
    <xf numFmtId="165" fontId="64" fillId="2" borderId="23" xfId="0" applyNumberFormat="1" applyFont="1" applyFill="1" applyBorder="1"/>
    <xf numFmtId="166" fontId="64" fillId="0" borderId="24" xfId="0" applyNumberFormat="1" applyFont="1" applyBorder="1" applyAlignment="1">
      <alignment horizontal="center"/>
    </xf>
    <xf numFmtId="3" fontId="64" fillId="0" borderId="23" xfId="0" applyNumberFormat="1" applyFont="1" applyBorder="1"/>
    <xf numFmtId="165" fontId="64" fillId="0" borderId="23" xfId="0" applyNumberFormat="1" applyFont="1" applyBorder="1"/>
    <xf numFmtId="0" fontId="64" fillId="0" borderId="24" xfId="0" applyFont="1" applyBorder="1" applyAlignment="1">
      <alignment horizontal="center"/>
    </xf>
    <xf numFmtId="0" fontId="64" fillId="0" borderId="99" xfId="0" applyFont="1" applyBorder="1" applyAlignment="1">
      <alignment horizontal="left"/>
    </xf>
    <xf numFmtId="0" fontId="57" fillId="0" borderId="99" xfId="0" applyFont="1" applyBorder="1" applyAlignment="1">
      <alignment horizontal="left"/>
    </xf>
    <xf numFmtId="0" fontId="57" fillId="0" borderId="23" xfId="0" applyFont="1" applyBorder="1"/>
    <xf numFmtId="166" fontId="57" fillId="0" borderId="24" xfId="0" applyNumberFormat="1" applyFont="1" applyBorder="1" applyAlignment="1">
      <alignment horizontal="center"/>
    </xf>
    <xf numFmtId="0" fontId="57" fillId="0" borderId="99" xfId="0" applyFont="1" applyBorder="1"/>
    <xf numFmtId="3" fontId="64" fillId="0" borderId="23" xfId="0" applyNumberFormat="1" applyFont="1" applyBorder="1" applyAlignment="1">
      <alignment horizontal="right"/>
    </xf>
    <xf numFmtId="170" fontId="57" fillId="0" borderId="23" xfId="0" applyNumberFormat="1" applyFont="1" applyBorder="1"/>
    <xf numFmtId="0" fontId="57" fillId="0" borderId="100" xfId="0" applyFont="1" applyBorder="1"/>
    <xf numFmtId="0" fontId="57" fillId="0" borderId="113" xfId="0" applyFont="1" applyBorder="1"/>
    <xf numFmtId="3" fontId="57" fillId="0" borderId="113" xfId="0" applyNumberFormat="1" applyFont="1" applyBorder="1"/>
    <xf numFmtId="37" fontId="57" fillId="0" borderId="113" xfId="0" applyNumberFormat="1" applyFont="1" applyBorder="1"/>
    <xf numFmtId="0" fontId="57" fillId="0" borderId="114" xfId="0" applyFont="1" applyBorder="1"/>
    <xf numFmtId="3" fontId="19" fillId="0" borderId="24" xfId="0" applyNumberFormat="1" applyFont="1" applyBorder="1"/>
    <xf numFmtId="3" fontId="19" fillId="0" borderId="99" xfId="0" applyNumberFormat="1" applyFont="1" applyBorder="1"/>
    <xf numFmtId="0" fontId="57" fillId="0" borderId="96" xfId="0" applyFont="1" applyBorder="1"/>
    <xf numFmtId="3" fontId="57" fillId="0" borderId="96" xfId="0" applyNumberFormat="1" applyFont="1" applyBorder="1"/>
    <xf numFmtId="37" fontId="57" fillId="0" borderId="96" xfId="0" applyNumberFormat="1" applyFont="1" applyBorder="1"/>
    <xf numFmtId="0" fontId="20" fillId="0" borderId="34" xfId="0" applyFont="1" applyBorder="1" applyAlignment="1">
      <alignment horizontal="center"/>
    </xf>
    <xf numFmtId="0" fontId="19" fillId="0" borderId="61" xfId="0" applyFont="1" applyBorder="1"/>
    <xf numFmtId="0" fontId="64" fillId="0" borderId="10" xfId="0" applyFont="1" applyBorder="1"/>
    <xf numFmtId="165" fontId="64" fillId="0" borderId="34" xfId="0" applyNumberFormat="1" applyFont="1" applyBorder="1"/>
    <xf numFmtId="166" fontId="64" fillId="0" borderId="35" xfId="0" applyNumberFormat="1" applyFont="1" applyBorder="1"/>
    <xf numFmtId="3" fontId="46" fillId="0" borderId="10" xfId="0" applyNumberFormat="1" applyFont="1" applyBorder="1"/>
    <xf numFmtId="165" fontId="46" fillId="0" borderId="34" xfId="0" applyNumberFormat="1" applyFont="1" applyBorder="1"/>
    <xf numFmtId="166" fontId="46" fillId="0" borderId="35" xfId="0" applyNumberFormat="1" applyFont="1" applyBorder="1"/>
    <xf numFmtId="165" fontId="57" fillId="0" borderId="34" xfId="0" applyNumberFormat="1" applyFont="1" applyBorder="1" applyAlignment="1">
      <alignment horizontal="right"/>
    </xf>
    <xf numFmtId="166" fontId="57" fillId="0" borderId="35" xfId="0" applyNumberFormat="1" applyFont="1" applyBorder="1"/>
    <xf numFmtId="165" fontId="57" fillId="0" borderId="34" xfId="0" applyNumberFormat="1" applyFont="1" applyBorder="1"/>
    <xf numFmtId="165" fontId="46" fillId="0" borderId="34" xfId="0" applyNumberFormat="1" applyFont="1" applyBorder="1" applyAlignment="1">
      <alignment horizontal="right"/>
    </xf>
    <xf numFmtId="165" fontId="64" fillId="0" borderId="34" xfId="0" applyNumberFormat="1" applyFont="1" applyBorder="1" applyAlignment="1">
      <alignment horizontal="right"/>
    </xf>
    <xf numFmtId="37" fontId="46" fillId="0" borderId="34" xfId="0" applyNumberFormat="1" applyFont="1" applyBorder="1"/>
    <xf numFmtId="37" fontId="46" fillId="0" borderId="36" xfId="0" applyNumberFormat="1" applyFont="1" applyBorder="1"/>
    <xf numFmtId="166" fontId="46" fillId="0" borderId="37" xfId="0" applyNumberFormat="1" applyFont="1" applyBorder="1"/>
    <xf numFmtId="0" fontId="20" fillId="0" borderId="45" xfId="0" applyFont="1" applyBorder="1" applyAlignment="1">
      <alignment horizontal="center"/>
    </xf>
    <xf numFmtId="0" fontId="20" fillId="0" borderId="34" xfId="0" applyFont="1" applyBorder="1"/>
    <xf numFmtId="0" fontId="20" fillId="0" borderId="34" xfId="0" applyFont="1" applyBorder="1" applyAlignment="1">
      <alignment horizontal="left"/>
    </xf>
    <xf numFmtId="0" fontId="64" fillId="0" borderId="45" xfId="0" applyFont="1" applyBorder="1" applyAlignment="1">
      <alignment horizontal="center"/>
    </xf>
    <xf numFmtId="0" fontId="64" fillId="0" borderId="34" xfId="0" applyFont="1" applyBorder="1"/>
    <xf numFmtId="3" fontId="64" fillId="0" borderId="34" xfId="0" applyNumberFormat="1" applyFont="1" applyBorder="1"/>
    <xf numFmtId="0" fontId="46" fillId="0" borderId="45" xfId="0" applyFont="1" applyBorder="1" applyAlignment="1">
      <alignment horizontal="left"/>
    </xf>
    <xf numFmtId="0" fontId="46" fillId="0" borderId="34" xfId="0" applyFont="1" applyBorder="1"/>
    <xf numFmtId="3" fontId="46" fillId="0" borderId="34" xfId="0" applyNumberFormat="1" applyFont="1" applyBorder="1"/>
    <xf numFmtId="0" fontId="57" fillId="0" borderId="45" xfId="0" applyFont="1" applyBorder="1" applyAlignment="1">
      <alignment horizontal="left"/>
    </xf>
    <xf numFmtId="0" fontId="57" fillId="0" borderId="34" xfId="0" applyFont="1" applyBorder="1" applyAlignment="1">
      <alignment horizontal="center"/>
    </xf>
    <xf numFmtId="3" fontId="57" fillId="0" borderId="34" xfId="0" applyNumberFormat="1" applyFont="1" applyBorder="1"/>
    <xf numFmtId="0" fontId="57" fillId="0" borderId="45" xfId="0" applyFont="1" applyBorder="1"/>
    <xf numFmtId="0" fontId="46" fillId="0" borderId="45" xfId="0" applyFont="1" applyBorder="1"/>
    <xf numFmtId="0" fontId="46" fillId="0" borderId="34" xfId="0" applyFont="1" applyBorder="1" applyAlignment="1">
      <alignment horizontal="center"/>
    </xf>
    <xf numFmtId="0" fontId="64" fillId="0" borderId="34" xfId="0" applyFont="1" applyBorder="1" applyAlignment="1">
      <alignment horizontal="center"/>
    </xf>
    <xf numFmtId="0" fontId="64" fillId="0" borderId="45" xfId="0" applyFont="1" applyBorder="1" applyAlignment="1">
      <alignment horizontal="center" vertical="center" wrapText="1"/>
    </xf>
    <xf numFmtId="3" fontId="46" fillId="4" borderId="34" xfId="0" applyNumberFormat="1" applyFont="1" applyFill="1" applyBorder="1"/>
    <xf numFmtId="0" fontId="46" fillId="0" borderId="127" xfId="0" applyFont="1" applyBorder="1"/>
    <xf numFmtId="0" fontId="46" fillId="0" borderId="36" xfId="0" applyFont="1" applyBorder="1" applyAlignment="1">
      <alignment horizontal="center"/>
    </xf>
    <xf numFmtId="3" fontId="46" fillId="0" borderId="36" xfId="0" applyNumberFormat="1" applyFont="1" applyBorder="1"/>
    <xf numFmtId="0" fontId="19" fillId="0" borderId="80" xfId="0" applyFont="1" applyBorder="1"/>
    <xf numFmtId="0" fontId="19" fillId="0" borderId="129" xfId="0" applyFont="1" applyBorder="1"/>
    <xf numFmtId="0" fontId="21" fillId="0" borderId="23" xfId="0" applyFont="1" applyBorder="1" applyAlignment="1">
      <alignment horizontal="center"/>
    </xf>
    <xf numFmtId="172" fontId="21" fillId="0" borderId="24" xfId="0" applyNumberFormat="1" applyFont="1" applyBorder="1" applyAlignment="1">
      <alignment horizontal="center"/>
    </xf>
    <xf numFmtId="168" fontId="64" fillId="4" borderId="24" xfId="0" applyNumberFormat="1" applyFont="1" applyFill="1" applyBorder="1"/>
    <xf numFmtId="168" fontId="64" fillId="0" borderId="24" xfId="0" applyNumberFormat="1" applyFont="1" applyBorder="1"/>
    <xf numFmtId="0" fontId="64" fillId="4" borderId="99" xfId="0" applyFont="1" applyFill="1" applyBorder="1" applyAlignment="1">
      <alignment horizontal="left"/>
    </xf>
    <xf numFmtId="3" fontId="64" fillId="4" borderId="23" xfId="0" applyNumberFormat="1" applyFont="1" applyFill="1" applyBorder="1"/>
    <xf numFmtId="0" fontId="46" fillId="4" borderId="99" xfId="0" applyFont="1" applyFill="1" applyBorder="1" applyAlignment="1">
      <alignment horizontal="left"/>
    </xf>
    <xf numFmtId="3" fontId="46" fillId="4" borderId="23" xfId="0" applyNumberFormat="1" applyFont="1" applyFill="1" applyBorder="1"/>
    <xf numFmtId="168" fontId="46" fillId="4" borderId="24" xfId="0" applyNumberFormat="1" applyFont="1" applyFill="1" applyBorder="1"/>
    <xf numFmtId="0" fontId="57" fillId="4" borderId="99" xfId="0" applyFont="1" applyFill="1" applyBorder="1"/>
    <xf numFmtId="3" fontId="57" fillId="4" borderId="23" xfId="0" applyNumberFormat="1" applyFont="1" applyFill="1" applyBorder="1"/>
    <xf numFmtId="168" fontId="57" fillId="4" borderId="24" xfId="0" applyNumberFormat="1" applyFont="1" applyFill="1" applyBorder="1"/>
    <xf numFmtId="0" fontId="57" fillId="4" borderId="99" xfId="0" applyFont="1" applyFill="1" applyBorder="1" applyAlignment="1">
      <alignment horizontal="left"/>
    </xf>
    <xf numFmtId="0" fontId="57" fillId="4" borderId="23" xfId="0" applyFont="1" applyFill="1" applyBorder="1" applyAlignment="1">
      <alignment horizontal="left"/>
    </xf>
    <xf numFmtId="0" fontId="64" fillId="4" borderId="23" xfId="0" applyFont="1" applyFill="1" applyBorder="1" applyAlignment="1">
      <alignment horizontal="left"/>
    </xf>
    <xf numFmtId="3" fontId="64" fillId="4" borderId="23" xfId="0" applyNumberFormat="1" applyFont="1" applyFill="1" applyBorder="1" applyAlignment="1">
      <alignment horizontal="right"/>
    </xf>
    <xf numFmtId="165" fontId="64" fillId="4" borderId="23" xfId="0" applyNumberFormat="1" applyFont="1" applyFill="1" applyBorder="1" applyAlignment="1">
      <alignment horizontal="right"/>
    </xf>
    <xf numFmtId="0" fontId="50" fillId="4" borderId="99" xfId="0" applyFont="1" applyFill="1" applyBorder="1" applyAlignment="1">
      <alignment horizontal="left"/>
    </xf>
    <xf numFmtId="0" fontId="50" fillId="4" borderId="23" xfId="0" applyFont="1" applyFill="1" applyBorder="1" applyAlignment="1">
      <alignment horizontal="left"/>
    </xf>
    <xf numFmtId="3" fontId="46" fillId="6" borderId="23" xfId="0" applyNumberFormat="1" applyFont="1" applyFill="1" applyBorder="1"/>
    <xf numFmtId="0" fontId="64" fillId="4" borderId="130" xfId="0" applyFont="1" applyFill="1" applyBorder="1" applyAlignment="1">
      <alignment horizontal="left"/>
    </xf>
    <xf numFmtId="0" fontId="64" fillId="4" borderId="102" xfId="0" applyFont="1" applyFill="1" applyBorder="1" applyAlignment="1">
      <alignment horizontal="left"/>
    </xf>
    <xf numFmtId="165" fontId="64" fillId="4" borderId="102" xfId="0" applyNumberFormat="1" applyFont="1" applyFill="1" applyBorder="1"/>
    <xf numFmtId="168" fontId="46" fillId="4" borderId="85" xfId="0" applyNumberFormat="1" applyFont="1" applyFill="1" applyBorder="1"/>
    <xf numFmtId="0" fontId="64" fillId="0" borderId="16" xfId="0" applyFont="1" applyBorder="1"/>
    <xf numFmtId="0" fontId="46" fillId="0" borderId="16" xfId="0" applyFont="1" applyBorder="1"/>
    <xf numFmtId="0" fontId="57" fillId="0" borderId="16" xfId="0" applyFont="1" applyBorder="1"/>
    <xf numFmtId="0" fontId="63" fillId="5" borderId="99" xfId="0" applyFont="1" applyFill="1" applyBorder="1" applyAlignment="1">
      <alignment horizontal="center" vertical="center" wrapText="1"/>
    </xf>
    <xf numFmtId="0" fontId="63" fillId="5" borderId="23" xfId="0" applyFont="1" applyFill="1" applyBorder="1" applyAlignment="1">
      <alignment horizontal="center" vertical="center" wrapText="1"/>
    </xf>
    <xf numFmtId="0" fontId="63" fillId="4" borderId="23" xfId="0" applyFont="1" applyFill="1" applyBorder="1" applyAlignment="1">
      <alignment horizontal="center" vertical="center" wrapText="1"/>
    </xf>
    <xf numFmtId="0" fontId="63" fillId="4" borderId="23" xfId="0" applyFont="1" applyFill="1" applyBorder="1"/>
    <xf numFmtId="0" fontId="63" fillId="4" borderId="23" xfId="0" applyFont="1" applyFill="1" applyBorder="1" applyAlignment="1">
      <alignment horizontal="center"/>
    </xf>
    <xf numFmtId="0" fontId="63" fillId="4" borderId="24" xfId="0" applyFont="1" applyFill="1" applyBorder="1" applyAlignment="1">
      <alignment horizontal="center" vertical="center" wrapText="1"/>
    </xf>
    <xf numFmtId="0" fontId="29" fillId="0" borderId="99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46" fillId="0" borderId="23" xfId="0" applyFont="1" applyBorder="1"/>
    <xf numFmtId="0" fontId="46" fillId="0" borderId="24" xfId="0" applyFont="1" applyBorder="1" applyAlignment="1">
      <alignment horizontal="center"/>
    </xf>
    <xf numFmtId="0" fontId="64" fillId="0" borderId="23" xfId="0" applyFont="1" applyBorder="1"/>
    <xf numFmtId="168" fontId="64" fillId="0" borderId="23" xfId="0" applyNumberFormat="1" applyFont="1" applyBorder="1"/>
    <xf numFmtId="173" fontId="64" fillId="0" borderId="23" xfId="0" applyNumberFormat="1" applyFont="1" applyBorder="1"/>
    <xf numFmtId="0" fontId="46" fillId="0" borderId="99" xfId="0" applyFont="1" applyBorder="1"/>
    <xf numFmtId="168" fontId="46" fillId="0" borderId="23" xfId="0" applyNumberFormat="1" applyFont="1" applyBorder="1"/>
    <xf numFmtId="166" fontId="46" fillId="0" borderId="24" xfId="0" applyNumberFormat="1" applyFont="1" applyBorder="1" applyAlignment="1">
      <alignment horizontal="center"/>
    </xf>
    <xf numFmtId="168" fontId="57" fillId="0" borderId="23" xfId="0" applyNumberFormat="1" applyFont="1" applyBorder="1"/>
    <xf numFmtId="173" fontId="57" fillId="0" borderId="23" xfId="0" applyNumberFormat="1" applyFont="1" applyBorder="1"/>
    <xf numFmtId="173" fontId="46" fillId="0" borderId="23" xfId="0" applyNumberFormat="1" applyFont="1" applyBorder="1"/>
    <xf numFmtId="0" fontId="57" fillId="0" borderId="23" xfId="0" applyFont="1" applyBorder="1" applyAlignment="1">
      <alignment horizontal="center"/>
    </xf>
    <xf numFmtId="0" fontId="29" fillId="0" borderId="130" xfId="0" applyFont="1" applyBorder="1" applyAlignment="1">
      <alignment horizontal="center"/>
    </xf>
    <xf numFmtId="0" fontId="57" fillId="0" borderId="102" xfId="0" applyFont="1" applyBorder="1" applyAlignment="1">
      <alignment horizontal="center"/>
    </xf>
    <xf numFmtId="175" fontId="57" fillId="0" borderId="102" xfId="0" applyNumberFormat="1" applyFont="1" applyBorder="1"/>
    <xf numFmtId="168" fontId="57" fillId="0" borderId="102" xfId="0" applyNumberFormat="1" applyFont="1" applyBorder="1"/>
    <xf numFmtId="173" fontId="29" fillId="0" borderId="102" xfId="0" applyNumberFormat="1" applyFont="1" applyBorder="1"/>
    <xf numFmtId="166" fontId="57" fillId="0" borderId="85" xfId="0" applyNumberFormat="1" applyFont="1" applyBorder="1" applyAlignment="1">
      <alignment horizontal="center"/>
    </xf>
    <xf numFmtId="3" fontId="29" fillId="0" borderId="8" xfId="0" applyNumberFormat="1" applyFont="1" applyBorder="1"/>
    <xf numFmtId="3" fontId="64" fillId="0" borderId="10" xfId="0" applyNumberFormat="1" applyFont="1" applyBorder="1" applyAlignment="1">
      <alignment horizontal="center"/>
    </xf>
    <xf numFmtId="168" fontId="57" fillId="0" borderId="13" xfId="0" applyNumberFormat="1" applyFont="1" applyBorder="1" applyAlignment="1">
      <alignment horizontal="center"/>
    </xf>
    <xf numFmtId="168" fontId="64" fillId="0" borderId="13" xfId="0" applyNumberFormat="1" applyFont="1" applyBorder="1" applyAlignment="1">
      <alignment horizontal="center"/>
    </xf>
    <xf numFmtId="168" fontId="29" fillId="0" borderId="13" xfId="0" applyNumberFormat="1" applyFont="1" applyBorder="1" applyAlignment="1">
      <alignment horizontal="center"/>
    </xf>
    <xf numFmtId="0" fontId="29" fillId="0" borderId="16" xfId="0" applyFont="1" applyBorder="1"/>
    <xf numFmtId="168" fontId="29" fillId="0" borderId="14" xfId="0" applyNumberFormat="1" applyFont="1" applyBorder="1" applyAlignment="1">
      <alignment horizontal="center"/>
    </xf>
    <xf numFmtId="0" fontId="50" fillId="0" borderId="10" xfId="0" applyFont="1" applyBorder="1"/>
    <xf numFmtId="168" fontId="46" fillId="0" borderId="13" xfId="0" applyNumberFormat="1" applyFont="1" applyBorder="1" applyAlignment="1">
      <alignment horizontal="center"/>
    </xf>
    <xf numFmtId="0" fontId="32" fillId="0" borderId="16" xfId="0" applyFont="1" applyBorder="1"/>
    <xf numFmtId="0" fontId="32" fillId="0" borderId="10" xfId="0" applyFont="1" applyBorder="1"/>
    <xf numFmtId="168" fontId="25" fillId="0" borderId="13" xfId="0" applyNumberFormat="1" applyFont="1" applyBorder="1" applyAlignment="1">
      <alignment horizontal="center"/>
    </xf>
    <xf numFmtId="0" fontId="31" fillId="0" borderId="16" xfId="0" applyFont="1" applyBorder="1"/>
    <xf numFmtId="0" fontId="31" fillId="0" borderId="10" xfId="0" applyFont="1" applyBorder="1"/>
    <xf numFmtId="0" fontId="30" fillId="0" borderId="16" xfId="0" applyFont="1" applyBorder="1"/>
    <xf numFmtId="0" fontId="30" fillId="0" borderId="10" xfId="0" applyFont="1" applyBorder="1"/>
    <xf numFmtId="0" fontId="28" fillId="0" borderId="132" xfId="0" applyFont="1" applyBorder="1"/>
    <xf numFmtId="0" fontId="28" fillId="0" borderId="133" xfId="0" applyFont="1" applyBorder="1"/>
    <xf numFmtId="3" fontId="22" fillId="0" borderId="133" xfId="0" applyNumberFormat="1" applyFont="1" applyBorder="1"/>
    <xf numFmtId="3" fontId="25" fillId="0" borderId="133" xfId="0" applyNumberFormat="1" applyFont="1" applyBorder="1"/>
    <xf numFmtId="168" fontId="22" fillId="0" borderId="134" xfId="0" applyNumberFormat="1" applyFont="1" applyBorder="1" applyAlignment="1">
      <alignment horizontal="center"/>
    </xf>
    <xf numFmtId="0" fontId="19" fillId="0" borderId="135" xfId="0" applyFont="1" applyBorder="1" applyAlignment="1">
      <alignment horizontal="center"/>
    </xf>
    <xf numFmtId="3" fontId="19" fillId="0" borderId="62" xfId="0" applyNumberFormat="1" applyFont="1" applyBorder="1" applyAlignment="1">
      <alignment horizontal="left"/>
    </xf>
    <xf numFmtId="3" fontId="19" fillId="0" borderId="26" xfId="0" applyNumberFormat="1" applyFont="1" applyBorder="1" applyAlignment="1">
      <alignment horizontal="left"/>
    </xf>
    <xf numFmtId="3" fontId="19" fillId="0" borderId="26" xfId="0" applyNumberFormat="1" applyFont="1" applyBorder="1"/>
    <xf numFmtId="168" fontId="19" fillId="0" borderId="33" xfId="0" applyNumberFormat="1" applyFont="1" applyBorder="1"/>
    <xf numFmtId="3" fontId="21" fillId="0" borderId="58" xfId="0" applyNumberFormat="1" applyFont="1" applyBorder="1" applyAlignment="1">
      <alignment horizontal="left" vertical="center"/>
    </xf>
    <xf numFmtId="3" fontId="21" fillId="0" borderId="58" xfId="0" applyNumberFormat="1" applyFont="1" applyBorder="1" applyAlignment="1">
      <alignment vertical="center"/>
    </xf>
    <xf numFmtId="166" fontId="21" fillId="0" borderId="59" xfId="0" applyNumberFormat="1" applyFont="1" applyBorder="1" applyAlignment="1">
      <alignment vertical="center"/>
    </xf>
    <xf numFmtId="166" fontId="19" fillId="0" borderId="33" xfId="0" applyNumberFormat="1" applyFont="1" applyBorder="1"/>
    <xf numFmtId="3" fontId="19" fillId="0" borderId="49" xfId="0" applyNumberFormat="1" applyFont="1" applyBorder="1" applyAlignment="1">
      <alignment horizontal="left"/>
    </xf>
    <xf numFmtId="3" fontId="64" fillId="0" borderId="41" xfId="0" applyNumberFormat="1" applyFont="1" applyBorder="1" applyAlignment="1">
      <alignment horizontal="left" vertical="center"/>
    </xf>
    <xf numFmtId="3" fontId="64" fillId="0" borderId="41" xfId="0" applyNumberFormat="1" applyFont="1" applyBorder="1" applyAlignment="1">
      <alignment vertical="center"/>
    </xf>
    <xf numFmtId="166" fontId="64" fillId="0" borderId="60" xfId="0" applyNumberFormat="1" applyFont="1" applyBorder="1" applyAlignment="1">
      <alignment vertical="center"/>
    </xf>
    <xf numFmtId="166" fontId="19" fillId="0" borderId="0" xfId="0" applyNumberFormat="1" applyFont="1"/>
    <xf numFmtId="3" fontId="21" fillId="0" borderId="142" xfId="0" applyNumberFormat="1" applyFont="1" applyBorder="1" applyAlignment="1">
      <alignment horizontal="left" vertical="center"/>
    </xf>
    <xf numFmtId="3" fontId="21" fillId="0" borderId="137" xfId="0" applyNumberFormat="1" applyFont="1" applyBorder="1" applyAlignment="1">
      <alignment horizontal="left" vertical="center"/>
    </xf>
    <xf numFmtId="3" fontId="21" fillId="0" borderId="137" xfId="0" applyNumberFormat="1" applyFont="1" applyBorder="1" applyAlignment="1">
      <alignment vertical="center"/>
    </xf>
    <xf numFmtId="168" fontId="21" fillId="0" borderId="143" xfId="0" applyNumberFormat="1" applyFont="1" applyBorder="1" applyAlignment="1">
      <alignment vertical="center"/>
    </xf>
    <xf numFmtId="3" fontId="21" fillId="0" borderId="144" xfId="0" applyNumberFormat="1" applyFont="1" applyBorder="1" applyAlignment="1">
      <alignment horizontal="left" vertical="center"/>
    </xf>
    <xf numFmtId="3" fontId="19" fillId="0" borderId="62" xfId="0" applyNumberFormat="1" applyFont="1" applyBorder="1"/>
    <xf numFmtId="3" fontId="19" fillId="0" borderId="62" xfId="0" applyNumberFormat="1" applyFont="1" applyBorder="1" applyAlignment="1">
      <alignment horizontal="left" vertical="center" wrapText="1"/>
    </xf>
    <xf numFmtId="3" fontId="19" fillId="0" borderId="26" xfId="0" applyNumberFormat="1" applyFont="1" applyBorder="1" applyAlignment="1">
      <alignment vertical="center" wrapText="1"/>
    </xf>
    <xf numFmtId="166" fontId="21" fillId="0" borderId="138" xfId="0" applyNumberFormat="1" applyFont="1" applyBorder="1" applyAlignment="1">
      <alignment vertical="center"/>
    </xf>
    <xf numFmtId="3" fontId="19" fillId="0" borderId="145" xfId="0" applyNumberFormat="1" applyFont="1" applyBorder="1"/>
    <xf numFmtId="3" fontId="21" fillId="0" borderId="66" xfId="0" applyNumberFormat="1" applyFont="1" applyBorder="1" applyAlignment="1">
      <alignment horizontal="left" vertical="center"/>
    </xf>
    <xf numFmtId="3" fontId="21" fillId="0" borderId="71" xfId="0" applyNumberFormat="1" applyFont="1" applyBorder="1" applyAlignment="1">
      <alignment vertical="center"/>
    </xf>
    <xf numFmtId="166" fontId="21" fillId="0" borderId="69" xfId="0" applyNumberFormat="1" applyFont="1" applyBorder="1" applyAlignment="1">
      <alignment vertical="center"/>
    </xf>
    <xf numFmtId="3" fontId="19" fillId="0" borderId="146" xfId="0" applyNumberFormat="1" applyFont="1" applyBorder="1"/>
    <xf numFmtId="0" fontId="19" fillId="0" borderId="62" xfId="0" applyFont="1" applyBorder="1"/>
    <xf numFmtId="0" fontId="19" fillId="0" borderId="140" xfId="0" applyFont="1" applyBorder="1"/>
    <xf numFmtId="0" fontId="19" fillId="0" borderId="26" xfId="0" applyFont="1" applyBorder="1"/>
    <xf numFmtId="0" fontId="19" fillId="0" borderId="33" xfId="0" applyFont="1" applyBorder="1"/>
    <xf numFmtId="3" fontId="21" fillId="0" borderId="71" xfId="0" applyNumberFormat="1" applyFont="1" applyBorder="1" applyAlignment="1">
      <alignment horizontal="left" vertical="center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62" fillId="4" borderId="10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right" vertical="center"/>
    </xf>
    <xf numFmtId="3" fontId="21" fillId="0" borderId="25" xfId="0" applyNumberFormat="1" applyFont="1" applyBorder="1" applyAlignment="1">
      <alignment horizontal="right" vertical="center"/>
    </xf>
    <xf numFmtId="3" fontId="21" fillId="0" borderId="10" xfId="0" applyNumberFormat="1" applyFont="1" applyBorder="1" applyAlignment="1">
      <alignment vertical="center"/>
    </xf>
    <xf numFmtId="166" fontId="21" fillId="0" borderId="13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3" fontId="61" fillId="0" borderId="10" xfId="0" applyNumberFormat="1" applyFont="1" applyBorder="1" applyAlignment="1">
      <alignment vertical="center"/>
    </xf>
    <xf numFmtId="0" fontId="65" fillId="0" borderId="16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171" fontId="21" fillId="0" borderId="10" xfId="0" applyNumberFormat="1" applyFont="1" applyBorder="1" applyAlignment="1">
      <alignment vertical="center"/>
    </xf>
    <xf numFmtId="171" fontId="21" fillId="0" borderId="25" xfId="0" applyNumberFormat="1" applyFont="1" applyBorder="1" applyAlignment="1">
      <alignment vertical="center"/>
    </xf>
    <xf numFmtId="0" fontId="26" fillId="0" borderId="10" xfId="0" applyFont="1" applyBorder="1"/>
    <xf numFmtId="3" fontId="19" fillId="0" borderId="10" xfId="0" applyNumberFormat="1" applyFont="1" applyBorder="1" applyAlignment="1">
      <alignment horizontal="right"/>
    </xf>
    <xf numFmtId="171" fontId="19" fillId="0" borderId="10" xfId="0" applyNumberFormat="1" applyFont="1" applyBorder="1"/>
    <xf numFmtId="171" fontId="19" fillId="0" borderId="25" xfId="0" applyNumberFormat="1" applyFont="1" applyBorder="1"/>
    <xf numFmtId="0" fontId="19" fillId="0" borderId="10" xfId="0" applyFont="1" applyBorder="1" applyAlignment="1">
      <alignment horizontal="center"/>
    </xf>
    <xf numFmtId="166" fontId="19" fillId="0" borderId="13" xfId="0" applyNumberFormat="1" applyFont="1" applyBorder="1"/>
    <xf numFmtId="0" fontId="19" fillId="0" borderId="16" xfId="0" applyFont="1" applyBorder="1" applyAlignment="1">
      <alignment horizontal="right"/>
    </xf>
    <xf numFmtId="166" fontId="19" fillId="0" borderId="13" xfId="0" applyNumberFormat="1" applyFont="1" applyBorder="1" applyAlignment="1">
      <alignment horizontal="right"/>
    </xf>
    <xf numFmtId="0" fontId="26" fillId="0" borderId="10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right"/>
    </xf>
    <xf numFmtId="49" fontId="19" fillId="0" borderId="16" xfId="0" applyNumberFormat="1" applyFont="1" applyBorder="1" applyAlignment="1">
      <alignment horizontal="right"/>
    </xf>
    <xf numFmtId="49" fontId="21" fillId="0" borderId="16" xfId="0" applyNumberFormat="1" applyFont="1" applyBorder="1" applyAlignment="1">
      <alignment horizontal="right"/>
    </xf>
    <xf numFmtId="49" fontId="65" fillId="0" borderId="16" xfId="0" applyNumberFormat="1" applyFont="1" applyBorder="1" applyAlignment="1">
      <alignment horizontal="center"/>
    </xf>
    <xf numFmtId="49" fontId="21" fillId="0" borderId="81" xfId="0" applyNumberFormat="1" applyFont="1" applyBorder="1" applyAlignment="1">
      <alignment horizontal="right"/>
    </xf>
    <xf numFmtId="0" fontId="26" fillId="0" borderId="82" xfId="0" applyFont="1" applyBorder="1"/>
    <xf numFmtId="3" fontId="19" fillId="0" borderId="82" xfId="0" applyNumberFormat="1" applyFont="1" applyBorder="1"/>
    <xf numFmtId="3" fontId="19" fillId="0" borderId="84" xfId="0" applyNumberFormat="1" applyFont="1" applyBorder="1"/>
    <xf numFmtId="0" fontId="19" fillId="0" borderId="83" xfId="0" applyFont="1" applyBorder="1"/>
    <xf numFmtId="0" fontId="63" fillId="0" borderId="0" xfId="0" applyFont="1"/>
    <xf numFmtId="169" fontId="26" fillId="0" borderId="0" xfId="0" applyNumberFormat="1" applyFont="1" applyAlignment="1">
      <alignment horizontal="left"/>
    </xf>
    <xf numFmtId="169" fontId="62" fillId="0" borderId="0" xfId="0" applyNumberFormat="1" applyFont="1" applyAlignment="1">
      <alignment horizontal="left"/>
    </xf>
    <xf numFmtId="174" fontId="20" fillId="0" borderId="0" xfId="0" applyNumberFormat="1" applyFont="1"/>
    <xf numFmtId="166" fontId="67" fillId="0" borderId="0" xfId="0" applyNumberFormat="1" applyFont="1" applyAlignment="1">
      <alignment horizontal="right"/>
    </xf>
    <xf numFmtId="4" fontId="20" fillId="0" borderId="0" xfId="0" applyNumberFormat="1" applyFont="1"/>
    <xf numFmtId="3" fontId="21" fillId="0" borderId="150" xfId="0" applyNumberFormat="1" applyFont="1" applyBorder="1" applyAlignment="1">
      <alignment horizontal="left"/>
    </xf>
    <xf numFmtId="3" fontId="20" fillId="0" borderId="149" xfId="0" applyNumberFormat="1" applyFont="1" applyBorder="1" applyAlignment="1">
      <alignment horizontal="left"/>
    </xf>
    <xf numFmtId="3" fontId="21" fillId="0" borderId="149" xfId="0" applyNumberFormat="1" applyFont="1" applyBorder="1"/>
    <xf numFmtId="3" fontId="21" fillId="0" borderId="149" xfId="0" applyNumberFormat="1" applyFont="1" applyBorder="1" applyAlignment="1">
      <alignment horizontal="center"/>
    </xf>
    <xf numFmtId="166" fontId="21" fillId="0" borderId="151" xfId="0" applyNumberFormat="1" applyFont="1" applyBorder="1"/>
    <xf numFmtId="3" fontId="19" fillId="0" borderId="99" xfId="0" applyNumberFormat="1" applyFont="1" applyBorder="1" applyAlignment="1">
      <alignment horizontal="left"/>
    </xf>
    <xf numFmtId="49" fontId="19" fillId="0" borderId="99" xfId="0" applyNumberFormat="1" applyFont="1" applyBorder="1" applyAlignment="1">
      <alignment horizontal="left"/>
    </xf>
    <xf numFmtId="49" fontId="45" fillId="0" borderId="99" xfId="0" applyNumberFormat="1" applyFont="1" applyBorder="1" applyAlignment="1">
      <alignment horizontal="left"/>
    </xf>
    <xf numFmtId="3" fontId="45" fillId="0" borderId="23" xfId="0" applyNumberFormat="1" applyFont="1" applyBorder="1"/>
    <xf numFmtId="3" fontId="66" fillId="0" borderId="23" xfId="0" applyNumberFormat="1" applyFont="1" applyBorder="1"/>
    <xf numFmtId="3" fontId="45" fillId="0" borderId="23" xfId="0" applyNumberFormat="1" applyFont="1" applyBorder="1" applyAlignment="1">
      <alignment horizontal="center"/>
    </xf>
    <xf numFmtId="166" fontId="45" fillId="0" borderId="24" xfId="0" applyNumberFormat="1" applyFont="1" applyBorder="1"/>
    <xf numFmtId="3" fontId="21" fillId="0" borderId="107" xfId="0" applyNumberFormat="1" applyFont="1" applyBorder="1" applyAlignment="1">
      <alignment horizontal="left"/>
    </xf>
    <xf numFmtId="3" fontId="20" fillId="0" borderId="108" xfId="0" applyNumberFormat="1" applyFont="1" applyBorder="1" applyAlignment="1">
      <alignment horizontal="left"/>
    </xf>
    <xf numFmtId="3" fontId="21" fillId="0" borderId="108" xfId="0" applyNumberFormat="1" applyFont="1" applyBorder="1"/>
    <xf numFmtId="3" fontId="21" fillId="0" borderId="108" xfId="0" applyNumberFormat="1" applyFont="1" applyBorder="1" applyAlignment="1">
      <alignment horizontal="center"/>
    </xf>
    <xf numFmtId="166" fontId="21" fillId="0" borderId="109" xfId="0" applyNumberFormat="1" applyFont="1" applyBorder="1"/>
    <xf numFmtId="3" fontId="21" fillId="0" borderId="23" xfId="0" applyNumberFormat="1" applyFont="1" applyBorder="1"/>
    <xf numFmtId="3" fontId="66" fillId="0" borderId="99" xfId="0" applyNumberFormat="1" applyFont="1" applyBorder="1"/>
    <xf numFmtId="3" fontId="19" fillId="0" borderId="23" xfId="0" applyNumberFormat="1" applyFont="1" applyBorder="1" applyAlignment="1">
      <alignment vertical="center"/>
    </xf>
    <xf numFmtId="3" fontId="45" fillId="0" borderId="99" xfId="0" applyNumberFormat="1" applyFont="1" applyBorder="1"/>
    <xf numFmtId="3" fontId="66" fillId="0" borderId="99" xfId="0" applyNumberFormat="1" applyFont="1" applyBorder="1" applyAlignment="1">
      <alignment horizontal="left"/>
    </xf>
    <xf numFmtId="3" fontId="21" fillId="0" borderId="152" xfId="0" applyNumberFormat="1" applyFont="1" applyBorder="1" applyAlignment="1">
      <alignment horizontal="left"/>
    </xf>
    <xf numFmtId="3" fontId="20" fillId="0" borderId="153" xfId="0" applyNumberFormat="1" applyFont="1" applyBorder="1" applyAlignment="1">
      <alignment horizontal="left"/>
    </xf>
    <xf numFmtId="3" fontId="21" fillId="0" borderId="153" xfId="0" applyNumberFormat="1" applyFont="1" applyBorder="1"/>
    <xf numFmtId="3" fontId="21" fillId="0" borderId="153" xfId="0" applyNumberFormat="1" applyFont="1" applyBorder="1" applyAlignment="1">
      <alignment horizontal="center"/>
    </xf>
    <xf numFmtId="166" fontId="21" fillId="0" borderId="154" xfId="0" applyNumberFormat="1" applyFont="1" applyBorder="1"/>
    <xf numFmtId="3" fontId="21" fillId="0" borderId="99" xfId="0" applyNumberFormat="1" applyFont="1" applyBorder="1" applyAlignment="1">
      <alignment horizontal="left"/>
    </xf>
    <xf numFmtId="3" fontId="20" fillId="0" borderId="149" xfId="0" applyNumberFormat="1" applyFont="1" applyBorder="1"/>
    <xf numFmtId="3" fontId="45" fillId="0" borderId="99" xfId="0" applyNumberFormat="1" applyFont="1" applyBorder="1" applyAlignment="1">
      <alignment horizontal="left"/>
    </xf>
    <xf numFmtId="3" fontId="21" fillId="0" borderId="149" xfId="0" applyNumberFormat="1" applyFont="1" applyBorder="1" applyAlignment="1">
      <alignment horizontal="left"/>
    </xf>
    <xf numFmtId="3" fontId="45" fillId="0" borderId="150" xfId="0" applyNumberFormat="1" applyFont="1" applyBorder="1" applyAlignment="1">
      <alignment horizontal="left"/>
    </xf>
    <xf numFmtId="3" fontId="21" fillId="0" borderId="149" xfId="0" applyNumberFormat="1" applyFont="1" applyBorder="1" applyAlignment="1">
      <alignment horizontal="center" vertical="center"/>
    </xf>
    <xf numFmtId="3" fontId="21" fillId="0" borderId="149" xfId="0" applyNumberFormat="1" applyFont="1" applyBorder="1" applyAlignment="1">
      <alignment vertical="center"/>
    </xf>
    <xf numFmtId="166" fontId="21" fillId="0" borderId="151" xfId="0" applyNumberFormat="1" applyFont="1" applyBorder="1" applyAlignment="1">
      <alignment vertical="center"/>
    </xf>
    <xf numFmtId="0" fontId="28" fillId="0" borderId="0" xfId="0" applyFont="1" applyAlignment="1">
      <alignment horizontal="center"/>
    </xf>
    <xf numFmtId="0" fontId="68" fillId="0" borderId="0" xfId="0" applyFont="1"/>
    <xf numFmtId="0" fontId="21" fillId="0" borderId="87" xfId="0" applyFont="1" applyBorder="1" applyAlignment="1">
      <alignment horizontal="center" vertical="center"/>
    </xf>
    <xf numFmtId="0" fontId="26" fillId="0" borderId="64" xfId="0" applyFont="1" applyBorder="1"/>
    <xf numFmtId="0" fontId="26" fillId="0" borderId="16" xfId="0" applyFont="1" applyBorder="1" applyAlignment="1">
      <alignment horizontal="left" wrapText="1"/>
    </xf>
    <xf numFmtId="0" fontId="21" fillId="0" borderId="91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vertical="center"/>
    </xf>
    <xf numFmtId="0" fontId="26" fillId="0" borderId="64" xfId="0" applyFont="1" applyBorder="1" applyAlignment="1">
      <alignment horizontal="left" vertical="center" wrapText="1"/>
    </xf>
    <xf numFmtId="0" fontId="21" fillId="0" borderId="93" xfId="0" applyFont="1" applyBorder="1" applyAlignment="1">
      <alignment horizontal="center" vertical="center"/>
    </xf>
    <xf numFmtId="3" fontId="26" fillId="0" borderId="23" xfId="0" applyNumberFormat="1" applyFont="1" applyBorder="1" applyAlignment="1">
      <alignment horizontal="left"/>
    </xf>
    <xf numFmtId="166" fontId="52" fillId="0" borderId="22" xfId="0" applyNumberFormat="1" applyFont="1" applyBorder="1" applyAlignment="1">
      <alignment horizontal="center" vertical="center"/>
    </xf>
    <xf numFmtId="166" fontId="52" fillId="0" borderId="13" xfId="0" applyNumberFormat="1" applyFont="1" applyBorder="1" applyAlignment="1">
      <alignment horizontal="center"/>
    </xf>
    <xf numFmtId="166" fontId="39" fillId="0" borderId="13" xfId="0" applyNumberFormat="1" applyFont="1" applyBorder="1" applyAlignment="1">
      <alignment horizontal="center"/>
    </xf>
    <xf numFmtId="166" fontId="52" fillId="0" borderId="18" xfId="0" applyNumberFormat="1" applyFont="1" applyBorder="1" applyAlignment="1">
      <alignment horizontal="center"/>
    </xf>
    <xf numFmtId="166" fontId="52" fillId="0" borderId="43" xfId="0" applyNumberFormat="1" applyFont="1" applyBorder="1" applyAlignment="1">
      <alignment horizontal="center" vertical="center"/>
    </xf>
    <xf numFmtId="166" fontId="52" fillId="0" borderId="5" xfId="0" applyNumberFormat="1" applyFont="1" applyBorder="1" applyAlignment="1">
      <alignment horizontal="center" vertical="center"/>
    </xf>
    <xf numFmtId="166" fontId="39" fillId="0" borderId="5" xfId="0" applyNumberFormat="1" applyFont="1" applyBorder="1" applyAlignment="1">
      <alignment horizontal="center"/>
    </xf>
    <xf numFmtId="166" fontId="52" fillId="0" borderId="5" xfId="0" applyNumberFormat="1" applyFont="1" applyBorder="1" applyAlignment="1">
      <alignment horizontal="center"/>
    </xf>
    <xf numFmtId="166" fontId="52" fillId="0" borderId="57" xfId="0" applyNumberFormat="1" applyFont="1" applyBorder="1" applyAlignment="1">
      <alignment horizontal="center"/>
    </xf>
    <xf numFmtId="166" fontId="52" fillId="0" borderId="0" xfId="0" applyNumberFormat="1" applyFont="1" applyAlignment="1">
      <alignment horizontal="center"/>
    </xf>
    <xf numFmtId="166" fontId="39" fillId="0" borderId="0" xfId="0" applyNumberFormat="1" applyFont="1" applyAlignment="1">
      <alignment horizontal="center"/>
    </xf>
    <xf numFmtId="166" fontId="52" fillId="0" borderId="7" xfId="0" applyNumberFormat="1" applyFont="1" applyBorder="1" applyAlignment="1">
      <alignment horizontal="center" vertical="center"/>
    </xf>
    <xf numFmtId="166" fontId="10" fillId="0" borderId="77" xfId="0" applyNumberFormat="1" applyFont="1" applyBorder="1" applyAlignment="1">
      <alignment horizontal="center" vertical="center"/>
    </xf>
    <xf numFmtId="3" fontId="7" fillId="0" borderId="0" xfId="0" applyNumberFormat="1" applyFont="1"/>
    <xf numFmtId="0" fontId="6" fillId="0" borderId="155" xfId="0" applyFont="1" applyBorder="1"/>
    <xf numFmtId="0" fontId="6" fillId="0" borderId="64" xfId="0" applyFont="1" applyBorder="1"/>
    <xf numFmtId="167" fontId="64" fillId="0" borderId="99" xfId="2" applyFont="1" applyFill="1" applyBorder="1" applyAlignment="1" applyProtection="1"/>
    <xf numFmtId="0" fontId="64" fillId="0" borderId="130" xfId="0" applyFont="1" applyBorder="1" applyAlignment="1">
      <alignment horizontal="left"/>
    </xf>
    <xf numFmtId="166" fontId="57" fillId="0" borderId="114" xfId="0" applyNumberFormat="1" applyFont="1" applyBorder="1" applyAlignment="1">
      <alignment horizontal="center"/>
    </xf>
    <xf numFmtId="3" fontId="52" fillId="0" borderId="158" xfId="0" applyNumberFormat="1" applyFont="1" applyBorder="1" applyAlignment="1">
      <alignment vertical="center"/>
    </xf>
    <xf numFmtId="3" fontId="52" fillId="0" borderId="159" xfId="0" applyNumberFormat="1" applyFont="1" applyBorder="1" applyAlignment="1">
      <alignment vertical="center"/>
    </xf>
    <xf numFmtId="3" fontId="52" fillId="0" borderId="160" xfId="0" applyNumberFormat="1" applyFont="1" applyBorder="1"/>
    <xf numFmtId="3" fontId="39" fillId="0" borderId="139" xfId="0" applyNumberFormat="1" applyFont="1" applyBorder="1"/>
    <xf numFmtId="3" fontId="21" fillId="0" borderId="23" xfId="0" applyNumberFormat="1" applyFont="1" applyBorder="1" applyAlignment="1">
      <alignment horizontal="left"/>
    </xf>
    <xf numFmtId="3" fontId="57" fillId="0" borderId="36" xfId="0" applyNumberFormat="1" applyFont="1" applyBorder="1"/>
    <xf numFmtId="4" fontId="20" fillId="0" borderId="0" xfId="0" applyNumberFormat="1" applyFont="1" applyAlignment="1">
      <alignment vertical="center"/>
    </xf>
    <xf numFmtId="3" fontId="64" fillId="2" borderId="99" xfId="0" applyNumberFormat="1" applyFont="1" applyFill="1" applyBorder="1"/>
    <xf numFmtId="3" fontId="64" fillId="0" borderId="99" xfId="0" applyNumberFormat="1" applyFont="1" applyBorder="1"/>
    <xf numFmtId="3" fontId="57" fillId="0" borderId="99" xfId="0" applyNumberFormat="1" applyFont="1" applyBorder="1"/>
    <xf numFmtId="3" fontId="57" fillId="0" borderId="99" xfId="0" applyNumberFormat="1" applyFont="1" applyBorder="1" applyAlignment="1">
      <alignment horizontal="right"/>
    </xf>
    <xf numFmtId="3" fontId="64" fillId="0" borderId="99" xfId="0" applyNumberFormat="1" applyFont="1" applyBorder="1" applyAlignment="1">
      <alignment horizontal="right"/>
    </xf>
    <xf numFmtId="0" fontId="29" fillId="0" borderId="0" xfId="0" applyFont="1" applyAlignment="1">
      <alignment vertical="center"/>
    </xf>
    <xf numFmtId="3" fontId="39" fillId="0" borderId="31" xfId="0" applyNumberFormat="1" applyFont="1" applyBorder="1"/>
    <xf numFmtId="166" fontId="39" fillId="0" borderId="25" xfId="0" applyNumberFormat="1" applyFont="1" applyBorder="1" applyAlignment="1">
      <alignment horizontal="center"/>
    </xf>
    <xf numFmtId="0" fontId="26" fillId="0" borderId="0" xfId="0" applyFont="1" applyAlignment="1">
      <alignment horizontal="left" wrapText="1"/>
    </xf>
    <xf numFmtId="3" fontId="39" fillId="0" borderId="13" xfId="0" applyNumberFormat="1" applyFont="1" applyBorder="1"/>
    <xf numFmtId="3" fontId="52" fillId="0" borderId="54" xfId="0" applyNumberFormat="1" applyFont="1" applyBorder="1"/>
    <xf numFmtId="4" fontId="52" fillId="0" borderId="11" xfId="0" applyNumberFormat="1" applyFont="1" applyBorder="1" applyAlignment="1">
      <alignment vertical="center"/>
    </xf>
    <xf numFmtId="4" fontId="52" fillId="0" borderId="10" xfId="0" applyNumberFormat="1" applyFont="1" applyBorder="1"/>
    <xf numFmtId="4" fontId="39" fillId="0" borderId="10" xfId="0" applyNumberFormat="1" applyFont="1" applyBorder="1"/>
    <xf numFmtId="4" fontId="39" fillId="0" borderId="10" xfId="0" applyNumberFormat="1" applyFont="1" applyBorder="1" applyAlignment="1">
      <alignment horizontal="right"/>
    </xf>
    <xf numFmtId="3" fontId="39" fillId="0" borderId="16" xfId="0" applyNumberFormat="1" applyFont="1" applyBorder="1" applyAlignment="1">
      <alignment horizontal="left" vertical="center" wrapText="1"/>
    </xf>
    <xf numFmtId="3" fontId="39" fillId="0" borderId="10" xfId="0" applyNumberFormat="1" applyFont="1" applyBorder="1" applyAlignment="1">
      <alignment vertical="center" wrapText="1"/>
    </xf>
    <xf numFmtId="166" fontId="39" fillId="0" borderId="33" xfId="0" applyNumberFormat="1" applyFont="1" applyBorder="1" applyAlignment="1">
      <alignment horizontal="center"/>
    </xf>
    <xf numFmtId="0" fontId="26" fillId="0" borderId="16" xfId="0" applyFont="1" applyBorder="1" applyAlignment="1">
      <alignment wrapText="1"/>
    </xf>
    <xf numFmtId="3" fontId="19" fillId="4" borderId="10" xfId="0" applyNumberFormat="1" applyFont="1" applyFill="1" applyBorder="1"/>
    <xf numFmtId="3" fontId="19" fillId="4" borderId="0" xfId="0" applyNumberFormat="1" applyFont="1" applyFill="1"/>
    <xf numFmtId="3" fontId="19" fillId="4" borderId="34" xfId="0" applyNumberFormat="1" applyFont="1" applyFill="1" applyBorder="1"/>
    <xf numFmtId="166" fontId="19" fillId="0" borderId="29" xfId="0" applyNumberFormat="1" applyFont="1" applyBorder="1"/>
    <xf numFmtId="166" fontId="19" fillId="0" borderId="86" xfId="0" applyNumberFormat="1" applyFont="1" applyBorder="1"/>
    <xf numFmtId="0" fontId="26" fillId="0" borderId="16" xfId="0" applyFont="1" applyBorder="1" applyAlignment="1">
      <alignment horizontal="left" vertical="center"/>
    </xf>
    <xf numFmtId="3" fontId="19" fillId="4" borderId="65" xfId="0" applyNumberFormat="1" applyFont="1" applyFill="1" applyBorder="1"/>
    <xf numFmtId="3" fontId="19" fillId="0" borderId="45" xfId="0" applyNumberFormat="1" applyFont="1" applyBorder="1"/>
    <xf numFmtId="3" fontId="19" fillId="0" borderId="170" xfId="0" applyNumberFormat="1" applyFont="1" applyBorder="1"/>
    <xf numFmtId="3" fontId="21" fillId="0" borderId="88" xfId="0" applyNumberFormat="1" applyFont="1" applyBorder="1"/>
    <xf numFmtId="3" fontId="21" fillId="0" borderId="90" xfId="0" applyNumberFormat="1" applyFont="1" applyBorder="1"/>
    <xf numFmtId="3" fontId="21" fillId="0" borderId="52" xfId="0" applyNumberFormat="1" applyFont="1" applyBorder="1"/>
    <xf numFmtId="166" fontId="21" fillId="0" borderId="89" xfId="0" applyNumberFormat="1" applyFont="1" applyBorder="1"/>
    <xf numFmtId="3" fontId="21" fillId="4" borderId="92" xfId="0" applyNumberFormat="1" applyFont="1" applyFill="1" applyBorder="1"/>
    <xf numFmtId="3" fontId="21" fillId="4" borderId="90" xfId="0" applyNumberFormat="1" applyFont="1" applyFill="1" applyBorder="1"/>
    <xf numFmtId="3" fontId="21" fillId="0" borderId="98" xfId="0" applyNumberFormat="1" applyFont="1" applyBorder="1"/>
    <xf numFmtId="3" fontId="21" fillId="0" borderId="161" xfId="0" applyNumberFormat="1" applyFont="1" applyBorder="1"/>
    <xf numFmtId="0" fontId="0" fillId="0" borderId="173" xfId="0" applyBorder="1"/>
    <xf numFmtId="0" fontId="0" fillId="0" borderId="174" xfId="0" applyBorder="1"/>
    <xf numFmtId="3" fontId="21" fillId="0" borderId="174" xfId="0" applyNumberFormat="1" applyFont="1" applyBorder="1" applyAlignment="1">
      <alignment vertical="center"/>
    </xf>
    <xf numFmtId="3" fontId="10" fillId="0" borderId="173" xfId="0" applyNumberFormat="1" applyFont="1" applyBorder="1" applyAlignment="1">
      <alignment vertical="center"/>
    </xf>
    <xf numFmtId="3" fontId="21" fillId="0" borderId="181" xfId="0" applyNumberFormat="1" applyFont="1" applyBorder="1"/>
    <xf numFmtId="3" fontId="64" fillId="0" borderId="16" xfId="0" applyNumberFormat="1" applyFont="1" applyBorder="1"/>
    <xf numFmtId="3" fontId="29" fillId="0" borderId="12" xfId="0" applyNumberFormat="1" applyFont="1" applyBorder="1"/>
    <xf numFmtId="0" fontId="57" fillId="0" borderId="201" xfId="0" applyFont="1" applyBorder="1"/>
    <xf numFmtId="3" fontId="57" fillId="0" borderId="99" xfId="0" applyNumberFormat="1" applyFont="1" applyBorder="1" applyAlignment="1">
      <alignment horizontal="left"/>
    </xf>
    <xf numFmtId="3" fontId="64" fillId="0" borderId="99" xfId="2" applyNumberFormat="1" applyFont="1" applyFill="1" applyBorder="1" applyAlignment="1" applyProtection="1"/>
    <xf numFmtId="3" fontId="64" fillId="0" borderId="34" xfId="0" applyNumberFormat="1" applyFont="1" applyBorder="1" applyAlignment="1">
      <alignment horizontal="right"/>
    </xf>
    <xf numFmtId="3" fontId="57" fillId="0" borderId="46" xfId="0" applyNumberFormat="1" applyFont="1" applyBorder="1"/>
    <xf numFmtId="3" fontId="57" fillId="0" borderId="0" xfId="0" applyNumberFormat="1" applyFont="1"/>
    <xf numFmtId="0" fontId="64" fillId="4" borderId="201" xfId="0" applyFont="1" applyFill="1" applyBorder="1" applyAlignment="1">
      <alignment horizontal="left"/>
    </xf>
    <xf numFmtId="3" fontId="64" fillId="4" borderId="99" xfId="0" applyNumberFormat="1" applyFont="1" applyFill="1" applyBorder="1" applyAlignment="1">
      <alignment horizontal="right"/>
    </xf>
    <xf numFmtId="3" fontId="64" fillId="4" borderId="99" xfId="0" applyNumberFormat="1" applyFont="1" applyFill="1" applyBorder="1"/>
    <xf numFmtId="0" fontId="29" fillId="0" borderId="211" xfId="0" applyFont="1" applyBorder="1" applyAlignment="1">
      <alignment horizontal="center"/>
    </xf>
    <xf numFmtId="176" fontId="64" fillId="4" borderId="102" xfId="0" applyNumberFormat="1" applyFont="1" applyFill="1" applyBorder="1" applyAlignment="1">
      <alignment horizontal="right"/>
    </xf>
    <xf numFmtId="0" fontId="64" fillId="0" borderId="16" xfId="0" applyFont="1" applyBorder="1" applyAlignment="1">
      <alignment horizontal="center" vertical="center"/>
    </xf>
    <xf numFmtId="3" fontId="64" fillId="0" borderId="10" xfId="0" applyNumberFormat="1" applyFont="1" applyBorder="1" applyAlignment="1">
      <alignment vertical="center"/>
    </xf>
    <xf numFmtId="168" fontId="64" fillId="0" borderId="13" xfId="0" applyNumberFormat="1" applyFont="1" applyBorder="1" applyAlignment="1">
      <alignment horizontal="center" vertical="center"/>
    </xf>
    <xf numFmtId="0" fontId="19" fillId="0" borderId="65" xfId="0" applyFont="1" applyBorder="1" applyAlignment="1">
      <alignment horizontal="left"/>
    </xf>
    <xf numFmtId="3" fontId="45" fillId="0" borderId="65" xfId="0" applyNumberFormat="1" applyFont="1" applyBorder="1" applyAlignment="1">
      <alignment horizontal="left"/>
    </xf>
    <xf numFmtId="3" fontId="19" fillId="0" borderId="65" xfId="0" applyNumberFormat="1" applyFont="1" applyBorder="1" applyAlignment="1">
      <alignment horizontal="right"/>
    </xf>
    <xf numFmtId="3" fontId="45" fillId="0" borderId="65" xfId="0" applyNumberFormat="1" applyFont="1" applyBorder="1" applyAlignment="1">
      <alignment horizontal="right"/>
    </xf>
    <xf numFmtId="3" fontId="61" fillId="0" borderId="65" xfId="0" applyNumberFormat="1" applyFont="1" applyBorder="1" applyAlignment="1">
      <alignment horizontal="right" vertical="center"/>
    </xf>
    <xf numFmtId="0" fontId="19" fillId="0" borderId="64" xfId="0" applyFont="1" applyBorder="1"/>
    <xf numFmtId="0" fontId="45" fillId="0" borderId="64" xfId="0" applyFont="1" applyBorder="1"/>
    <xf numFmtId="0" fontId="21" fillId="0" borderId="64" xfId="0" applyFont="1" applyBorder="1" applyAlignment="1">
      <alignment horizontal="center" vertical="center"/>
    </xf>
    <xf numFmtId="0" fontId="0" fillId="0" borderId="96" xfId="0" applyBorder="1"/>
    <xf numFmtId="0" fontId="59" fillId="7" borderId="96" xfId="0" applyFont="1" applyFill="1" applyBorder="1"/>
    <xf numFmtId="0" fontId="58" fillId="7" borderId="0" xfId="0" applyFont="1" applyFill="1" applyAlignment="1">
      <alignment horizontal="center"/>
    </xf>
    <xf numFmtId="0" fontId="58" fillId="7" borderId="65" xfId="0" applyFont="1" applyFill="1" applyBorder="1" applyAlignment="1">
      <alignment horizontal="center"/>
    </xf>
    <xf numFmtId="0" fontId="59" fillId="7" borderId="97" xfId="0" applyFont="1" applyFill="1" applyBorder="1"/>
    <xf numFmtId="0" fontId="59" fillId="7" borderId="221" xfId="0" applyFont="1" applyFill="1" applyBorder="1"/>
    <xf numFmtId="0" fontId="20" fillId="8" borderId="102" xfId="0" applyFont="1" applyFill="1" applyBorder="1" applyAlignment="1">
      <alignment horizontal="center" vertical="center" wrapText="1"/>
    </xf>
    <xf numFmtId="0" fontId="20" fillId="8" borderId="117" xfId="0" applyFont="1" applyFill="1" applyBorder="1" applyAlignment="1">
      <alignment horizontal="center" vertical="center" wrapText="1"/>
    </xf>
    <xf numFmtId="0" fontId="20" fillId="8" borderId="168" xfId="0" applyFont="1" applyFill="1" applyBorder="1" applyAlignment="1">
      <alignment horizontal="center"/>
    </xf>
    <xf numFmtId="0" fontId="20" fillId="8" borderId="121" xfId="0" applyFont="1" applyFill="1" applyBorder="1" applyAlignment="1">
      <alignment horizontal="center"/>
    </xf>
    <xf numFmtId="0" fontId="20" fillId="8" borderId="122" xfId="0" applyFont="1" applyFill="1" applyBorder="1" applyAlignment="1">
      <alignment horizontal="center"/>
    </xf>
    <xf numFmtId="0" fontId="20" fillId="8" borderId="120" xfId="0" applyFont="1" applyFill="1" applyBorder="1" applyAlignment="1">
      <alignment horizontal="center"/>
    </xf>
    <xf numFmtId="0" fontId="20" fillId="8" borderId="118" xfId="0" applyFont="1" applyFill="1" applyBorder="1" applyAlignment="1">
      <alignment horizontal="center" vertical="center" wrapText="1"/>
    </xf>
    <xf numFmtId="0" fontId="20" fillId="8" borderId="39" xfId="0" applyFont="1" applyFill="1" applyBorder="1" applyAlignment="1">
      <alignment horizontal="center" vertical="center" wrapText="1"/>
    </xf>
    <xf numFmtId="0" fontId="20" fillId="8" borderId="39" xfId="0" applyFont="1" applyFill="1" applyBorder="1" applyAlignment="1">
      <alignment horizontal="center" vertical="center"/>
    </xf>
    <xf numFmtId="0" fontId="20" fillId="8" borderId="40" xfId="0" applyFont="1" applyFill="1" applyBorder="1" applyAlignment="1">
      <alignment horizontal="center" vertical="center"/>
    </xf>
    <xf numFmtId="0" fontId="20" fillId="8" borderId="110" xfId="0" applyFont="1" applyFill="1" applyBorder="1" applyAlignment="1">
      <alignment horizontal="center"/>
    </xf>
    <xf numFmtId="0" fontId="20" fillId="8" borderId="211" xfId="0" applyFont="1" applyFill="1" applyBorder="1" applyAlignment="1">
      <alignment horizontal="center" vertical="center" wrapText="1"/>
    </xf>
    <xf numFmtId="0" fontId="20" fillId="8" borderId="102" xfId="0" applyFont="1" applyFill="1" applyBorder="1" applyAlignment="1">
      <alignment horizontal="center"/>
    </xf>
    <xf numFmtId="0" fontId="20" fillId="8" borderId="128" xfId="0" applyFont="1" applyFill="1" applyBorder="1" applyAlignment="1">
      <alignment horizontal="center"/>
    </xf>
    <xf numFmtId="0" fontId="20" fillId="8" borderId="190" xfId="0" applyFont="1" applyFill="1" applyBorder="1" applyAlignment="1">
      <alignment horizontal="center" vertical="center" wrapText="1"/>
    </xf>
    <xf numFmtId="0" fontId="20" fillId="8" borderId="190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31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 wrapText="1"/>
    </xf>
    <xf numFmtId="0" fontId="19" fillId="0" borderId="64" xfId="0" applyFont="1" applyBorder="1" applyAlignment="1">
      <alignment vertical="center"/>
    </xf>
    <xf numFmtId="0" fontId="21" fillId="7" borderId="195" xfId="0" applyFont="1" applyFill="1" applyBorder="1"/>
    <xf numFmtId="0" fontId="21" fillId="7" borderId="147" xfId="0" applyFont="1" applyFill="1" applyBorder="1" applyAlignment="1">
      <alignment horizontal="center" vertical="center"/>
    </xf>
    <xf numFmtId="0" fontId="21" fillId="7" borderId="148" xfId="0" applyFont="1" applyFill="1" applyBorder="1" applyAlignment="1">
      <alignment horizontal="center" vertical="center"/>
    </xf>
    <xf numFmtId="0" fontId="20" fillId="8" borderId="225" xfId="0" applyFont="1" applyFill="1" applyBorder="1" applyAlignment="1">
      <alignment horizontal="center"/>
    </xf>
    <xf numFmtId="0" fontId="20" fillId="8" borderId="226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horizontal="right" vertical="center"/>
    </xf>
    <xf numFmtId="3" fontId="21" fillId="0" borderId="65" xfId="0" applyNumberFormat="1" applyFont="1" applyBorder="1" applyAlignment="1">
      <alignment horizontal="right" vertical="center"/>
    </xf>
    <xf numFmtId="0" fontId="21" fillId="8" borderId="169" xfId="0" applyFont="1" applyFill="1" applyBorder="1" applyAlignment="1">
      <alignment horizontal="center"/>
    </xf>
    <xf numFmtId="0" fontId="21" fillId="8" borderId="181" xfId="0" applyFont="1" applyFill="1" applyBorder="1" applyAlignment="1">
      <alignment horizontal="center" vertical="center"/>
    </xf>
    <xf numFmtId="0" fontId="21" fillId="8" borderId="113" xfId="0" applyFont="1" applyFill="1" applyBorder="1" applyAlignment="1">
      <alignment horizontal="center" vertical="center"/>
    </xf>
    <xf numFmtId="0" fontId="21" fillId="8" borderId="104" xfId="0" applyFont="1" applyFill="1" applyBorder="1" applyAlignment="1">
      <alignment horizontal="center" vertical="center" wrapText="1"/>
    </xf>
    <xf numFmtId="0" fontId="10" fillId="8" borderId="178" xfId="0" applyFont="1" applyFill="1" applyBorder="1" applyAlignment="1">
      <alignment horizontal="center" vertical="center" wrapText="1"/>
    </xf>
    <xf numFmtId="3" fontId="10" fillId="8" borderId="178" xfId="0" applyNumberFormat="1" applyFont="1" applyFill="1" applyBorder="1" applyAlignment="1">
      <alignment horizontal="center" vertical="center" wrapText="1"/>
    </xf>
    <xf numFmtId="0" fontId="20" fillId="8" borderId="140" xfId="0" applyFont="1" applyFill="1" applyBorder="1" applyAlignment="1">
      <alignment horizontal="center" vertical="center"/>
    </xf>
    <xf numFmtId="0" fontId="20" fillId="7" borderId="90" xfId="0" applyFont="1" applyFill="1" applyBorder="1" applyAlignment="1">
      <alignment horizontal="center" vertical="center" wrapText="1"/>
    </xf>
    <xf numFmtId="0" fontId="20" fillId="7" borderId="52" xfId="0" applyFont="1" applyFill="1" applyBorder="1" applyAlignment="1">
      <alignment horizontal="center" vertical="center" wrapText="1"/>
    </xf>
    <xf numFmtId="0" fontId="20" fillId="7" borderId="213" xfId="0" applyFont="1" applyFill="1" applyBorder="1" applyAlignment="1">
      <alignment horizontal="center" vertical="center"/>
    </xf>
    <xf numFmtId="0" fontId="20" fillId="7" borderId="214" xfId="0" applyFont="1" applyFill="1" applyBorder="1" applyAlignment="1">
      <alignment horizontal="center" vertical="center" wrapText="1"/>
    </xf>
    <xf numFmtId="0" fontId="20" fillId="7" borderId="215" xfId="0" applyFont="1" applyFill="1" applyBorder="1" applyAlignment="1">
      <alignment horizontal="center" vertical="center" wrapText="1"/>
    </xf>
    <xf numFmtId="3" fontId="19" fillId="0" borderId="223" xfId="0" applyNumberFormat="1" applyFont="1" applyBorder="1"/>
    <xf numFmtId="0" fontId="58" fillId="7" borderId="183" xfId="0" applyFont="1" applyFill="1" applyBorder="1" applyAlignment="1">
      <alignment horizontal="center" vertical="center" wrapText="1"/>
    </xf>
    <xf numFmtId="0" fontId="58" fillId="7" borderId="64" xfId="0" applyFont="1" applyFill="1" applyBorder="1" applyAlignment="1">
      <alignment horizontal="center" vertical="center" wrapText="1"/>
    </xf>
    <xf numFmtId="0" fontId="58" fillId="7" borderId="167" xfId="0" applyFont="1" applyFill="1" applyBorder="1" applyAlignment="1">
      <alignment horizontal="center" vertical="center" wrapText="1"/>
    </xf>
    <xf numFmtId="0" fontId="60" fillId="7" borderId="220" xfId="0" applyFont="1" applyFill="1" applyBorder="1" applyAlignment="1">
      <alignment horizontal="center"/>
    </xf>
    <xf numFmtId="0" fontId="60" fillId="7" borderId="227" xfId="0" applyFont="1" applyFill="1" applyBorder="1" applyAlignment="1">
      <alignment horizontal="center"/>
    </xf>
    <xf numFmtId="0" fontId="70" fillId="0" borderId="0" xfId="0" applyFont="1" applyAlignment="1">
      <alignment horizontal="left"/>
    </xf>
    <xf numFmtId="0" fontId="20" fillId="8" borderId="156" xfId="0" applyFont="1" applyFill="1" applyBorder="1" applyAlignment="1">
      <alignment horizontal="center" vertical="center"/>
    </xf>
    <xf numFmtId="0" fontId="20" fillId="8" borderId="157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0" fillId="8" borderId="116" xfId="0" applyFont="1" applyFill="1" applyBorder="1" applyAlignment="1">
      <alignment horizontal="center" vertical="center" wrapText="1"/>
    </xf>
    <xf numFmtId="0" fontId="20" fillId="8" borderId="117" xfId="0" applyFont="1" applyFill="1" applyBorder="1" applyAlignment="1">
      <alignment horizontal="center" vertical="center" wrapText="1"/>
    </xf>
    <xf numFmtId="0" fontId="20" fillId="8" borderId="112" xfId="0" applyFont="1" applyFill="1" applyBorder="1" applyAlignment="1">
      <alignment horizontal="center"/>
    </xf>
    <xf numFmtId="0" fontId="20" fillId="8" borderId="115" xfId="0" applyFont="1" applyFill="1" applyBorder="1" applyAlignment="1">
      <alignment horizontal="center" vertical="center"/>
    </xf>
    <xf numFmtId="0" fontId="20" fillId="8" borderId="202" xfId="0" applyFont="1" applyFill="1" applyBorder="1" applyAlignment="1">
      <alignment horizontal="center"/>
    </xf>
    <xf numFmtId="0" fontId="20" fillId="8" borderId="200" xfId="0" applyFont="1" applyFill="1" applyBorder="1" applyAlignment="1">
      <alignment horizontal="center"/>
    </xf>
    <xf numFmtId="0" fontId="20" fillId="8" borderId="203" xfId="0" applyFont="1" applyFill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0" fillId="8" borderId="123" xfId="0" applyFont="1" applyFill="1" applyBorder="1" applyAlignment="1">
      <alignment horizontal="center" vertical="center" wrapText="1"/>
    </xf>
    <xf numFmtId="0" fontId="20" fillId="8" borderId="126" xfId="0" applyFont="1" applyFill="1" applyBorder="1" applyAlignment="1">
      <alignment horizontal="center" vertical="center" wrapText="1"/>
    </xf>
    <xf numFmtId="0" fontId="20" fillId="8" borderId="124" xfId="0" applyFont="1" applyFill="1" applyBorder="1" applyAlignment="1">
      <alignment horizontal="center" vertical="center" wrapText="1"/>
    </xf>
    <xf numFmtId="0" fontId="20" fillId="8" borderId="39" xfId="0" applyFont="1" applyFill="1" applyBorder="1" applyAlignment="1">
      <alignment horizontal="center" vertical="center" wrapText="1"/>
    </xf>
    <xf numFmtId="0" fontId="20" fillId="8" borderId="125" xfId="0" applyFont="1" applyFill="1" applyBorder="1" applyAlignment="1">
      <alignment horizontal="center"/>
    </xf>
    <xf numFmtId="0" fontId="20" fillId="8" borderId="38" xfId="0" applyFont="1" applyFill="1" applyBorder="1" applyAlignment="1">
      <alignment horizontal="center"/>
    </xf>
    <xf numFmtId="0" fontId="20" fillId="8" borderId="204" xfId="0" applyFont="1" applyFill="1" applyBorder="1" applyAlignment="1">
      <alignment horizontal="center"/>
    </xf>
    <xf numFmtId="0" fontId="20" fillId="8" borderId="205" xfId="0" applyFont="1" applyFill="1" applyBorder="1" applyAlignment="1">
      <alignment horizontal="center"/>
    </xf>
    <xf numFmtId="0" fontId="20" fillId="8" borderId="206" xfId="0" applyFont="1" applyFill="1" applyBorder="1" applyAlignment="1">
      <alignment horizontal="center"/>
    </xf>
    <xf numFmtId="0" fontId="21" fillId="8" borderId="103" xfId="0" applyFont="1" applyFill="1" applyBorder="1" applyAlignment="1">
      <alignment horizontal="center" vertical="center"/>
    </xf>
    <xf numFmtId="0" fontId="21" fillId="8" borderId="105" xfId="0" applyFont="1" applyFill="1" applyBorder="1" applyAlignment="1">
      <alignment horizontal="center" vertical="center"/>
    </xf>
    <xf numFmtId="0" fontId="20" fillId="8" borderId="111" xfId="0" applyFont="1" applyFill="1" applyBorder="1" applyAlignment="1">
      <alignment horizontal="center" vertical="center" wrapText="1"/>
    </xf>
    <xf numFmtId="0" fontId="20" fillId="8" borderId="106" xfId="0" applyFont="1" applyFill="1" applyBorder="1" applyAlignment="1">
      <alignment horizontal="center" vertical="center" wrapText="1"/>
    </xf>
    <xf numFmtId="0" fontId="21" fillId="8" borderId="208" xfId="0" applyFont="1" applyFill="1" applyBorder="1" applyAlignment="1">
      <alignment horizontal="center" vertical="center"/>
    </xf>
    <xf numFmtId="0" fontId="21" fillId="8" borderId="209" xfId="0" applyFont="1" applyFill="1" applyBorder="1" applyAlignment="1">
      <alignment horizontal="center" vertical="center"/>
    </xf>
    <xf numFmtId="0" fontId="21" fillId="8" borderId="210" xfId="0" applyFont="1" applyFill="1" applyBorder="1" applyAlignment="1">
      <alignment horizontal="center" vertical="center"/>
    </xf>
    <xf numFmtId="0" fontId="21" fillId="8" borderId="110" xfId="0" applyFont="1" applyFill="1" applyBorder="1" applyAlignment="1">
      <alignment horizontal="center" vertical="center" wrapText="1"/>
    </xf>
    <xf numFmtId="0" fontId="21" fillId="8" borderId="207" xfId="0" applyFont="1" applyFill="1" applyBorder="1" applyAlignment="1">
      <alignment horizontal="center" vertical="center" wrapText="1"/>
    </xf>
    <xf numFmtId="0" fontId="20" fillId="8" borderId="103" xfId="0" applyFont="1" applyFill="1" applyBorder="1" applyAlignment="1">
      <alignment horizontal="center" vertical="center" wrapText="1"/>
    </xf>
    <xf numFmtId="0" fontId="20" fillId="8" borderId="211" xfId="0" applyFont="1" applyFill="1" applyBorder="1" applyAlignment="1">
      <alignment horizontal="center" vertical="center" wrapText="1"/>
    </xf>
    <xf numFmtId="0" fontId="20" fillId="8" borderId="212" xfId="0" applyFont="1" applyFill="1" applyBorder="1" applyAlignment="1">
      <alignment horizontal="center" vertical="center" wrapText="1"/>
    </xf>
    <xf numFmtId="0" fontId="20" fillId="8" borderId="208" xfId="0" applyFont="1" applyFill="1" applyBorder="1" applyAlignment="1">
      <alignment horizontal="center" vertical="center" wrapText="1"/>
    </xf>
    <xf numFmtId="0" fontId="20" fillId="8" borderId="209" xfId="0" applyFont="1" applyFill="1" applyBorder="1" applyAlignment="1">
      <alignment horizontal="center" vertical="center" wrapText="1"/>
    </xf>
    <xf numFmtId="0" fontId="20" fillId="8" borderId="210" xfId="0" applyFont="1" applyFill="1" applyBorder="1" applyAlignment="1">
      <alignment horizontal="center" vertical="center" wrapText="1"/>
    </xf>
    <xf numFmtId="0" fontId="20" fillId="8" borderId="110" xfId="0" applyFont="1" applyFill="1" applyBorder="1" applyAlignment="1">
      <alignment horizontal="center" vertical="center" wrapText="1"/>
    </xf>
    <xf numFmtId="0" fontId="20" fillId="8" borderId="102" xfId="0" applyFont="1" applyFill="1" applyBorder="1" applyAlignment="1">
      <alignment horizontal="center" vertical="center" wrapText="1"/>
    </xf>
    <xf numFmtId="0" fontId="20" fillId="8" borderId="78" xfId="0" applyFont="1" applyFill="1" applyBorder="1" applyAlignment="1">
      <alignment horizontal="center" vertical="center" wrapText="1"/>
    </xf>
    <xf numFmtId="0" fontId="20" fillId="8" borderId="177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8" borderId="79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20" fillId="8" borderId="79" xfId="0" applyFont="1" applyFill="1" applyBorder="1" applyAlignment="1">
      <alignment horizontal="center"/>
    </xf>
    <xf numFmtId="0" fontId="20" fillId="8" borderId="187" xfId="0" applyFont="1" applyFill="1" applyBorder="1" applyAlignment="1">
      <alignment horizontal="center"/>
    </xf>
    <xf numFmtId="0" fontId="20" fillId="8" borderId="78" xfId="0" applyFont="1" applyFill="1" applyBorder="1" applyAlignment="1">
      <alignment horizontal="center"/>
    </xf>
    <xf numFmtId="0" fontId="20" fillId="8" borderId="188" xfId="0" applyFont="1" applyFill="1" applyBorder="1" applyAlignment="1">
      <alignment horizontal="center"/>
    </xf>
    <xf numFmtId="0" fontId="20" fillId="8" borderId="189" xfId="0" applyFont="1" applyFill="1" applyBorder="1" applyAlignment="1">
      <alignment horizontal="center"/>
    </xf>
    <xf numFmtId="0" fontId="20" fillId="8" borderId="2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69" fontId="10" fillId="8" borderId="74" xfId="0" applyNumberFormat="1" applyFont="1" applyFill="1" applyBorder="1" applyAlignment="1">
      <alignment horizontal="center" vertical="center" wrapText="1"/>
    </xf>
    <xf numFmtId="169" fontId="10" fillId="8" borderId="172" xfId="0" applyNumberFormat="1" applyFont="1" applyFill="1" applyBorder="1" applyAlignment="1">
      <alignment horizontal="center" vertical="center" wrapText="1"/>
    </xf>
    <xf numFmtId="3" fontId="10" fillId="8" borderId="74" xfId="0" applyNumberFormat="1" applyFont="1" applyFill="1" applyBorder="1" applyAlignment="1">
      <alignment horizontal="center" vertical="center" wrapText="1"/>
    </xf>
    <xf numFmtId="3" fontId="10" fillId="8" borderId="172" xfId="0" applyNumberFormat="1" applyFont="1" applyFill="1" applyBorder="1" applyAlignment="1">
      <alignment horizontal="center" vertical="center" wrapText="1"/>
    </xf>
    <xf numFmtId="3" fontId="10" fillId="8" borderId="171" xfId="0" applyNumberFormat="1" applyFont="1" applyFill="1" applyBorder="1" applyAlignment="1">
      <alignment horizontal="center" vertical="center" wrapText="1"/>
    </xf>
    <xf numFmtId="3" fontId="10" fillId="8" borderId="175" xfId="0" applyNumberFormat="1" applyFont="1" applyFill="1" applyBorder="1" applyAlignment="1">
      <alignment horizontal="center" vertical="center" wrapText="1"/>
    </xf>
    <xf numFmtId="49" fontId="10" fillId="8" borderId="75" xfId="0" applyNumberFormat="1" applyFont="1" applyFill="1" applyBorder="1" applyAlignment="1">
      <alignment horizontal="center" vertical="center" wrapText="1"/>
    </xf>
    <xf numFmtId="49" fontId="10" fillId="8" borderId="176" xfId="0" applyNumberFormat="1" applyFont="1" applyFill="1" applyBorder="1" applyAlignment="1">
      <alignment horizontal="center" vertical="center" wrapText="1"/>
    </xf>
    <xf numFmtId="49" fontId="10" fillId="8" borderId="179" xfId="0" applyNumberFormat="1" applyFont="1" applyFill="1" applyBorder="1" applyAlignment="1">
      <alignment horizontal="center" vertical="center" wrapText="1"/>
    </xf>
    <xf numFmtId="0" fontId="10" fillId="8" borderId="72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73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7" xfId="0" applyFont="1" applyFill="1" applyBorder="1" applyAlignment="1">
      <alignment horizontal="center" vertical="center"/>
    </xf>
    <xf numFmtId="3" fontId="10" fillId="8" borderId="72" xfId="0" applyNumberFormat="1" applyFont="1" applyFill="1" applyBorder="1" applyAlignment="1">
      <alignment horizontal="center" vertical="center" wrapText="1"/>
    </xf>
    <xf numFmtId="3" fontId="10" fillId="8" borderId="10" xfId="0" applyNumberFormat="1" applyFont="1" applyFill="1" applyBorder="1" applyAlignment="1">
      <alignment horizontal="center" vertical="center" wrapText="1"/>
    </xf>
    <xf numFmtId="3" fontId="10" fillId="8" borderId="12" xfId="0" applyNumberFormat="1" applyFont="1" applyFill="1" applyBorder="1" applyAlignment="1">
      <alignment horizontal="center" vertical="center" wrapText="1"/>
    </xf>
    <xf numFmtId="3" fontId="10" fillId="8" borderId="186" xfId="0" applyNumberFormat="1" applyFont="1" applyFill="1" applyBorder="1" applyAlignment="1">
      <alignment horizontal="center" vertical="center" wrapText="1"/>
    </xf>
    <xf numFmtId="3" fontId="10" fillId="8" borderId="73" xfId="0" applyNumberFormat="1" applyFont="1" applyFill="1" applyBorder="1" applyAlignment="1">
      <alignment horizontal="center" vertical="center" wrapText="1"/>
    </xf>
    <xf numFmtId="3" fontId="10" fillId="8" borderId="13" xfId="0" applyNumberFormat="1" applyFont="1" applyFill="1" applyBorder="1" applyAlignment="1">
      <alignment horizontal="center" vertical="center" wrapText="1"/>
    </xf>
    <xf numFmtId="3" fontId="10" fillId="8" borderId="16" xfId="0" applyNumberFormat="1" applyFont="1" applyFill="1" applyBorder="1" applyAlignment="1">
      <alignment horizontal="center" vertical="center" wrapText="1"/>
    </xf>
    <xf numFmtId="3" fontId="10" fillId="8" borderId="19" xfId="0" applyNumberFormat="1" applyFont="1" applyFill="1" applyBorder="1" applyAlignment="1">
      <alignment horizontal="center" vertical="center" wrapText="1"/>
    </xf>
    <xf numFmtId="3" fontId="10" fillId="8" borderId="177" xfId="0" applyNumberFormat="1" applyFont="1" applyFill="1" applyBorder="1" applyAlignment="1">
      <alignment horizontal="center" vertical="center" wrapText="1"/>
    </xf>
    <xf numFmtId="3" fontId="20" fillId="8" borderId="146" xfId="0" applyNumberFormat="1" applyFont="1" applyFill="1" applyBorder="1" applyAlignment="1">
      <alignment horizontal="center" vertical="center" wrapText="1"/>
    </xf>
    <xf numFmtId="3" fontId="20" fillId="8" borderId="26" xfId="0" applyNumberFormat="1" applyFont="1" applyFill="1" applyBorder="1" applyAlignment="1">
      <alignment horizontal="center" vertical="center" wrapText="1"/>
    </xf>
    <xf numFmtId="3" fontId="20" fillId="8" borderId="166" xfId="0" applyNumberFormat="1" applyFont="1" applyFill="1" applyBorder="1" applyAlignment="1">
      <alignment horizontal="center" vertical="center" wrapText="1"/>
    </xf>
    <xf numFmtId="49" fontId="20" fillId="8" borderId="141" xfId="0" applyNumberFormat="1" applyFont="1" applyFill="1" applyBorder="1" applyAlignment="1">
      <alignment horizontal="center" vertical="center" wrapText="1"/>
    </xf>
    <xf numFmtId="49" fontId="20" fillId="8" borderId="33" xfId="0" applyNumberFormat="1" applyFont="1" applyFill="1" applyBorder="1" applyAlignment="1">
      <alignment horizontal="center" vertical="center" wrapText="1"/>
    </xf>
    <xf numFmtId="49" fontId="20" fillId="8" borderId="162" xfId="0" applyNumberFormat="1" applyFont="1" applyFill="1" applyBorder="1" applyAlignment="1">
      <alignment horizontal="center" vertical="center" wrapText="1"/>
    </xf>
    <xf numFmtId="0" fontId="20" fillId="8" borderId="136" xfId="0" applyFont="1" applyFill="1" applyBorder="1" applyAlignment="1">
      <alignment horizontal="center" vertical="center"/>
    </xf>
    <xf numFmtId="0" fontId="20" fillId="8" borderId="62" xfId="0" applyFont="1" applyFill="1" applyBorder="1" applyAlignment="1">
      <alignment horizontal="center" vertical="center"/>
    </xf>
    <xf numFmtId="0" fontId="20" fillId="8" borderId="163" xfId="0" applyFont="1" applyFill="1" applyBorder="1" applyAlignment="1">
      <alignment horizontal="center" vertical="center"/>
    </xf>
    <xf numFmtId="0" fontId="20" fillId="8" borderId="146" xfId="0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0" fontId="20" fillId="8" borderId="166" xfId="0" applyFont="1" applyFill="1" applyBorder="1" applyAlignment="1">
      <alignment horizontal="center" vertical="center"/>
    </xf>
    <xf numFmtId="169" fontId="20" fillId="8" borderId="141" xfId="0" applyNumberFormat="1" applyFont="1" applyFill="1" applyBorder="1" applyAlignment="1">
      <alignment horizontal="center" vertical="center" wrapText="1"/>
    </xf>
    <xf numFmtId="169" fontId="20" fillId="8" borderId="164" xfId="0" applyNumberFormat="1" applyFont="1" applyFill="1" applyBorder="1" applyAlignment="1">
      <alignment horizontal="center" vertical="center" wrapText="1"/>
    </xf>
    <xf numFmtId="169" fontId="20" fillId="8" borderId="136" xfId="0" applyNumberFormat="1" applyFont="1" applyFill="1" applyBorder="1" applyAlignment="1">
      <alignment horizontal="center" vertical="center" wrapText="1"/>
    </xf>
    <xf numFmtId="169" fontId="20" fillId="8" borderId="162" xfId="0" applyNumberFormat="1" applyFont="1" applyFill="1" applyBorder="1" applyAlignment="1">
      <alignment horizontal="center" vertical="center" wrapText="1"/>
    </xf>
    <xf numFmtId="169" fontId="20" fillId="8" borderId="165" xfId="0" applyNumberFormat="1" applyFont="1" applyFill="1" applyBorder="1" applyAlignment="1">
      <alignment horizontal="center" vertical="center" wrapText="1"/>
    </xf>
    <xf numFmtId="169" fontId="20" fillId="8" borderId="163" xfId="0" applyNumberFormat="1" applyFont="1" applyFill="1" applyBorder="1" applyAlignment="1">
      <alignment horizontal="center" vertical="center" wrapText="1"/>
    </xf>
    <xf numFmtId="3" fontId="20" fillId="8" borderId="191" xfId="0" applyNumberFormat="1" applyFont="1" applyFill="1" applyBorder="1" applyAlignment="1">
      <alignment horizontal="center" vertical="center" wrapText="1"/>
    </xf>
    <xf numFmtId="3" fontId="20" fillId="8" borderId="192" xfId="0" applyNumberFormat="1" applyFont="1" applyFill="1" applyBorder="1" applyAlignment="1">
      <alignment horizontal="center" vertical="center" wrapText="1"/>
    </xf>
    <xf numFmtId="3" fontId="20" fillId="8" borderId="33" xfId="0" applyNumberFormat="1" applyFont="1" applyFill="1" applyBorder="1" applyAlignment="1">
      <alignment horizontal="center" vertical="center" wrapText="1"/>
    </xf>
    <xf numFmtId="3" fontId="20" fillId="8" borderId="62" xfId="0" applyNumberFormat="1" applyFont="1" applyFill="1" applyBorder="1" applyAlignment="1">
      <alignment horizontal="center" vertical="center" wrapText="1"/>
    </xf>
    <xf numFmtId="3" fontId="20" fillId="8" borderId="193" xfId="0" applyNumberFormat="1" applyFont="1" applyFill="1" applyBorder="1" applyAlignment="1">
      <alignment horizontal="center" vertical="center" wrapText="1"/>
    </xf>
    <xf numFmtId="3" fontId="20" fillId="8" borderId="194" xfId="0" applyNumberFormat="1" applyFont="1" applyFill="1" applyBorder="1" applyAlignment="1">
      <alignment horizontal="center" vertical="center" wrapText="1"/>
    </xf>
    <xf numFmtId="0" fontId="26" fillId="0" borderId="165" xfId="0" applyFont="1" applyBorder="1" applyAlignment="1">
      <alignment horizontal="center"/>
    </xf>
    <xf numFmtId="0" fontId="20" fillId="8" borderId="222" xfId="0" applyFont="1" applyFill="1" applyBorder="1" applyAlignment="1">
      <alignment horizontal="center" vertical="center" wrapText="1"/>
    </xf>
    <xf numFmtId="0" fontId="20" fillId="8" borderId="224" xfId="0" applyFont="1" applyFill="1" applyBorder="1" applyAlignment="1">
      <alignment horizontal="center" vertical="center" wrapText="1"/>
    </xf>
    <xf numFmtId="0" fontId="20" fillId="8" borderId="223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95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0" fillId="8" borderId="180" xfId="0" applyFont="1" applyFill="1" applyBorder="1" applyAlignment="1">
      <alignment horizontal="center" vertical="center" wrapText="1"/>
    </xf>
    <xf numFmtId="0" fontId="20" fillId="8" borderId="182" xfId="0" applyFont="1" applyFill="1" applyBorder="1" applyAlignment="1">
      <alignment horizontal="center" vertical="center"/>
    </xf>
    <xf numFmtId="0" fontId="20" fillId="8" borderId="96" xfId="0" applyFont="1" applyFill="1" applyBorder="1" applyAlignment="1">
      <alignment horizontal="center" vertical="center"/>
    </xf>
    <xf numFmtId="0" fontId="20" fillId="8" borderId="183" xfId="0" applyFont="1" applyFill="1" applyBorder="1" applyAlignment="1">
      <alignment horizontal="center" vertical="center"/>
    </xf>
    <xf numFmtId="0" fontId="20" fillId="8" borderId="185" xfId="0" applyFont="1" applyFill="1" applyBorder="1" applyAlignment="1">
      <alignment horizontal="center"/>
    </xf>
    <xf numFmtId="0" fontId="20" fillId="8" borderId="184" xfId="0" applyFont="1" applyFill="1" applyBorder="1" applyAlignment="1">
      <alignment horizontal="center"/>
    </xf>
    <xf numFmtId="0" fontId="20" fillId="8" borderId="182" xfId="0" applyFont="1" applyFill="1" applyBorder="1" applyAlignment="1">
      <alignment horizontal="center" vertical="center" wrapText="1"/>
    </xf>
    <xf numFmtId="0" fontId="20" fillId="8" borderId="94" xfId="0" applyFont="1" applyFill="1" applyBorder="1" applyAlignment="1">
      <alignment horizontal="center" vertical="center" wrapText="1"/>
    </xf>
    <xf numFmtId="0" fontId="20" fillId="7" borderId="185" xfId="0" applyFont="1" applyFill="1" applyBorder="1" applyAlignment="1">
      <alignment horizontal="center" vertical="center"/>
    </xf>
    <xf numFmtId="0" fontId="20" fillId="7" borderId="215" xfId="0" applyFont="1" applyFill="1" applyBorder="1" applyAlignment="1">
      <alignment horizontal="center" vertical="center"/>
    </xf>
    <xf numFmtId="0" fontId="20" fillId="7" borderId="216" xfId="0" applyFont="1" applyFill="1" applyBorder="1" applyAlignment="1">
      <alignment horizontal="center" vertical="center"/>
    </xf>
    <xf numFmtId="0" fontId="20" fillId="7" borderId="217" xfId="0" applyFont="1" applyFill="1" applyBorder="1" applyAlignment="1">
      <alignment horizontal="center" vertical="center" wrapText="1"/>
    </xf>
    <xf numFmtId="0" fontId="20" fillId="7" borderId="218" xfId="0" applyFont="1" applyFill="1" applyBorder="1" applyAlignment="1">
      <alignment horizontal="center" vertical="center" wrapText="1"/>
    </xf>
    <xf numFmtId="0" fontId="20" fillId="7" borderId="219" xfId="0" applyFont="1" applyFill="1" applyBorder="1" applyAlignment="1">
      <alignment horizontal="center" vertical="center" wrapText="1"/>
    </xf>
    <xf numFmtId="0" fontId="20" fillId="7" borderId="220" xfId="0" applyFont="1" applyFill="1" applyBorder="1" applyAlignment="1">
      <alignment horizontal="center" vertical="center" wrapText="1"/>
    </xf>
    <xf numFmtId="0" fontId="20" fillId="7" borderId="183" xfId="0" applyFont="1" applyFill="1" applyBorder="1" applyAlignment="1">
      <alignment horizontal="center" vertical="center"/>
    </xf>
    <xf numFmtId="0" fontId="20" fillId="7" borderId="167" xfId="0" applyFont="1" applyFill="1" applyBorder="1" applyAlignment="1">
      <alignment horizontal="center" vertical="center"/>
    </xf>
    <xf numFmtId="0" fontId="21" fillId="7" borderId="198" xfId="0" applyFont="1" applyFill="1" applyBorder="1" applyAlignment="1">
      <alignment horizontal="center" vertical="center" wrapText="1"/>
    </xf>
    <xf numFmtId="0" fontId="21" fillId="7" borderId="96" xfId="0" applyFont="1" applyFill="1" applyBorder="1" applyAlignment="1">
      <alignment horizontal="center" vertical="center" wrapText="1"/>
    </xf>
    <xf numFmtId="0" fontId="21" fillId="7" borderId="199" xfId="0" applyFont="1" applyFill="1" applyBorder="1" applyAlignment="1">
      <alignment horizontal="center" vertical="center" wrapText="1"/>
    </xf>
    <xf numFmtId="0" fontId="21" fillId="7" borderId="85" xfId="0" applyFont="1" applyFill="1" applyBorder="1" applyAlignment="1">
      <alignment horizontal="center" vertical="center" wrapText="1"/>
    </xf>
    <xf numFmtId="0" fontId="21" fillId="7" borderId="155" xfId="0" applyFont="1" applyFill="1" applyBorder="1" applyAlignment="1">
      <alignment horizontal="center" vertical="center" wrapText="1"/>
    </xf>
    <xf numFmtId="0" fontId="21" fillId="7" borderId="130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69" fillId="0" borderId="0" xfId="0" applyFont="1" applyAlignment="1">
      <alignment horizontal="center"/>
    </xf>
    <xf numFmtId="169" fontId="8" fillId="0" borderId="0" xfId="0" applyNumberFormat="1" applyFont="1" applyAlignment="1">
      <alignment horizontal="left"/>
    </xf>
    <xf numFmtId="0" fontId="21" fillId="7" borderId="119" xfId="0" applyFont="1" applyFill="1" applyBorder="1" applyAlignment="1">
      <alignment horizontal="center" vertical="center" wrapText="1"/>
    </xf>
    <xf numFmtId="0" fontId="21" fillId="7" borderId="102" xfId="0" applyFont="1" applyFill="1" applyBorder="1" applyAlignment="1">
      <alignment horizontal="center" vertical="center" wrapText="1"/>
    </xf>
    <xf numFmtId="0" fontId="21" fillId="7" borderId="119" xfId="0" applyFont="1" applyFill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21" fillId="7" borderId="101" xfId="0" applyFont="1" applyFill="1" applyBorder="1" applyAlignment="1">
      <alignment horizontal="center" vertical="center" wrapText="1"/>
    </xf>
    <xf numFmtId="0" fontId="21" fillId="7" borderId="99" xfId="0" applyFont="1" applyFill="1" applyBorder="1" applyAlignment="1">
      <alignment horizontal="center" vertical="center" wrapText="1"/>
    </xf>
    <xf numFmtId="0" fontId="21" fillId="7" borderId="195" xfId="0" applyFont="1" applyFill="1" applyBorder="1" applyAlignment="1">
      <alignment horizontal="center"/>
    </xf>
    <xf numFmtId="0" fontId="21" fillId="7" borderId="196" xfId="0" applyFont="1" applyFill="1" applyBorder="1" applyAlignment="1">
      <alignment horizontal="center"/>
    </xf>
    <xf numFmtId="0" fontId="21" fillId="7" borderId="197" xfId="0" applyFont="1" applyFill="1" applyBorder="1" applyAlignment="1">
      <alignment horizontal="center"/>
    </xf>
    <xf numFmtId="0" fontId="21" fillId="7" borderId="211" xfId="0" applyFont="1" applyFill="1" applyBorder="1" applyAlignment="1">
      <alignment horizontal="center" vertical="center" wrapText="1"/>
    </xf>
    <xf numFmtId="3" fontId="19" fillId="0" borderId="86" xfId="0" applyNumberFormat="1" applyFont="1" applyBorder="1" applyAlignment="1">
      <alignment horizontal="right"/>
    </xf>
    <xf numFmtId="3" fontId="19" fillId="0" borderId="86" xfId="0" applyNumberFormat="1" applyFont="1" applyBorder="1"/>
    <xf numFmtId="3" fontId="61" fillId="0" borderId="86" xfId="0" applyNumberFormat="1" applyFont="1" applyBorder="1" applyAlignment="1">
      <alignment horizontal="right" vertical="center"/>
    </xf>
    <xf numFmtId="0" fontId="45" fillId="0" borderId="86" xfId="0" applyFont="1" applyBorder="1"/>
    <xf numFmtId="3" fontId="45" fillId="0" borderId="228" xfId="0" applyNumberFormat="1" applyFont="1" applyBorder="1"/>
  </cellXfs>
  <cellStyles count="4">
    <cellStyle name="Euro" xfId="1" xr:uid="{00000000-0005-0000-0000-000000000000}"/>
    <cellStyle name="Moneda" xfId="2" builtinId="4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62948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106680</xdr:rowOff>
    </xdr:from>
    <xdr:to>
      <xdr:col>5</xdr:col>
      <xdr:colOff>30480</xdr:colOff>
      <xdr:row>2</xdr:row>
      <xdr:rowOff>236220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74320"/>
          <a:ext cx="5737860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A" sz="11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RESUMEN DEL PRESUPUESTO AL MES DE ENERO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38100</xdr:rowOff>
    </xdr:from>
    <xdr:to>
      <xdr:col>2</xdr:col>
      <xdr:colOff>142875</xdr:colOff>
      <xdr:row>57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8B36D1B-E17C-DD4F-E6C1-AC8C7FE27B7E}"/>
            </a:ext>
          </a:extLst>
        </xdr:cNvPr>
        <xdr:cNvSpPr txBox="1"/>
      </xdr:nvSpPr>
      <xdr:spPr>
        <a:xfrm>
          <a:off x="0" y="11229975"/>
          <a:ext cx="27432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solidFill>
                <a:srgbClr val="002060"/>
              </a:solidFill>
            </a:rPr>
            <a:t>Fuente: Dirección Nacional de Presupuesto</a:t>
          </a:r>
          <a:r>
            <a:rPr lang="es-PA" sz="1000"/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57150</xdr:rowOff>
    </xdr:from>
    <xdr:to>
      <xdr:col>2</xdr:col>
      <xdr:colOff>314325</xdr:colOff>
      <xdr:row>50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FDEA1DD-D098-7884-22EF-8CB81A64B83A}"/>
            </a:ext>
          </a:extLst>
        </xdr:cNvPr>
        <xdr:cNvSpPr txBox="1"/>
      </xdr:nvSpPr>
      <xdr:spPr>
        <a:xfrm>
          <a:off x="9525" y="10248900"/>
          <a:ext cx="3771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solidFill>
                <a:srgbClr val="002060"/>
              </a:solidFill>
            </a:rPr>
            <a:t>Fuente:</a:t>
          </a:r>
          <a:r>
            <a:rPr lang="es-PA" sz="1000" b="1" baseline="0">
              <a:solidFill>
                <a:srgbClr val="002060"/>
              </a:solidFill>
            </a:rPr>
            <a:t> Dirección Nacional de Presupuesto.</a:t>
          </a:r>
          <a:endParaRPr lang="es-PA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F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F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F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F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F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F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31</xdr:row>
      <xdr:rowOff>38100</xdr:rowOff>
    </xdr:from>
    <xdr:to>
      <xdr:col>2</xdr:col>
      <xdr:colOff>304800</xdr:colOff>
      <xdr:row>33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B35501-C7BE-D206-A6D8-C2D2A4D46E5C}"/>
            </a:ext>
          </a:extLst>
        </xdr:cNvPr>
        <xdr:cNvSpPr txBox="1"/>
      </xdr:nvSpPr>
      <xdr:spPr>
        <a:xfrm>
          <a:off x="47625" y="7724775"/>
          <a:ext cx="377190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solidFill>
                <a:srgbClr val="002060"/>
              </a:solidFill>
            </a:rPr>
            <a:t>Fuente: Dirección Nacional de Prespuesto.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36</xdr:row>
      <xdr:rowOff>0</xdr:rowOff>
    </xdr:from>
    <xdr:to>
      <xdr:col>0</xdr:col>
      <xdr:colOff>238125</xdr:colOff>
      <xdr:row>37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10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32</xdr:row>
      <xdr:rowOff>47625</xdr:rowOff>
    </xdr:from>
    <xdr:to>
      <xdr:col>2</xdr:col>
      <xdr:colOff>85725</xdr:colOff>
      <xdr:row>34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4DFBBA1-328E-1C03-8658-1675F7C680D8}"/>
            </a:ext>
          </a:extLst>
        </xdr:cNvPr>
        <xdr:cNvSpPr txBox="1"/>
      </xdr:nvSpPr>
      <xdr:spPr>
        <a:xfrm>
          <a:off x="9525" y="7867650"/>
          <a:ext cx="367665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solidFill>
                <a:srgbClr val="002060"/>
              </a:solidFill>
            </a:rPr>
            <a:t>Fuente:</a:t>
          </a:r>
          <a:r>
            <a:rPr lang="es-PA" sz="1000" b="1" baseline="0">
              <a:solidFill>
                <a:srgbClr val="002060"/>
              </a:solidFill>
            </a:rPr>
            <a:t> Dirección Nacional de Presupuesto.</a:t>
          </a:r>
          <a:endParaRPr lang="es-PA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54</xdr:row>
      <xdr:rowOff>38100</xdr:rowOff>
    </xdr:from>
    <xdr:to>
      <xdr:col>2</xdr:col>
      <xdr:colOff>628650</xdr:colOff>
      <xdr:row>56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4BBFB7-C31D-459A-8ADF-CAAB5006FB5D}"/>
            </a:ext>
          </a:extLst>
        </xdr:cNvPr>
        <xdr:cNvSpPr txBox="1"/>
      </xdr:nvSpPr>
      <xdr:spPr>
        <a:xfrm>
          <a:off x="38100" y="9686925"/>
          <a:ext cx="3476625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/>
            <a:t>Fuente: Dirección Nacional de Presupuesto.</a:t>
          </a:r>
        </a:p>
      </xdr:txBody>
    </xdr:sp>
    <xdr:clientData/>
  </xdr:twoCellAnchor>
  <xdr:twoCellAnchor>
    <xdr:from>
      <xdr:col>0</xdr:col>
      <xdr:colOff>66675</xdr:colOff>
      <xdr:row>0</xdr:row>
      <xdr:rowOff>114300</xdr:rowOff>
    </xdr:from>
    <xdr:to>
      <xdr:col>8</xdr:col>
      <xdr:colOff>942975</xdr:colOff>
      <xdr:row>7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35CB8D9-96B5-A083-2326-59D46ECF9987}"/>
            </a:ext>
          </a:extLst>
        </xdr:cNvPr>
        <xdr:cNvSpPr txBox="1"/>
      </xdr:nvSpPr>
      <xdr:spPr>
        <a:xfrm>
          <a:off x="66675" y="114300"/>
          <a:ext cx="6477000" cy="1028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UNIVERSIDAD</a:t>
          </a:r>
          <a:r>
            <a:rPr lang="es-PA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TECNOLÓGICA DE PANAMÁ</a:t>
          </a:r>
        </a:p>
        <a:p>
          <a:pPr algn="ctr"/>
          <a:r>
            <a:rPr lang="es-PA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NACIONAL DE PANAMÁ</a:t>
          </a:r>
        </a:p>
        <a:p>
          <a:pPr algn="ctr"/>
          <a:r>
            <a:rPr lang="es-PA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FLUJO PRESUPUESTARIO DE INGRESOS Y GASTOS</a:t>
          </a:r>
        </a:p>
        <a:p>
          <a:pPr algn="ctr"/>
          <a:r>
            <a:rPr lang="es-PA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AL 30 DE ENERO 2025</a:t>
          </a:r>
        </a:p>
        <a:p>
          <a:pPr algn="ctr"/>
          <a:r>
            <a:rPr lang="es-PA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EN MILES DE BALBOAS</a:t>
          </a:r>
          <a:r>
            <a:rPr lang="es-PA" sz="12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62</xdr:row>
      <xdr:rowOff>57150</xdr:rowOff>
    </xdr:from>
    <xdr:to>
      <xdr:col>1</xdr:col>
      <xdr:colOff>466725</xdr:colOff>
      <xdr:row>64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163E544-24F9-758B-61E5-7E394099E5E4}"/>
            </a:ext>
          </a:extLst>
        </xdr:cNvPr>
        <xdr:cNvSpPr txBox="1"/>
      </xdr:nvSpPr>
      <xdr:spPr>
        <a:xfrm>
          <a:off x="19050" y="9982200"/>
          <a:ext cx="28003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solidFill>
                <a:srgbClr val="002060"/>
              </a:solidFill>
            </a:rPr>
            <a:t>Fuente: Dirección Nacional de Presupuesto.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38101</xdr:rowOff>
    </xdr:from>
    <xdr:to>
      <xdr:col>3</xdr:col>
      <xdr:colOff>485775</xdr:colOff>
      <xdr:row>68</xdr:row>
      <xdr:rowOff>57151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D363214-7913-5322-6AFE-ED6FC5B5FD83}"/>
            </a:ext>
          </a:extLst>
        </xdr:cNvPr>
        <xdr:cNvSpPr txBox="1"/>
      </xdr:nvSpPr>
      <xdr:spPr>
        <a:xfrm>
          <a:off x="9525" y="10563226"/>
          <a:ext cx="38290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solidFill>
                <a:srgbClr val="002060"/>
              </a:solidFill>
            </a:rPr>
            <a:t>Fuente: Dirección Nacional de Presupuesto.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50500</xdr:colOff>
      <xdr:row>30</xdr:row>
      <xdr:rowOff>77458</xdr:rowOff>
    </xdr:from>
    <xdr:to>
      <xdr:col>4</xdr:col>
      <xdr:colOff>350448</xdr:colOff>
      <xdr:row>31</xdr:row>
      <xdr:rowOff>143774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1D20BE-BAE3-7241-6043-CA498826468D}"/>
            </a:ext>
          </a:extLst>
        </xdr:cNvPr>
        <xdr:cNvSpPr txBox="1"/>
      </xdr:nvSpPr>
      <xdr:spPr>
        <a:xfrm>
          <a:off x="50500" y="8757788"/>
          <a:ext cx="4181835" cy="3808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solidFill>
                <a:srgbClr val="002060"/>
              </a:solidFill>
            </a:rPr>
            <a:t>Fuente:  Dirección Nacional de Presupuesto.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40</xdr:row>
      <xdr:rowOff>47625</xdr:rowOff>
    </xdr:from>
    <xdr:to>
      <xdr:col>0</xdr:col>
      <xdr:colOff>4314825</xdr:colOff>
      <xdr:row>42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BA3F9C7-8826-D968-D8B5-E183630A30FD}"/>
            </a:ext>
          </a:extLst>
        </xdr:cNvPr>
        <xdr:cNvSpPr txBox="1"/>
      </xdr:nvSpPr>
      <xdr:spPr>
        <a:xfrm>
          <a:off x="38100" y="11296650"/>
          <a:ext cx="427672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solidFill>
                <a:srgbClr val="002060"/>
              </a:solidFill>
            </a:rPr>
            <a:t>Fuente: Dirección Nacional de Presupuesto.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-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Pto"/>
      <sheetName val="FINANC. PTO"/>
      <sheetName val="C-1"/>
      <sheetName val="C-2"/>
      <sheetName val="C-3"/>
      <sheetName val="C-4"/>
      <sheetName val="Transf"/>
      <sheetName val="C-5"/>
      <sheetName val="C-8"/>
      <sheetName val="C-6"/>
      <sheetName val="C-7"/>
      <sheetName val="C-9"/>
      <sheetName val="C-10"/>
      <sheetName val="Ing.corr-k"/>
      <sheetName val="CA1"/>
      <sheetName val="CA2"/>
      <sheetName val="C-A3"/>
      <sheetName val="C-A4"/>
      <sheetName val="C-A5"/>
      <sheetName val="C-A6"/>
      <sheetName val="C-A6C"/>
      <sheetName val="C-A7"/>
      <sheetName val="C-A8A"/>
      <sheetName val="INVxOBJETO"/>
      <sheetName val="TRASLADO"/>
      <sheetName val="PTO LEY 2020-2021"/>
      <sheetName val="POR GRUPO"/>
      <sheetName val="Hoja4"/>
      <sheetName val="Hoja5"/>
      <sheetName val="Hoja1"/>
      <sheetName val="Hoja2"/>
      <sheetName val="C-A8"/>
      <sheetName val="Hoj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B11" t="str">
            <v xml:space="preserve"> I  Ingresos Corrientes</v>
          </cell>
          <cell r="C11">
            <v>141094806</v>
          </cell>
          <cell r="D11">
            <v>141094806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0.59999389629810485"/>
  </sheetPr>
  <dimension ref="A1:H33"/>
  <sheetViews>
    <sheetView showGridLines="0" showZeros="0" tabSelected="1" workbookViewId="0">
      <selection activeCell="N21" sqref="N21"/>
    </sheetView>
  </sheetViews>
  <sheetFormatPr baseColWidth="10" defaultColWidth="11.42578125" defaultRowHeight="12.75"/>
  <cols>
    <col min="1" max="1" width="35.7109375" style="24" customWidth="1"/>
    <col min="2" max="2" width="15.28515625" customWidth="1"/>
    <col min="3" max="3" width="15.42578125" hidden="1" customWidth="1"/>
    <col min="4" max="4" width="15.42578125" customWidth="1"/>
    <col min="5" max="5" width="16.7109375" customWidth="1"/>
  </cols>
  <sheetData>
    <row r="1" spans="1:7">
      <c r="B1" s="24"/>
      <c r="C1" s="24"/>
      <c r="D1" s="24"/>
      <c r="E1" s="24"/>
    </row>
    <row r="2" spans="1:7">
      <c r="B2" s="24"/>
      <c r="C2" s="24"/>
      <c r="D2" s="24"/>
      <c r="E2" s="24"/>
    </row>
    <row r="3" spans="1:7" ht="31.9" customHeight="1">
      <c r="B3" s="24"/>
      <c r="C3" s="24"/>
      <c r="D3" s="24"/>
      <c r="E3" s="24"/>
    </row>
    <row r="4" spans="1:7" ht="6.95" customHeight="1">
      <c r="A4" s="598" t="s">
        <v>0</v>
      </c>
      <c r="B4" s="552"/>
      <c r="C4" s="552"/>
      <c r="D4" s="552"/>
      <c r="E4" s="552"/>
    </row>
    <row r="5" spans="1:7">
      <c r="A5" s="599"/>
      <c r="B5" s="601" t="s">
        <v>386</v>
      </c>
      <c r="C5" s="602"/>
      <c r="D5" s="602"/>
      <c r="E5" s="602"/>
    </row>
    <row r="6" spans="1:7" ht="20.25" customHeight="1">
      <c r="A6" s="599"/>
      <c r="B6" s="553" t="s">
        <v>85</v>
      </c>
      <c r="C6" s="553" t="s">
        <v>11</v>
      </c>
      <c r="D6" s="554" t="s">
        <v>504</v>
      </c>
      <c r="E6" s="553" t="s">
        <v>12</v>
      </c>
    </row>
    <row r="7" spans="1:7" ht="6.6" customHeight="1">
      <c r="A7" s="600"/>
      <c r="B7" s="555"/>
      <c r="C7" s="555"/>
      <c r="D7" s="556"/>
      <c r="E7" s="555"/>
    </row>
    <row r="8" spans="1:7" ht="13.15" customHeight="1">
      <c r="A8" s="548"/>
      <c r="B8" s="180"/>
      <c r="C8" s="180"/>
      <c r="D8" s="543"/>
      <c r="E8" s="24"/>
    </row>
    <row r="9" spans="1:7" ht="24.6" customHeight="1">
      <c r="A9" s="550" t="s">
        <v>24</v>
      </c>
      <c r="B9" s="184">
        <f>SUM(B11:B13)</f>
        <v>198000000</v>
      </c>
      <c r="C9" s="184">
        <f>SUM(C11:C13)</f>
        <v>0</v>
      </c>
      <c r="D9" s="547">
        <f>SUM(D11:D13)</f>
        <v>120471044</v>
      </c>
      <c r="E9" s="184">
        <f>SUM(E11:E13)</f>
        <v>1540702.04</v>
      </c>
    </row>
    <row r="10" spans="1:7" ht="15">
      <c r="A10" s="549"/>
      <c r="B10" s="181"/>
      <c r="C10" s="181"/>
      <c r="D10" s="544"/>
      <c r="E10" s="181"/>
    </row>
    <row r="11" spans="1:7">
      <c r="A11" s="577" t="s">
        <v>320</v>
      </c>
      <c r="B11" s="182">
        <f>+'Balance Ingresos'!D11</f>
        <v>141094806</v>
      </c>
      <c r="C11" s="182"/>
      <c r="D11" s="545">
        <v>114260510</v>
      </c>
      <c r="E11" s="182">
        <f>+'Balance Ingresos'!G11</f>
        <v>1120702.04</v>
      </c>
    </row>
    <row r="12" spans="1:7">
      <c r="A12" s="577"/>
      <c r="B12" s="182"/>
      <c r="C12" s="182"/>
      <c r="D12" s="545"/>
      <c r="E12" s="182"/>
      <c r="F12" s="55"/>
    </row>
    <row r="13" spans="1:7">
      <c r="A13" s="577" t="s">
        <v>321</v>
      </c>
      <c r="B13" s="182">
        <f>+'Balance Ingresos'!D34</f>
        <v>56905194</v>
      </c>
      <c r="C13" s="182"/>
      <c r="D13" s="545">
        <v>6210534</v>
      </c>
      <c r="E13" s="182">
        <f>+'Balance Ingresos'!G34</f>
        <v>420000</v>
      </c>
      <c r="G13" s="1"/>
    </row>
    <row r="14" spans="1:7" ht="15">
      <c r="A14" s="549"/>
      <c r="B14" s="183"/>
      <c r="C14" s="183"/>
      <c r="D14" s="546"/>
      <c r="E14" s="183"/>
    </row>
    <row r="15" spans="1:7" ht="15">
      <c r="A15" s="549"/>
      <c r="B15" s="183"/>
      <c r="C15" s="183"/>
      <c r="D15" s="546"/>
      <c r="E15" s="183"/>
    </row>
    <row r="16" spans="1:7" ht="22.15" customHeight="1">
      <c r="A16" s="550" t="s">
        <v>322</v>
      </c>
      <c r="B16" s="583">
        <f>+B18+B25</f>
        <v>198000000</v>
      </c>
      <c r="C16" s="583">
        <f>+C18+C25</f>
        <v>0</v>
      </c>
      <c r="D16" s="584">
        <f>+D18+D25</f>
        <v>198000000</v>
      </c>
      <c r="E16" s="583">
        <f>+E18+E25</f>
        <v>9590250.6699999999</v>
      </c>
    </row>
    <row r="17" spans="1:8" ht="16.899999999999999" customHeight="1">
      <c r="A17" s="549"/>
      <c r="B17" s="183"/>
      <c r="C17" s="183"/>
      <c r="D17" s="546"/>
      <c r="E17" s="183"/>
    </row>
    <row r="18" spans="1:8" ht="24.6" customHeight="1">
      <c r="A18" s="550" t="s">
        <v>31</v>
      </c>
      <c r="B18" s="184">
        <f>+B19+B21+B23</f>
        <v>141094806</v>
      </c>
      <c r="C18" s="184">
        <f>SUM(C19:C23)</f>
        <v>0</v>
      </c>
      <c r="D18" s="547">
        <f>SUM(D19:D23)</f>
        <v>141094806</v>
      </c>
      <c r="E18" s="184">
        <f>E19+E21+E23</f>
        <v>7119885.5299999993</v>
      </c>
      <c r="H18" t="s">
        <v>6</v>
      </c>
    </row>
    <row r="19" spans="1:8" ht="22.5" customHeight="1">
      <c r="A19" s="548" t="s">
        <v>378</v>
      </c>
      <c r="B19" s="182">
        <f>+'Estruc Prog.'!C11</f>
        <v>52074126</v>
      </c>
      <c r="C19" s="182"/>
      <c r="D19" s="545">
        <f>+'Estruc Prog.'!D11</f>
        <v>52074126</v>
      </c>
      <c r="E19" s="182">
        <f>+'Estruc Prog.'!G11</f>
        <v>2001273.43</v>
      </c>
      <c r="H19" t="s">
        <v>6</v>
      </c>
    </row>
    <row r="20" spans="1:8">
      <c r="A20" s="548"/>
      <c r="B20" s="182">
        <f>+Proyectos!D1</f>
        <v>0</v>
      </c>
      <c r="C20" s="182"/>
      <c r="D20" s="545"/>
      <c r="E20" s="182">
        <f>+Proyectos!F1</f>
        <v>0</v>
      </c>
      <c r="H20" t="s">
        <v>6</v>
      </c>
    </row>
    <row r="21" spans="1:8">
      <c r="A21" s="548" t="s">
        <v>379</v>
      </c>
      <c r="B21" s="182">
        <f>+'Estruc Prog.'!C21</f>
        <v>73122532</v>
      </c>
      <c r="C21" s="182"/>
      <c r="D21" s="545">
        <f>+'Estruc Prog.'!D21</f>
        <v>73122532</v>
      </c>
      <c r="E21" s="182">
        <f>+'Estruc Prog.'!G21</f>
        <v>4402839.0299999993</v>
      </c>
      <c r="H21" t="s">
        <v>6</v>
      </c>
    </row>
    <row r="22" spans="1:8">
      <c r="A22" s="548" t="s">
        <v>6</v>
      </c>
      <c r="B22" s="182">
        <f>+Proyectos!D3</f>
        <v>0</v>
      </c>
      <c r="C22" s="182"/>
      <c r="D22" s="545"/>
      <c r="E22" s="182">
        <f>+Proyectos!F3</f>
        <v>0</v>
      </c>
      <c r="H22" t="s">
        <v>6</v>
      </c>
    </row>
    <row r="23" spans="1:8">
      <c r="A23" s="548" t="s">
        <v>384</v>
      </c>
      <c r="B23" s="182">
        <f>+'Estruc Prog.'!C29</f>
        <v>15898148</v>
      </c>
      <c r="C23" s="182"/>
      <c r="D23" s="545">
        <f>+'Estruc Prog.'!D29</f>
        <v>15898148</v>
      </c>
      <c r="E23" s="182">
        <f>+'Estruc Prog.'!G29</f>
        <v>715773.07</v>
      </c>
    </row>
    <row r="24" spans="1:8" ht="27.6" customHeight="1">
      <c r="A24" s="549"/>
      <c r="B24" s="183"/>
      <c r="C24" s="183"/>
      <c r="D24" s="546"/>
      <c r="E24" s="183"/>
    </row>
    <row r="25" spans="1:8" ht="21" customHeight="1">
      <c r="A25" s="550" t="s">
        <v>32</v>
      </c>
      <c r="B25" s="184">
        <f>+B26+B28+B30</f>
        <v>56905194</v>
      </c>
      <c r="C25" s="184">
        <f>SUM(C26:C30)</f>
        <v>0</v>
      </c>
      <c r="D25" s="752">
        <f>SUM(D26:D30)</f>
        <v>56905194</v>
      </c>
      <c r="E25" s="752">
        <f>+E26+E28+E30</f>
        <v>2470365.14</v>
      </c>
    </row>
    <row r="26" spans="1:8" ht="23.25" customHeight="1">
      <c r="A26" s="548" t="s">
        <v>323</v>
      </c>
      <c r="B26" s="182">
        <v>27799680</v>
      </c>
      <c r="C26" s="182"/>
      <c r="D26" s="750">
        <v>27799680</v>
      </c>
      <c r="E26" s="750">
        <f>+Proyectos!F8</f>
        <v>1953534.77</v>
      </c>
    </row>
    <row r="27" spans="1:8">
      <c r="A27" s="548"/>
      <c r="B27" s="182"/>
      <c r="C27" s="182"/>
      <c r="D27" s="750"/>
      <c r="E27" s="750" t="s">
        <v>6</v>
      </c>
    </row>
    <row r="28" spans="1:8">
      <c r="A28" s="548" t="s">
        <v>324</v>
      </c>
      <c r="B28" s="182">
        <v>15761574</v>
      </c>
      <c r="C28" s="182"/>
      <c r="D28" s="750">
        <v>15761574</v>
      </c>
      <c r="E28" s="750">
        <f>+Proyectos!F16</f>
        <v>18852.37</v>
      </c>
    </row>
    <row r="29" spans="1:8">
      <c r="A29" s="548"/>
      <c r="B29" s="40"/>
      <c r="C29" s="40"/>
      <c r="D29" s="751"/>
      <c r="E29" s="751" t="s">
        <v>6</v>
      </c>
    </row>
    <row r="30" spans="1:8">
      <c r="A30" s="548" t="s">
        <v>375</v>
      </c>
      <c r="B30" s="182">
        <v>13343940</v>
      </c>
      <c r="C30" s="182"/>
      <c r="D30" s="750">
        <v>13343940</v>
      </c>
      <c r="E30" s="750">
        <f>+Proyectos!F31</f>
        <v>497978</v>
      </c>
    </row>
    <row r="31" spans="1:8" ht="15">
      <c r="A31" s="549"/>
      <c r="B31" s="81"/>
      <c r="C31" s="81"/>
      <c r="D31" s="753"/>
      <c r="E31" s="754"/>
    </row>
    <row r="32" spans="1:8" ht="6" customHeight="1">
      <c r="A32" s="551"/>
      <c r="B32" s="551"/>
      <c r="C32" s="551"/>
      <c r="D32" s="551"/>
      <c r="E32" s="551"/>
    </row>
    <row r="33" spans="1:2">
      <c r="A33" s="603" t="s">
        <v>554</v>
      </c>
      <c r="B33" s="603"/>
    </row>
  </sheetData>
  <mergeCells count="3">
    <mergeCell ref="A4:A7"/>
    <mergeCell ref="B5:E5"/>
    <mergeCell ref="A33:B33"/>
  </mergeCells>
  <phoneticPr fontId="3" type="noConversion"/>
  <pageMargins left="0.94488188976377963" right="0.74803149606299213" top="0.98425196850393704" bottom="0.98425196850393704" header="0" footer="0"/>
  <pageSetup scale="80" orientation="portrait" horizontalDpi="4294967294" vertic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 tint="0.39997558519241921"/>
  </sheetPr>
  <dimension ref="A1:L41"/>
  <sheetViews>
    <sheetView showGridLines="0" showZeros="0" topLeftCell="A22" workbookViewId="0">
      <selection activeCell="I45" sqref="I45"/>
    </sheetView>
  </sheetViews>
  <sheetFormatPr baseColWidth="10" defaultRowHeight="12.75"/>
  <cols>
    <col min="1" max="1" width="69.85546875" customWidth="1"/>
    <col min="2" max="2" width="17.28515625" customWidth="1"/>
    <col min="3" max="3" width="16.42578125" customWidth="1"/>
    <col min="4" max="4" width="11.28515625" customWidth="1"/>
    <col min="5" max="5" width="11.5703125" hidden="1" customWidth="1"/>
    <col min="6" max="6" width="14.140625" customWidth="1"/>
    <col min="7" max="7" width="13.42578125" customWidth="1"/>
    <col min="8" max="8" width="13" customWidth="1"/>
    <col min="9" max="9" width="12.7109375" customWidth="1"/>
    <col min="10" max="10" width="10.42578125" hidden="1" customWidth="1"/>
    <col min="11" max="11" width="15.140625" customWidth="1"/>
    <col min="12" max="12" width="13.28515625" customWidth="1"/>
  </cols>
  <sheetData>
    <row r="1" spans="1:11" ht="20.100000000000001" customHeight="1">
      <c r="A1" s="606" t="s">
        <v>406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1" ht="20.100000000000001" customHeight="1">
      <c r="A2" s="606" t="s">
        <v>405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1" ht="20.100000000000001" customHeight="1">
      <c r="A3" s="607" t="s">
        <v>465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</row>
    <row r="4" spans="1:11" ht="20.100000000000001" customHeight="1">
      <c r="A4" s="607" t="s">
        <v>516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</row>
    <row r="5" spans="1:11" ht="10.5" customHeight="1">
      <c r="A5" s="449"/>
      <c r="B5" s="449"/>
      <c r="C5" s="449"/>
      <c r="D5" s="449"/>
      <c r="E5" s="449"/>
      <c r="F5" s="450"/>
      <c r="G5" s="450"/>
      <c r="H5" s="450"/>
      <c r="I5" s="450"/>
      <c r="J5" s="450"/>
      <c r="K5" s="24"/>
    </row>
    <row r="6" spans="1:11" ht="15.75" customHeight="1">
      <c r="A6" s="729" t="s">
        <v>328</v>
      </c>
      <c r="B6" s="722" t="s">
        <v>33</v>
      </c>
      <c r="C6" s="723"/>
      <c r="D6" s="724"/>
      <c r="E6" s="592" t="s">
        <v>6</v>
      </c>
      <c r="F6" s="725" t="s">
        <v>549</v>
      </c>
      <c r="G6" s="725" t="s">
        <v>540</v>
      </c>
      <c r="H6" s="725" t="s">
        <v>70</v>
      </c>
      <c r="I6" s="725" t="s">
        <v>308</v>
      </c>
      <c r="J6" s="593" t="s">
        <v>399</v>
      </c>
      <c r="K6" s="727" t="s">
        <v>396</v>
      </c>
    </row>
    <row r="7" spans="1:11" ht="30.75" customHeight="1">
      <c r="A7" s="730"/>
      <c r="B7" s="594" t="s">
        <v>85</v>
      </c>
      <c r="C7" s="595" t="s">
        <v>11</v>
      </c>
      <c r="D7" s="595" t="s">
        <v>2</v>
      </c>
      <c r="E7" s="595" t="s">
        <v>38</v>
      </c>
      <c r="F7" s="726"/>
      <c r="G7" s="726"/>
      <c r="H7" s="726"/>
      <c r="I7" s="726"/>
      <c r="J7" s="596"/>
      <c r="K7" s="728"/>
    </row>
    <row r="8" spans="1:11" ht="20.100000000000001" customHeight="1">
      <c r="A8" s="451" t="s">
        <v>325</v>
      </c>
      <c r="B8" s="514">
        <f>SUM(B9:B15)</f>
        <v>27799680</v>
      </c>
      <c r="C8" s="515">
        <f>SUM(B8:B8)</f>
        <v>27799680</v>
      </c>
      <c r="D8" s="515">
        <f>SUM(D9:D15)</f>
        <v>6342271</v>
      </c>
      <c r="E8" s="515">
        <f>SUM(E9:E15)</f>
        <v>1953534.77</v>
      </c>
      <c r="F8" s="515">
        <f>SUM(F9:F15)</f>
        <v>1953534.77</v>
      </c>
      <c r="G8" s="515">
        <f>SUM(G9:G15)</f>
        <v>0</v>
      </c>
      <c r="H8" s="515">
        <f>SUM(H9:H15)</f>
        <v>0</v>
      </c>
      <c r="I8" s="515">
        <f>+I9+I15+I10</f>
        <v>3642424.2299999995</v>
      </c>
      <c r="J8" s="516" t="e">
        <f>+J9+J15+#REF!+J10</f>
        <v>#REF!</v>
      </c>
      <c r="K8" s="517">
        <f>+F8*100/D8</f>
        <v>30.801817992324832</v>
      </c>
    </row>
    <row r="9" spans="1:11" ht="20.100000000000001" customHeight="1">
      <c r="A9" s="452" t="s">
        <v>326</v>
      </c>
      <c r="B9" s="64">
        <f>9834974</f>
        <v>9834974</v>
      </c>
      <c r="C9" s="64">
        <f>9834974</f>
        <v>9834974</v>
      </c>
      <c r="D9" s="177">
        <v>2274467</v>
      </c>
      <c r="E9" s="177">
        <v>955338.94</v>
      </c>
      <c r="F9" s="177">
        <f>L9+E9</f>
        <v>955338.94</v>
      </c>
      <c r="G9" s="177"/>
      <c r="H9" s="177">
        <v>0</v>
      </c>
      <c r="I9" s="177">
        <f>+D9-F9</f>
        <v>1319128.06</v>
      </c>
      <c r="J9" s="40">
        <f>+C9-F9</f>
        <v>8879635.0600000005</v>
      </c>
      <c r="K9" s="508">
        <f>+F9*100/D9</f>
        <v>42.002761086443549</v>
      </c>
    </row>
    <row r="10" spans="1:11" ht="32.25" customHeight="1">
      <c r="A10" s="453" t="s">
        <v>370</v>
      </c>
      <c r="B10" s="64">
        <v>5000000</v>
      </c>
      <c r="C10" s="64">
        <v>5000000</v>
      </c>
      <c r="D10" s="177">
        <v>1563008</v>
      </c>
      <c r="E10" s="177">
        <v>576228.49</v>
      </c>
      <c r="F10" s="177">
        <f>L10+E10</f>
        <v>576228.49</v>
      </c>
      <c r="G10" s="177"/>
      <c r="H10" s="177"/>
      <c r="I10" s="177">
        <f>+D10-F10</f>
        <v>986779.51</v>
      </c>
      <c r="J10" s="40">
        <f>+C10-F10</f>
        <v>4423771.51</v>
      </c>
      <c r="K10" s="508">
        <f>+F10*100/D10</f>
        <v>36.866637278887886</v>
      </c>
    </row>
    <row r="11" spans="1:11" ht="24" customHeight="1">
      <c r="A11" s="494" t="s">
        <v>536</v>
      </c>
      <c r="B11" s="64">
        <v>382798</v>
      </c>
      <c r="C11" s="64">
        <v>382798</v>
      </c>
      <c r="D11" s="177">
        <v>76560</v>
      </c>
      <c r="E11" s="177"/>
      <c r="F11" s="177"/>
      <c r="G11" s="177"/>
      <c r="H11" s="177"/>
      <c r="I11" s="177">
        <f t="shared" ref="I11:I14" si="0">+D11-F11</f>
        <v>76560</v>
      </c>
      <c r="J11" s="40"/>
      <c r="K11" s="509"/>
    </row>
    <row r="12" spans="1:11" ht="21.6" customHeight="1">
      <c r="A12" s="494" t="s">
        <v>537</v>
      </c>
      <c r="B12" s="64">
        <v>2000000</v>
      </c>
      <c r="C12" s="64">
        <v>2000000</v>
      </c>
      <c r="D12" s="177">
        <v>397248</v>
      </c>
      <c r="E12" s="177"/>
      <c r="F12" s="177"/>
      <c r="G12" s="177"/>
      <c r="H12" s="177"/>
      <c r="I12" s="177">
        <f t="shared" si="0"/>
        <v>397248</v>
      </c>
      <c r="J12" s="40"/>
      <c r="K12" s="508"/>
    </row>
    <row r="13" spans="1:11" ht="32.25" customHeight="1">
      <c r="A13" s="494" t="s">
        <v>538</v>
      </c>
      <c r="B13" s="64">
        <v>1135854</v>
      </c>
      <c r="C13" s="64">
        <v>1135854</v>
      </c>
      <c r="D13" s="177">
        <v>215818</v>
      </c>
      <c r="E13" s="177"/>
      <c r="F13" s="177"/>
      <c r="G13" s="177"/>
      <c r="H13" s="177"/>
      <c r="I13" s="177">
        <f t="shared" si="0"/>
        <v>215818</v>
      </c>
      <c r="J13" s="40"/>
      <c r="K13" s="509"/>
    </row>
    <row r="14" spans="1:11" ht="21.6" customHeight="1">
      <c r="A14" s="494" t="s">
        <v>517</v>
      </c>
      <c r="B14" s="64">
        <v>283423</v>
      </c>
      <c r="C14" s="64">
        <v>283423</v>
      </c>
      <c r="D14" s="177">
        <v>56686</v>
      </c>
      <c r="E14" s="177"/>
      <c r="F14" s="177"/>
      <c r="G14" s="177"/>
      <c r="H14" s="177"/>
      <c r="I14" s="177">
        <f t="shared" si="0"/>
        <v>56686</v>
      </c>
      <c r="J14" s="40"/>
      <c r="K14" s="509"/>
    </row>
    <row r="15" spans="1:11" ht="20.100000000000001" customHeight="1">
      <c r="A15" s="452" t="s">
        <v>354</v>
      </c>
      <c r="B15" s="64">
        <v>9162631</v>
      </c>
      <c r="C15" s="64">
        <v>9162631</v>
      </c>
      <c r="D15" s="177">
        <v>1758484</v>
      </c>
      <c r="E15" s="177">
        <v>421967.34</v>
      </c>
      <c r="F15" s="177">
        <f>L15+E15</f>
        <v>421967.34</v>
      </c>
      <c r="G15" s="177"/>
      <c r="H15" s="177">
        <v>0</v>
      </c>
      <c r="I15" s="177">
        <f>+D15-F15</f>
        <v>1336516.6599999999</v>
      </c>
      <c r="J15" s="40">
        <f>+C15-F15</f>
        <v>8740663.6600000001</v>
      </c>
      <c r="K15" s="508">
        <f>+F15*100/D15</f>
        <v>23.996086401696008</v>
      </c>
    </row>
    <row r="16" spans="1:11" ht="20.100000000000001" customHeight="1">
      <c r="A16" s="454" t="s">
        <v>327</v>
      </c>
      <c r="B16" s="518">
        <f>SUM(B17:B30)</f>
        <v>15761574</v>
      </c>
      <c r="C16" s="519">
        <f>SUM(C17:C30)</f>
        <v>15761574</v>
      </c>
      <c r="D16" s="519">
        <f>SUM(D17:D30)</f>
        <v>3499069</v>
      </c>
      <c r="E16" s="519">
        <f>SUM(E17:E26)</f>
        <v>18852.37</v>
      </c>
      <c r="F16" s="515">
        <f>SUM(F17:F26)</f>
        <v>18852.37</v>
      </c>
      <c r="G16" s="515">
        <f>SUM(G17:G26)</f>
        <v>18145.2</v>
      </c>
      <c r="H16" s="519">
        <f>SUM(H17:H26)</f>
        <v>1249.9000000000001</v>
      </c>
      <c r="I16" s="519">
        <f>D16-F16</f>
        <v>3480216.63</v>
      </c>
      <c r="J16" s="516">
        <f>+C16-F16</f>
        <v>15742721.630000001</v>
      </c>
      <c r="K16" s="517">
        <f>+F16*100/D16</f>
        <v>0.53878245899123456</v>
      </c>
    </row>
    <row r="17" spans="1:12" ht="21.6" customHeight="1">
      <c r="A17" s="504" t="s">
        <v>429</v>
      </c>
      <c r="B17" s="505">
        <v>2896997</v>
      </c>
      <c r="C17" s="507">
        <f>SUM(B17:B17)</f>
        <v>2896997</v>
      </c>
      <c r="D17" s="177">
        <v>932516</v>
      </c>
      <c r="E17" s="177">
        <v>16895.3</v>
      </c>
      <c r="F17" s="177">
        <f>+L17+E17</f>
        <v>16895.3</v>
      </c>
      <c r="G17" s="177">
        <v>16895.3</v>
      </c>
      <c r="H17" s="177"/>
      <c r="I17" s="177">
        <f>+D17-F17</f>
        <v>915620.7</v>
      </c>
      <c r="J17" s="40"/>
      <c r="K17" s="508">
        <f>+F17*100/D17</f>
        <v>1.81179733109137</v>
      </c>
    </row>
    <row r="18" spans="1:12" ht="21.6" customHeight="1">
      <c r="A18" s="455" t="s">
        <v>519</v>
      </c>
      <c r="B18" s="505">
        <v>1200000</v>
      </c>
      <c r="C18" s="507">
        <v>1200000</v>
      </c>
      <c r="D18" s="177">
        <v>240000</v>
      </c>
      <c r="E18" s="177"/>
      <c r="F18" s="177"/>
      <c r="G18" s="177"/>
      <c r="H18" s="177"/>
      <c r="I18" s="177">
        <f t="shared" ref="I18" si="1">+D18-F18</f>
        <v>240000</v>
      </c>
      <c r="J18" s="40"/>
      <c r="K18" s="509"/>
    </row>
    <row r="19" spans="1:12" ht="20.100000000000001" customHeight="1">
      <c r="A19" s="455" t="s">
        <v>518</v>
      </c>
      <c r="B19" s="505">
        <v>4628400</v>
      </c>
      <c r="C19" s="507">
        <f>SUM(B19:B19)</f>
        <v>4628400</v>
      </c>
      <c r="D19" s="177">
        <v>925680</v>
      </c>
      <c r="E19" s="177"/>
      <c r="F19" s="177">
        <f>+L19+E19</f>
        <v>0</v>
      </c>
      <c r="G19" s="177"/>
      <c r="H19" s="177"/>
      <c r="I19" s="177">
        <f>+D19-F19</f>
        <v>925680</v>
      </c>
      <c r="J19" s="40">
        <f>+C19-F19</f>
        <v>4628400</v>
      </c>
      <c r="K19" s="508">
        <f>+F19*100/D19</f>
        <v>0</v>
      </c>
    </row>
    <row r="20" spans="1:12" ht="20.100000000000001" customHeight="1">
      <c r="A20" s="455" t="s">
        <v>520</v>
      </c>
      <c r="B20" s="505">
        <v>2000000</v>
      </c>
      <c r="C20" s="507">
        <v>2000000</v>
      </c>
      <c r="D20" s="177">
        <v>400005</v>
      </c>
      <c r="E20" s="177">
        <v>522.79999999999995</v>
      </c>
      <c r="F20" s="177">
        <v>522.79999999999995</v>
      </c>
      <c r="G20" s="177"/>
      <c r="H20" s="177"/>
      <c r="I20" s="177">
        <f>+D20-F20</f>
        <v>399482.2</v>
      </c>
      <c r="J20" s="40"/>
      <c r="K20" s="508">
        <f>+F20*100/D20</f>
        <v>0.13069836627042161</v>
      </c>
    </row>
    <row r="21" spans="1:12" ht="20.100000000000001" customHeight="1">
      <c r="A21" s="455" t="s">
        <v>521</v>
      </c>
      <c r="B21" s="505">
        <v>1000000</v>
      </c>
      <c r="C21" s="507">
        <v>1000000</v>
      </c>
      <c r="D21" s="177">
        <v>200002</v>
      </c>
      <c r="E21" s="177"/>
      <c r="F21" s="177"/>
      <c r="G21" s="177"/>
      <c r="H21" s="177"/>
      <c r="I21" s="177">
        <f t="shared" ref="I21:I24" si="2">+D21-F21</f>
        <v>200002</v>
      </c>
      <c r="J21" s="40"/>
      <c r="K21" s="509"/>
    </row>
    <row r="22" spans="1:12" ht="20.100000000000001" customHeight="1">
      <c r="A22" s="504" t="s">
        <v>400</v>
      </c>
      <c r="B22" s="505">
        <v>1270000</v>
      </c>
      <c r="C22" s="507">
        <v>1270000</v>
      </c>
      <c r="D22" s="177">
        <v>254000</v>
      </c>
      <c r="E22" s="177"/>
      <c r="F22" s="177"/>
      <c r="G22" s="177"/>
      <c r="H22" s="177"/>
      <c r="I22" s="177">
        <f t="shared" si="2"/>
        <v>254000</v>
      </c>
      <c r="J22" s="40"/>
      <c r="K22" s="509"/>
    </row>
    <row r="23" spans="1:12" ht="20.100000000000001" customHeight="1">
      <c r="A23" s="455" t="s">
        <v>523</v>
      </c>
      <c r="B23" s="505">
        <v>106000</v>
      </c>
      <c r="C23" s="507">
        <v>106000</v>
      </c>
      <c r="D23" s="177">
        <v>21200</v>
      </c>
      <c r="E23" s="177"/>
      <c r="F23" s="177"/>
      <c r="G23" s="177"/>
      <c r="H23" s="177"/>
      <c r="I23" s="177">
        <f t="shared" si="2"/>
        <v>21200</v>
      </c>
      <c r="J23" s="40"/>
      <c r="K23" s="509"/>
    </row>
    <row r="24" spans="1:12" ht="20.100000000000001" customHeight="1">
      <c r="A24" s="455" t="s">
        <v>522</v>
      </c>
      <c r="B24" s="505">
        <v>149583</v>
      </c>
      <c r="C24" s="507">
        <v>149583</v>
      </c>
      <c r="D24" s="177">
        <v>29919</v>
      </c>
      <c r="E24" s="177"/>
      <c r="F24" s="177"/>
      <c r="G24" s="177"/>
      <c r="H24" s="177"/>
      <c r="I24" s="177">
        <f t="shared" si="2"/>
        <v>29919</v>
      </c>
      <c r="J24" s="40"/>
      <c r="K24" s="509"/>
    </row>
    <row r="25" spans="1:12" ht="22.5" customHeight="1">
      <c r="A25" s="455" t="s">
        <v>524</v>
      </c>
      <c r="B25" s="505">
        <v>750000</v>
      </c>
      <c r="C25" s="507">
        <f>SUM(B25:B25)</f>
        <v>750000</v>
      </c>
      <c r="D25" s="177">
        <v>150000</v>
      </c>
      <c r="E25" s="177"/>
      <c r="F25" s="177">
        <f>+L25+E25</f>
        <v>0</v>
      </c>
      <c r="G25" s="177"/>
      <c r="H25" s="177"/>
      <c r="I25" s="177">
        <f>+D25-F25</f>
        <v>150000</v>
      </c>
      <c r="J25" s="40">
        <f>+C25-F25</f>
        <v>750000</v>
      </c>
      <c r="K25" s="508">
        <f>+F25*100/D25</f>
        <v>0</v>
      </c>
      <c r="L25" s="166"/>
    </row>
    <row r="26" spans="1:12" ht="23.25" customHeight="1">
      <c r="A26" s="455" t="s">
        <v>525</v>
      </c>
      <c r="B26" s="505">
        <v>519956</v>
      </c>
      <c r="C26" s="507">
        <f>SUM(B26:B26)</f>
        <v>519956</v>
      </c>
      <c r="D26" s="177">
        <v>97614</v>
      </c>
      <c r="E26" s="177">
        <v>1434.27</v>
      </c>
      <c r="F26" s="177">
        <f>+L26+E26</f>
        <v>1434.27</v>
      </c>
      <c r="G26" s="177">
        <v>1249.9000000000001</v>
      </c>
      <c r="H26" s="177">
        <v>1249.9000000000001</v>
      </c>
      <c r="I26" s="177">
        <f>+D26-F26</f>
        <v>96179.73</v>
      </c>
      <c r="J26" s="40">
        <f>+C26-F26</f>
        <v>518521.73</v>
      </c>
      <c r="K26" s="508">
        <f>+F26*100/D26</f>
        <v>1.4693281701395291</v>
      </c>
    </row>
    <row r="27" spans="1:12" ht="23.25" customHeight="1">
      <c r="A27" s="455" t="s">
        <v>526</v>
      </c>
      <c r="B27" s="506">
        <v>271625</v>
      </c>
      <c r="C27" s="507">
        <v>271625</v>
      </c>
      <c r="D27" s="177">
        <v>54326</v>
      </c>
      <c r="E27" s="177"/>
      <c r="F27" s="177"/>
      <c r="G27" s="177"/>
      <c r="H27" s="177"/>
      <c r="I27" s="177">
        <f t="shared" ref="I27:I30" si="3">+D27-F27</f>
        <v>54326</v>
      </c>
      <c r="J27" s="40"/>
      <c r="K27" s="509"/>
    </row>
    <row r="28" spans="1:12" ht="23.25" customHeight="1">
      <c r="A28" s="455" t="s">
        <v>529</v>
      </c>
      <c r="B28" s="506">
        <v>394105</v>
      </c>
      <c r="C28" s="507">
        <v>394105</v>
      </c>
      <c r="D28" s="177">
        <v>78822</v>
      </c>
      <c r="E28" s="177"/>
      <c r="F28" s="177"/>
      <c r="G28" s="177"/>
      <c r="H28" s="177"/>
      <c r="I28" s="177">
        <f t="shared" si="3"/>
        <v>78822</v>
      </c>
      <c r="J28" s="40"/>
      <c r="K28" s="509"/>
    </row>
    <row r="29" spans="1:12" ht="23.25" customHeight="1">
      <c r="A29" s="455" t="s">
        <v>527</v>
      </c>
      <c r="B29" s="506">
        <v>437560</v>
      </c>
      <c r="C29" s="507">
        <v>437560</v>
      </c>
      <c r="D29" s="177">
        <v>87515</v>
      </c>
      <c r="E29" s="177"/>
      <c r="F29" s="177"/>
      <c r="G29" s="177"/>
      <c r="H29" s="177"/>
      <c r="I29" s="177">
        <f t="shared" si="3"/>
        <v>87515</v>
      </c>
      <c r="J29" s="40"/>
      <c r="K29" s="509"/>
    </row>
    <row r="30" spans="1:12" ht="23.25" customHeight="1">
      <c r="A30" s="455" t="s">
        <v>528</v>
      </c>
      <c r="B30" s="506">
        <v>137348</v>
      </c>
      <c r="C30" s="507">
        <v>137348</v>
      </c>
      <c r="D30" s="177">
        <v>27470</v>
      </c>
      <c r="E30" s="177"/>
      <c r="F30" s="177"/>
      <c r="G30" s="177"/>
      <c r="H30" s="177"/>
      <c r="I30" s="177">
        <f t="shared" si="3"/>
        <v>27470</v>
      </c>
      <c r="J30" s="40"/>
      <c r="K30" s="509"/>
    </row>
    <row r="31" spans="1:12" ht="20.100000000000001" customHeight="1">
      <c r="A31" s="454" t="s">
        <v>371</v>
      </c>
      <c r="B31" s="514">
        <f>SUM(B32:B39)</f>
        <v>13343940</v>
      </c>
      <c r="C31" s="514">
        <f t="shared" ref="C31:H31" si="4">SUM(C32:C39)</f>
        <v>13343940</v>
      </c>
      <c r="D31" s="514">
        <f t="shared" si="4"/>
        <v>3077132</v>
      </c>
      <c r="E31" s="514">
        <f t="shared" si="4"/>
        <v>497978</v>
      </c>
      <c r="F31" s="514">
        <f t="shared" si="4"/>
        <v>497978</v>
      </c>
      <c r="G31" s="514">
        <f t="shared" si="4"/>
        <v>0</v>
      </c>
      <c r="H31" s="514">
        <f t="shared" si="4"/>
        <v>0</v>
      </c>
      <c r="I31" s="515">
        <f>D31-F31</f>
        <v>2579154</v>
      </c>
      <c r="J31" s="516">
        <f>C31-F31</f>
        <v>12845962</v>
      </c>
      <c r="K31" s="517">
        <f>+F31*100/D31</f>
        <v>16.183186161659624</v>
      </c>
    </row>
    <row r="32" spans="1:12" ht="20.100000000000001" customHeight="1">
      <c r="A32" s="510" t="s">
        <v>530</v>
      </c>
      <c r="B32" s="597">
        <v>350999</v>
      </c>
      <c r="C32" s="40">
        <v>350999</v>
      </c>
      <c r="D32" s="177">
        <v>70200</v>
      </c>
      <c r="E32" s="177"/>
      <c r="F32" s="177"/>
      <c r="G32" s="177"/>
      <c r="H32" s="177"/>
      <c r="I32" s="177">
        <f>D32-F32</f>
        <v>70200</v>
      </c>
      <c r="J32" s="40"/>
      <c r="K32" s="509"/>
    </row>
    <row r="33" spans="1:12" ht="20.100000000000001" customHeight="1">
      <c r="A33" s="456" t="s">
        <v>366</v>
      </c>
      <c r="B33" s="505">
        <v>779586</v>
      </c>
      <c r="C33" s="505">
        <v>779586</v>
      </c>
      <c r="D33" s="507">
        <v>155918</v>
      </c>
      <c r="E33" s="507">
        <v>0</v>
      </c>
      <c r="F33" s="177">
        <f>+L33+E33</f>
        <v>0</v>
      </c>
      <c r="G33" s="177"/>
      <c r="H33" s="177"/>
      <c r="I33" s="177">
        <f>D33-F33</f>
        <v>155918</v>
      </c>
      <c r="J33" s="40">
        <f>+C33-F33</f>
        <v>779586</v>
      </c>
      <c r="K33" s="508"/>
    </row>
    <row r="34" spans="1:12" ht="28.15" customHeight="1">
      <c r="A34" s="457" t="s">
        <v>382</v>
      </c>
      <c r="B34" s="511">
        <v>1000000</v>
      </c>
      <c r="C34" s="511">
        <v>1000000</v>
      </c>
      <c r="D34" s="507">
        <v>200000</v>
      </c>
      <c r="E34" s="507">
        <v>0</v>
      </c>
      <c r="F34" s="177">
        <f>+L34+E34</f>
        <v>0</v>
      </c>
      <c r="G34" s="177"/>
      <c r="H34" s="177"/>
      <c r="I34" s="177">
        <f>D34-F34</f>
        <v>200000</v>
      </c>
      <c r="J34" s="40">
        <f>+C34-F34</f>
        <v>1000000</v>
      </c>
      <c r="K34" s="508">
        <v>0</v>
      </c>
    </row>
    <row r="35" spans="1:12" ht="28.15" customHeight="1">
      <c r="A35" s="457" t="s">
        <v>531</v>
      </c>
      <c r="B35" s="511">
        <v>1845166</v>
      </c>
      <c r="C35" s="511">
        <v>1845166</v>
      </c>
      <c r="D35" s="507">
        <v>369034</v>
      </c>
      <c r="E35" s="507"/>
      <c r="F35" s="177"/>
      <c r="G35" s="177"/>
      <c r="H35" s="177"/>
      <c r="I35" s="177">
        <f t="shared" ref="I35:I39" si="5">D35-F35</f>
        <v>369034</v>
      </c>
      <c r="J35" s="40"/>
      <c r="K35" s="509"/>
    </row>
    <row r="36" spans="1:12" ht="28.15" customHeight="1">
      <c r="A36" s="457" t="s">
        <v>532</v>
      </c>
      <c r="B36" s="511">
        <v>4700585</v>
      </c>
      <c r="C36" s="511">
        <v>4700585</v>
      </c>
      <c r="D36" s="507">
        <v>1362117</v>
      </c>
      <c r="E36" s="507">
        <v>497978</v>
      </c>
      <c r="F36" s="177">
        <v>497978</v>
      </c>
      <c r="G36" s="177"/>
      <c r="H36" s="177"/>
      <c r="I36" s="177">
        <f t="shared" si="5"/>
        <v>864139</v>
      </c>
      <c r="J36" s="40"/>
      <c r="K36" s="508">
        <f>+F36*100/D36</f>
        <v>36.559120839105596</v>
      </c>
    </row>
    <row r="37" spans="1:12" ht="28.15" customHeight="1">
      <c r="A37" s="457" t="s">
        <v>533</v>
      </c>
      <c r="B37" s="511">
        <v>500000</v>
      </c>
      <c r="C37" s="511">
        <v>500000</v>
      </c>
      <c r="D37" s="507">
        <v>100000</v>
      </c>
      <c r="E37" s="507"/>
      <c r="F37" s="177"/>
      <c r="G37" s="177"/>
      <c r="H37" s="177"/>
      <c r="I37" s="177">
        <f t="shared" si="5"/>
        <v>100000</v>
      </c>
      <c r="J37" s="40"/>
      <c r="K37" s="509"/>
    </row>
    <row r="38" spans="1:12" ht="28.15" customHeight="1">
      <c r="A38" s="457" t="s">
        <v>534</v>
      </c>
      <c r="B38" s="511">
        <v>2067604</v>
      </c>
      <c r="C38" s="511">
        <v>2067604</v>
      </c>
      <c r="D38" s="507">
        <v>399863</v>
      </c>
      <c r="E38" s="507"/>
      <c r="F38" s="177"/>
      <c r="G38" s="177"/>
      <c r="H38" s="177"/>
      <c r="I38" s="177">
        <f t="shared" si="5"/>
        <v>399863</v>
      </c>
      <c r="J38" s="40"/>
      <c r="K38" s="509"/>
    </row>
    <row r="39" spans="1:12" ht="28.15" customHeight="1">
      <c r="A39" s="457" t="s">
        <v>535</v>
      </c>
      <c r="B39" s="511">
        <v>2100000</v>
      </c>
      <c r="C39" s="511">
        <v>2100000</v>
      </c>
      <c r="D39" s="507">
        <v>420000</v>
      </c>
      <c r="E39" s="506"/>
      <c r="F39" s="513"/>
      <c r="G39" s="512"/>
      <c r="H39" s="177"/>
      <c r="I39" s="177">
        <f t="shared" si="5"/>
        <v>420000</v>
      </c>
      <c r="J39" s="40"/>
      <c r="K39" s="509"/>
    </row>
    <row r="40" spans="1:12" ht="20.100000000000001" customHeight="1">
      <c r="A40" s="458" t="s">
        <v>30</v>
      </c>
      <c r="B40" s="520">
        <f>B8+B16+B31</f>
        <v>56905194</v>
      </c>
      <c r="C40" s="515">
        <f>SUM(B40:B40)</f>
        <v>56905194</v>
      </c>
      <c r="D40" s="515">
        <f>D8+D16+D31</f>
        <v>12918472</v>
      </c>
      <c r="E40" s="520">
        <f>E8+E16+E31</f>
        <v>2470365.14</v>
      </c>
      <c r="F40" s="521">
        <f>+L40+E40</f>
        <v>2470365.14</v>
      </c>
      <c r="G40" s="520">
        <f t="shared" ref="G40:H40" si="6">G8+G16+G31</f>
        <v>18145.2</v>
      </c>
      <c r="H40" s="520">
        <f t="shared" si="6"/>
        <v>1249.9000000000001</v>
      </c>
      <c r="I40" s="515">
        <f>D40-F40</f>
        <v>10448106.859999999</v>
      </c>
      <c r="J40" s="516">
        <f>C40-F40</f>
        <v>54434828.859999999</v>
      </c>
      <c r="K40" s="517">
        <f>+F40*100/D40</f>
        <v>19.12273479402208</v>
      </c>
    </row>
    <row r="41" spans="1:12" ht="20.100000000000001" customHeight="1">
      <c r="A41" s="3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t="s">
        <v>6</v>
      </c>
    </row>
  </sheetData>
  <mergeCells count="11">
    <mergeCell ref="A1:K1"/>
    <mergeCell ref="A2:K2"/>
    <mergeCell ref="A3:K3"/>
    <mergeCell ref="A4:K4"/>
    <mergeCell ref="B6:D6"/>
    <mergeCell ref="G6:G7"/>
    <mergeCell ref="H6:H7"/>
    <mergeCell ref="F6:F7"/>
    <mergeCell ref="I6:I7"/>
    <mergeCell ref="K6:K7"/>
    <mergeCell ref="A6:A7"/>
  </mergeCells>
  <pageMargins left="0.11811023622047245" right="0.11811023622047245" top="0.74803149606299213" bottom="0.74803149606299213" header="0.31496062992125984" footer="0.31496062992125984"/>
  <pageSetup scale="75" fitToWidth="0" fitToHeight="0" orientation="landscape" r:id="rId1"/>
  <ignoredErrors>
    <ignoredError sqref="C8 C40 I16 F4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0">
    <tabColor theme="6" tint="0.39997558519241921"/>
  </sheetPr>
  <dimension ref="A1:P404"/>
  <sheetViews>
    <sheetView showGridLines="0" showZeros="0" workbookViewId="0">
      <selection activeCell="S31" sqref="S31"/>
    </sheetView>
  </sheetViews>
  <sheetFormatPr baseColWidth="10" defaultColWidth="11.42578125" defaultRowHeight="13.5"/>
  <cols>
    <col min="1" max="1" width="6.140625" customWidth="1"/>
    <col min="2" max="2" width="32.85546875" customWidth="1"/>
    <col min="3" max="3" width="10" customWidth="1"/>
    <col min="4" max="4" width="13.140625" customWidth="1"/>
    <col min="5" max="5" width="11.42578125" customWidth="1"/>
    <col min="6" max="6" width="11" hidden="1" customWidth="1"/>
    <col min="7" max="7" width="13.28515625" customWidth="1"/>
    <col min="8" max="8" width="13" customWidth="1"/>
    <col min="9" max="9" width="13.140625" customWidth="1"/>
    <col min="10" max="10" width="13.5703125" customWidth="1"/>
    <col min="11" max="11" width="11.28515625" hidden="1" customWidth="1"/>
    <col min="12" max="12" width="10.7109375" style="20" hidden="1" customWidth="1"/>
    <col min="13" max="13" width="0.140625" hidden="1" customWidth="1"/>
    <col min="14" max="14" width="13.28515625" customWidth="1"/>
    <col min="15" max="15" width="14.28515625" customWidth="1"/>
    <col min="16" max="16" width="13.7109375" customWidth="1"/>
  </cols>
  <sheetData>
    <row r="1" spans="1:16" ht="16.899999999999999" customHeight="1">
      <c r="A1" s="737" t="s">
        <v>404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</row>
    <row r="2" spans="1:16" ht="18" customHeight="1">
      <c r="A2" s="738" t="s">
        <v>405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</row>
    <row r="3" spans="1:16" ht="15.6" customHeight="1">
      <c r="A3" s="607" t="s">
        <v>464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37"/>
    </row>
    <row r="4" spans="1:16" ht="19.899999999999999" customHeight="1">
      <c r="A4" s="713" t="s">
        <v>513</v>
      </c>
      <c r="B4" s="713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491"/>
    </row>
    <row r="5" spans="1:16" ht="3" hidden="1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65"/>
      <c r="N5" s="65"/>
    </row>
    <row r="6" spans="1:16" ht="2.25" customHeight="1">
      <c r="A6" s="408"/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81"/>
      <c r="N6" s="81"/>
    </row>
    <row r="7" spans="1:16" ht="16.5" customHeight="1">
      <c r="A7" s="744" t="s">
        <v>393</v>
      </c>
      <c r="B7" s="742" t="s">
        <v>0</v>
      </c>
      <c r="C7" s="746" t="s">
        <v>33</v>
      </c>
      <c r="D7" s="747"/>
      <c r="E7" s="748"/>
      <c r="F7" s="578" t="s">
        <v>83</v>
      </c>
      <c r="G7" s="733" t="s">
        <v>549</v>
      </c>
      <c r="H7" s="740" t="s">
        <v>540</v>
      </c>
      <c r="I7" s="740" t="s">
        <v>70</v>
      </c>
      <c r="J7" s="731" t="s">
        <v>544</v>
      </c>
      <c r="K7" s="732"/>
      <c r="L7" s="732"/>
      <c r="M7" s="733"/>
      <c r="N7" s="740" t="s">
        <v>396</v>
      </c>
    </row>
    <row r="8" spans="1:16" ht="27" customHeight="1">
      <c r="A8" s="745"/>
      <c r="B8" s="743"/>
      <c r="C8" s="579" t="s">
        <v>85</v>
      </c>
      <c r="D8" s="580" t="s">
        <v>11</v>
      </c>
      <c r="E8" s="580" t="s">
        <v>2</v>
      </c>
      <c r="F8" s="580" t="s">
        <v>38</v>
      </c>
      <c r="G8" s="749"/>
      <c r="H8" s="741"/>
      <c r="I8" s="741"/>
      <c r="J8" s="734"/>
      <c r="K8" s="735"/>
      <c r="L8" s="735"/>
      <c r="M8" s="736"/>
      <c r="N8" s="741"/>
    </row>
    <row r="9" spans="1:16" ht="23.25" customHeight="1">
      <c r="A9" s="414" t="s">
        <v>86</v>
      </c>
      <c r="B9" s="415" t="s">
        <v>87</v>
      </c>
      <c r="C9" s="416">
        <f>+C10+C12+C13</f>
        <v>1143000</v>
      </c>
      <c r="D9" s="416">
        <f>+D10+D12+D13</f>
        <v>1143000</v>
      </c>
      <c r="E9" s="416">
        <f>+E10+E12+E13</f>
        <v>92887</v>
      </c>
      <c r="F9" s="416">
        <f>+F10+F12+F13</f>
        <v>1434.27</v>
      </c>
      <c r="G9" s="416">
        <f>+G10+G12+G13</f>
        <v>1433.87</v>
      </c>
      <c r="H9" s="526">
        <f>+H10</f>
        <v>1249.9000000000001</v>
      </c>
      <c r="I9" s="416">
        <f>+I10+I12+I13</f>
        <v>1249.5</v>
      </c>
      <c r="J9" s="416">
        <f>E9-G9</f>
        <v>91453.13</v>
      </c>
      <c r="K9" s="416" t="e">
        <f>+K10+K12</f>
        <v>#REF!</v>
      </c>
      <c r="L9" s="416" t="e">
        <f>+#REF!*100/#REF!</f>
        <v>#REF!</v>
      </c>
      <c r="M9" s="417">
        <f>D9-G9</f>
        <v>1141566.1299999999</v>
      </c>
      <c r="N9" s="418">
        <f>G9/E9*100</f>
        <v>1.5436713425990718</v>
      </c>
      <c r="P9">
        <v>0</v>
      </c>
    </row>
    <row r="10" spans="1:16" ht="18" customHeight="1">
      <c r="A10" s="441" t="s">
        <v>88</v>
      </c>
      <c r="B10" s="483" t="s">
        <v>89</v>
      </c>
      <c r="C10" s="431">
        <f>SUM(C11:C11)</f>
        <v>921925</v>
      </c>
      <c r="D10" s="431">
        <f>SUM(D11:D11)</f>
        <v>921925</v>
      </c>
      <c r="E10" s="431">
        <f>SUM(E11:E11)</f>
        <v>76827</v>
      </c>
      <c r="F10" s="431">
        <f t="shared" ref="F10:I10" si="0">SUM(F11:F11)</f>
        <v>1249.9000000000001</v>
      </c>
      <c r="G10" s="431">
        <f t="shared" si="0"/>
        <v>1249.5</v>
      </c>
      <c r="H10" s="431">
        <f>+H11</f>
        <v>1249.9000000000001</v>
      </c>
      <c r="I10" s="431">
        <f t="shared" si="0"/>
        <v>1249.5</v>
      </c>
      <c r="J10" s="431">
        <f t="shared" ref="J10:J56" si="1">E10-G10</f>
        <v>75577.5</v>
      </c>
      <c r="K10" s="186" t="e">
        <f>+K11+K13</f>
        <v>#REF!</v>
      </c>
      <c r="L10" s="186" t="e">
        <f>+#REF!*100/#REF!</f>
        <v>#REF!</v>
      </c>
      <c r="M10" s="188">
        <f t="shared" ref="M10:M56" si="2">D10-G10</f>
        <v>920675.5</v>
      </c>
      <c r="N10" s="185">
        <f>+G10/E10*100</f>
        <v>1.6263813503065327</v>
      </c>
      <c r="P10">
        <v>0</v>
      </c>
    </row>
    <row r="11" spans="1:16" ht="18" customHeight="1">
      <c r="A11" s="420" t="s">
        <v>360</v>
      </c>
      <c r="B11" s="187" t="s">
        <v>361</v>
      </c>
      <c r="C11" s="186">
        <v>921925</v>
      </c>
      <c r="D11" s="186">
        <v>921925</v>
      </c>
      <c r="E11" s="186">
        <v>76827</v>
      </c>
      <c r="F11" s="186">
        <v>1249.9000000000001</v>
      </c>
      <c r="G11" s="186">
        <v>1249.5</v>
      </c>
      <c r="H11" s="186">
        <v>1249.9000000000001</v>
      </c>
      <c r="I11" s="186">
        <v>1249.5</v>
      </c>
      <c r="J11" s="186">
        <f t="shared" si="1"/>
        <v>75577.5</v>
      </c>
      <c r="K11" s="186" t="e">
        <f>+K12+K15</f>
        <v>#REF!</v>
      </c>
      <c r="L11" s="186" t="e">
        <f>+#REF!*100/#REF!</f>
        <v>#REF!</v>
      </c>
      <c r="M11" s="188">
        <f t="shared" si="2"/>
        <v>920675.5</v>
      </c>
      <c r="N11" s="185">
        <f>G11/E11*100</f>
        <v>1.6263813503065327</v>
      </c>
    </row>
    <row r="12" spans="1:16" ht="18" customHeight="1">
      <c r="A12" s="420" t="s">
        <v>104</v>
      </c>
      <c r="B12" s="187" t="s">
        <v>376</v>
      </c>
      <c r="C12" s="186">
        <v>76831</v>
      </c>
      <c r="D12" s="186">
        <v>76831</v>
      </c>
      <c r="E12" s="186">
        <v>0</v>
      </c>
      <c r="F12" s="186"/>
      <c r="G12" s="186"/>
      <c r="H12" s="186"/>
      <c r="I12" s="186"/>
      <c r="J12" s="186">
        <f t="shared" si="1"/>
        <v>0</v>
      </c>
      <c r="K12" s="186" t="e">
        <f>+K13+K17</f>
        <v>#REF!</v>
      </c>
      <c r="L12" s="186" t="e">
        <f>+#REF!*100/#REF!</f>
        <v>#REF!</v>
      </c>
      <c r="M12" s="188">
        <f t="shared" si="2"/>
        <v>76831</v>
      </c>
      <c r="N12" s="185" t="s">
        <v>6</v>
      </c>
    </row>
    <row r="13" spans="1:16" ht="18" customHeight="1">
      <c r="A13" s="420" t="s">
        <v>106</v>
      </c>
      <c r="B13" s="186" t="s">
        <v>377</v>
      </c>
      <c r="C13" s="186">
        <v>144244</v>
      </c>
      <c r="D13" s="186">
        <v>144244</v>
      </c>
      <c r="E13" s="186">
        <v>16060</v>
      </c>
      <c r="F13" s="186">
        <v>184.37</v>
      </c>
      <c r="G13" s="186">
        <v>184.37</v>
      </c>
      <c r="H13" s="186"/>
      <c r="I13" s="186"/>
      <c r="J13" s="186">
        <f t="shared" si="1"/>
        <v>15875.63</v>
      </c>
      <c r="K13" s="186" t="e">
        <f>+K15+#REF!</f>
        <v>#REF!</v>
      </c>
      <c r="L13" s="186" t="e">
        <f>+#REF!*100/#REF!</f>
        <v>#REF!</v>
      </c>
      <c r="M13" s="188">
        <f t="shared" si="2"/>
        <v>144059.63</v>
      </c>
      <c r="N13" s="185">
        <f>G13/E13*100</f>
        <v>1.1480074719800746</v>
      </c>
    </row>
    <row r="14" spans="1:16" ht="9.6" customHeight="1">
      <c r="A14" s="421"/>
      <c r="B14" s="422"/>
      <c r="C14" s="422"/>
      <c r="D14" s="422"/>
      <c r="E14" s="422"/>
      <c r="F14" s="423"/>
      <c r="G14" s="423"/>
      <c r="H14" s="423"/>
      <c r="I14" s="423"/>
      <c r="J14" s="422"/>
      <c r="K14" s="422"/>
      <c r="L14" s="422"/>
      <c r="M14" s="424"/>
      <c r="N14" s="425"/>
    </row>
    <row r="15" spans="1:16" ht="16.5" customHeight="1">
      <c r="A15" s="426" t="s">
        <v>123</v>
      </c>
      <c r="B15" s="427" t="s">
        <v>124</v>
      </c>
      <c r="C15" s="428">
        <f>SUM(C17:C23)</f>
        <v>5349720</v>
      </c>
      <c r="D15" s="428">
        <f>SUM(D17:D23)</f>
        <v>5349720</v>
      </c>
      <c r="E15" s="428">
        <f>SUM(E16:E25)</f>
        <v>1601849</v>
      </c>
      <c r="F15" s="428">
        <f>SUM(F16:F24)</f>
        <v>576228.49</v>
      </c>
      <c r="G15" s="428">
        <f>P15+F15</f>
        <v>576228.49</v>
      </c>
      <c r="H15" s="428"/>
      <c r="I15" s="428">
        <f>SUM(I16:I25)</f>
        <v>0</v>
      </c>
      <c r="J15" s="428">
        <f t="shared" si="1"/>
        <v>1025620.51</v>
      </c>
      <c r="K15" s="428" t="e">
        <f>+K17+K19</f>
        <v>#REF!</v>
      </c>
      <c r="L15" s="428" t="e">
        <f>+#REF!*100/#REF!</f>
        <v>#REF!</v>
      </c>
      <c r="M15" s="429">
        <f t="shared" si="2"/>
        <v>4773491.51</v>
      </c>
      <c r="N15" s="430">
        <f>G15/E15*100</f>
        <v>35.97270966239639</v>
      </c>
    </row>
    <row r="16" spans="1:16" ht="18" hidden="1" customHeight="1">
      <c r="A16" s="419">
        <v>110</v>
      </c>
      <c r="B16" s="459" t="s">
        <v>467</v>
      </c>
      <c r="C16" s="431"/>
      <c r="D16" s="431"/>
      <c r="E16" s="186">
        <v>0</v>
      </c>
      <c r="F16" s="186">
        <v>0</v>
      </c>
      <c r="G16" s="186">
        <v>0</v>
      </c>
      <c r="H16" s="186"/>
      <c r="I16" s="186">
        <v>0</v>
      </c>
      <c r="J16" s="186">
        <v>0</v>
      </c>
      <c r="K16" s="186"/>
      <c r="L16" s="186"/>
      <c r="M16" s="188"/>
      <c r="N16" s="185" t="s">
        <v>6</v>
      </c>
      <c r="P16" t="s">
        <v>6</v>
      </c>
    </row>
    <row r="17" spans="1:14" ht="0.75" customHeight="1">
      <c r="A17" s="419">
        <v>120</v>
      </c>
      <c r="B17" s="187" t="s">
        <v>389</v>
      </c>
      <c r="C17" s="431" t="s">
        <v>6</v>
      </c>
      <c r="D17" s="431" t="s">
        <v>6</v>
      </c>
      <c r="E17" s="186" t="s">
        <v>6</v>
      </c>
      <c r="F17" s="186">
        <v>0</v>
      </c>
      <c r="G17" s="186">
        <v>0</v>
      </c>
      <c r="H17" s="186"/>
      <c r="I17" s="186"/>
      <c r="J17" s="186">
        <v>0</v>
      </c>
      <c r="K17" s="186" t="e">
        <f>+#REF!+#REF!</f>
        <v>#REF!</v>
      </c>
      <c r="L17" s="186" t="e">
        <f>+#REF!*100/#REF!</f>
        <v>#REF!</v>
      </c>
      <c r="M17" s="188" t="e">
        <f t="shared" si="2"/>
        <v>#VALUE!</v>
      </c>
      <c r="N17" s="185" t="s">
        <v>6</v>
      </c>
    </row>
    <row r="18" spans="1:14" ht="18" customHeight="1">
      <c r="A18" s="419">
        <v>130</v>
      </c>
      <c r="B18" s="187" t="s">
        <v>499</v>
      </c>
      <c r="C18" s="186">
        <v>10000</v>
      </c>
      <c r="D18" s="186">
        <v>10000</v>
      </c>
      <c r="E18" s="186">
        <v>2000</v>
      </c>
      <c r="F18" s="186"/>
      <c r="G18" s="186"/>
      <c r="H18" s="186"/>
      <c r="I18" s="186"/>
      <c r="J18" s="186">
        <f t="shared" si="1"/>
        <v>2000</v>
      </c>
      <c r="K18" s="186"/>
      <c r="L18" s="186"/>
      <c r="M18" s="188"/>
      <c r="N18" s="185"/>
    </row>
    <row r="19" spans="1:14" ht="18" customHeight="1">
      <c r="A19" s="219" t="s">
        <v>156</v>
      </c>
      <c r="B19" s="186" t="s">
        <v>157</v>
      </c>
      <c r="C19" s="186">
        <v>75286</v>
      </c>
      <c r="D19" s="186">
        <v>75286</v>
      </c>
      <c r="E19" s="186">
        <v>15058</v>
      </c>
      <c r="F19" s="186">
        <v>0</v>
      </c>
      <c r="G19" s="186">
        <v>0</v>
      </c>
      <c r="H19" s="186"/>
      <c r="I19" s="186"/>
      <c r="J19" s="186">
        <f t="shared" si="1"/>
        <v>15058</v>
      </c>
      <c r="K19" s="186" t="e">
        <f>+#REF!+K23</f>
        <v>#REF!</v>
      </c>
      <c r="L19" s="186" t="e">
        <f>+#REF!*100/#REF!</f>
        <v>#REF!</v>
      </c>
      <c r="M19" s="188">
        <f t="shared" si="2"/>
        <v>75286</v>
      </c>
      <c r="N19" s="185" t="s">
        <v>6</v>
      </c>
    </row>
    <row r="20" spans="1:14" ht="18" customHeight="1">
      <c r="A20" s="419">
        <v>150</v>
      </c>
      <c r="B20" s="186" t="s">
        <v>551</v>
      </c>
      <c r="C20" s="186">
        <v>5992</v>
      </c>
      <c r="D20" s="186">
        <v>5992</v>
      </c>
      <c r="E20" s="186">
        <v>1199</v>
      </c>
      <c r="F20" s="186"/>
      <c r="G20" s="186"/>
      <c r="H20" s="186"/>
      <c r="I20" s="186"/>
      <c r="J20" s="186">
        <f t="shared" si="1"/>
        <v>1199</v>
      </c>
      <c r="K20" s="186"/>
      <c r="L20" s="186"/>
      <c r="M20" s="188"/>
      <c r="N20" s="185"/>
    </row>
    <row r="21" spans="1:14" ht="18" customHeight="1">
      <c r="A21" s="219" t="s">
        <v>168</v>
      </c>
      <c r="B21" s="186" t="s">
        <v>169</v>
      </c>
      <c r="C21" s="186">
        <v>690213</v>
      </c>
      <c r="D21" s="186">
        <v>690213</v>
      </c>
      <c r="E21" s="186">
        <v>183938</v>
      </c>
      <c r="F21" s="186">
        <v>0</v>
      </c>
      <c r="G21" s="186">
        <f>P21+F21</f>
        <v>0</v>
      </c>
      <c r="H21" s="186"/>
      <c r="I21" s="186">
        <v>0</v>
      </c>
      <c r="J21" s="186">
        <f t="shared" si="1"/>
        <v>183938</v>
      </c>
      <c r="K21" s="186" t="e">
        <f>+K23+K27</f>
        <v>#REF!</v>
      </c>
      <c r="L21" s="186" t="e">
        <f>+#REF!*100/#REF!</f>
        <v>#REF!</v>
      </c>
      <c r="M21" s="188">
        <f t="shared" si="2"/>
        <v>690213</v>
      </c>
      <c r="N21" s="185">
        <f>G21/E21*100</f>
        <v>0</v>
      </c>
    </row>
    <row r="22" spans="1:14" ht="18" customHeight="1">
      <c r="A22" s="419">
        <v>170</v>
      </c>
      <c r="B22" s="186" t="s">
        <v>430</v>
      </c>
      <c r="C22" s="186">
        <v>170000</v>
      </c>
      <c r="D22" s="186">
        <v>170000</v>
      </c>
      <c r="E22" s="186">
        <v>34000</v>
      </c>
      <c r="F22" s="186"/>
      <c r="G22" s="186"/>
      <c r="H22" s="186"/>
      <c r="I22" s="186"/>
      <c r="J22" s="186">
        <f t="shared" si="1"/>
        <v>34000</v>
      </c>
      <c r="K22" s="186"/>
      <c r="L22" s="186"/>
      <c r="M22" s="188">
        <f t="shared" si="2"/>
        <v>170000</v>
      </c>
      <c r="N22" s="185"/>
    </row>
    <row r="23" spans="1:14" ht="18" customHeight="1">
      <c r="A23" s="219" t="s">
        <v>177</v>
      </c>
      <c r="B23" s="186" t="s">
        <v>178</v>
      </c>
      <c r="C23" s="186">
        <v>4398229</v>
      </c>
      <c r="D23" s="186">
        <v>4398229</v>
      </c>
      <c r="E23" s="186">
        <v>1365654</v>
      </c>
      <c r="F23" s="186">
        <v>576228.49</v>
      </c>
      <c r="G23" s="186">
        <f>P23+F23</f>
        <v>576228.49</v>
      </c>
      <c r="H23" s="186"/>
      <c r="I23" s="186">
        <v>0</v>
      </c>
      <c r="J23" s="186">
        <f t="shared" si="1"/>
        <v>789425.51</v>
      </c>
      <c r="K23" s="186" t="e">
        <f>+K26+K28</f>
        <v>#REF!</v>
      </c>
      <c r="L23" s="186" t="e">
        <f>+#REF!*100/#REF!</f>
        <v>#REF!</v>
      </c>
      <c r="M23" s="188">
        <f t="shared" si="2"/>
        <v>3822000.51</v>
      </c>
      <c r="N23" s="185">
        <f>G23/E23*100</f>
        <v>42.194325209752982</v>
      </c>
    </row>
    <row r="24" spans="1:14" ht="18" hidden="1" customHeight="1">
      <c r="A24" s="419">
        <v>190</v>
      </c>
      <c r="B24" s="186" t="s">
        <v>431</v>
      </c>
      <c r="C24" s="186"/>
      <c r="D24" s="186">
        <f>SUM(C24:C24)</f>
        <v>0</v>
      </c>
      <c r="E24" s="186">
        <v>0</v>
      </c>
      <c r="F24" s="186">
        <v>0</v>
      </c>
      <c r="G24" s="186">
        <f>P24+F24</f>
        <v>0</v>
      </c>
      <c r="H24" s="186"/>
      <c r="I24" s="186">
        <v>0</v>
      </c>
      <c r="J24" s="186" t="s">
        <v>6</v>
      </c>
      <c r="K24" s="186"/>
      <c r="L24" s="186"/>
      <c r="M24" s="188">
        <f t="shared" si="2"/>
        <v>0</v>
      </c>
      <c r="N24" s="185" t="s">
        <v>6</v>
      </c>
    </row>
    <row r="25" spans="1:14" ht="7.15" customHeight="1">
      <c r="A25" s="432"/>
      <c r="B25" s="422"/>
      <c r="C25" s="423"/>
      <c r="D25" s="422"/>
      <c r="E25" s="422"/>
      <c r="F25" s="422"/>
      <c r="G25" s="422"/>
      <c r="H25" s="422"/>
      <c r="I25" s="422"/>
      <c r="J25" s="422"/>
      <c r="K25" s="422"/>
      <c r="L25" s="422"/>
      <c r="M25" s="424"/>
      <c r="N25" s="425"/>
    </row>
    <row r="26" spans="1:14" ht="18" customHeight="1">
      <c r="A26" s="414" t="s">
        <v>184</v>
      </c>
      <c r="B26" s="415" t="s">
        <v>185</v>
      </c>
      <c r="C26" s="416">
        <f>+C27+C28+C30+C31+C32+C33+C34+C29</f>
        <v>809351</v>
      </c>
      <c r="D26" s="416">
        <f>SUM(C26:C26)</f>
        <v>809351</v>
      </c>
      <c r="E26" s="416">
        <f>SUM(E27:E35)</f>
        <v>161873</v>
      </c>
      <c r="F26" s="416">
        <f>SUM(F27:F35)</f>
        <v>0</v>
      </c>
      <c r="G26" s="416">
        <f>P26+F26</f>
        <v>0</v>
      </c>
      <c r="H26" s="526"/>
      <c r="I26" s="416">
        <f>SUM(I27:I35)</f>
        <v>0</v>
      </c>
      <c r="J26" s="416">
        <f t="shared" si="1"/>
        <v>161873</v>
      </c>
      <c r="K26" s="416" t="e">
        <f t="shared" ref="K26:K32" si="3">+K27+K29</f>
        <v>#REF!</v>
      </c>
      <c r="L26" s="416" t="e">
        <f>+#REF!*100/#REF!</f>
        <v>#REF!</v>
      </c>
      <c r="M26" s="417">
        <f t="shared" si="2"/>
        <v>809351</v>
      </c>
      <c r="N26" s="418"/>
    </row>
    <row r="27" spans="1:14" ht="16.149999999999999" customHeight="1">
      <c r="A27" s="219" t="s">
        <v>192</v>
      </c>
      <c r="B27" s="186" t="s">
        <v>193</v>
      </c>
      <c r="C27" s="431">
        <v>8822</v>
      </c>
      <c r="D27" s="431">
        <v>8822</v>
      </c>
      <c r="E27" s="431">
        <v>1765</v>
      </c>
      <c r="F27" s="431"/>
      <c r="G27" s="431"/>
      <c r="H27" s="431"/>
      <c r="I27" s="431"/>
      <c r="J27" s="431">
        <f t="shared" si="1"/>
        <v>1765</v>
      </c>
      <c r="K27" s="431" t="e">
        <f t="shared" si="3"/>
        <v>#REF!</v>
      </c>
      <c r="L27" s="431" t="e">
        <f>+#REF!*100/#REF!</f>
        <v>#REF!</v>
      </c>
      <c r="M27" s="188">
        <f t="shared" si="2"/>
        <v>8822</v>
      </c>
      <c r="N27" s="185"/>
    </row>
    <row r="28" spans="1:14" ht="18" hidden="1" customHeight="1">
      <c r="A28" s="219" t="s">
        <v>204</v>
      </c>
      <c r="B28" s="186" t="s">
        <v>205</v>
      </c>
      <c r="C28" s="431">
        <v>0</v>
      </c>
      <c r="D28" s="431"/>
      <c r="E28" s="431"/>
      <c r="F28" s="431"/>
      <c r="G28" s="431"/>
      <c r="H28" s="431"/>
      <c r="I28" s="431"/>
      <c r="J28" s="431">
        <f t="shared" si="1"/>
        <v>0</v>
      </c>
      <c r="K28" s="431" t="e">
        <f t="shared" si="3"/>
        <v>#REF!</v>
      </c>
      <c r="L28" s="431" t="e">
        <f>+#REF!*100/#REF!</f>
        <v>#REF!</v>
      </c>
      <c r="M28" s="188">
        <f t="shared" si="2"/>
        <v>0</v>
      </c>
      <c r="N28" s="185"/>
    </row>
    <row r="29" spans="1:14" ht="18" customHeight="1">
      <c r="A29" s="419">
        <v>230</v>
      </c>
      <c r="B29" s="187" t="s">
        <v>365</v>
      </c>
      <c r="C29" s="186">
        <v>12038</v>
      </c>
      <c r="D29" s="186">
        <f>SUM(C29:C29)</f>
        <v>12038</v>
      </c>
      <c r="E29" s="186">
        <v>2408</v>
      </c>
      <c r="F29" s="186"/>
      <c r="G29" s="186"/>
      <c r="H29" s="186"/>
      <c r="I29" s="186"/>
      <c r="J29" s="186">
        <f t="shared" si="1"/>
        <v>2408</v>
      </c>
      <c r="K29" s="186" t="e">
        <f t="shared" si="3"/>
        <v>#REF!</v>
      </c>
      <c r="L29" s="186" t="e">
        <f>+#REF!*100/#REF!</f>
        <v>#REF!</v>
      </c>
      <c r="M29" s="188">
        <f t="shared" si="2"/>
        <v>12038</v>
      </c>
      <c r="N29" s="185"/>
    </row>
    <row r="30" spans="1:14" ht="18" hidden="1" customHeight="1">
      <c r="A30" s="219" t="s">
        <v>221</v>
      </c>
      <c r="B30" s="186" t="s">
        <v>222</v>
      </c>
      <c r="C30" s="186"/>
      <c r="D30" s="186">
        <f>SUM(C30:C30)</f>
        <v>0</v>
      </c>
      <c r="E30" s="186"/>
      <c r="F30" s="186">
        <v>0</v>
      </c>
      <c r="G30" s="186">
        <v>0</v>
      </c>
      <c r="H30" s="186"/>
      <c r="I30" s="186">
        <v>0</v>
      </c>
      <c r="J30" s="186" t="s">
        <v>6</v>
      </c>
      <c r="K30" s="186" t="e">
        <f t="shared" si="3"/>
        <v>#REF!</v>
      </c>
      <c r="L30" s="186" t="e">
        <f>+#REF!*100/#REF!</f>
        <v>#REF!</v>
      </c>
      <c r="M30" s="188">
        <f t="shared" si="2"/>
        <v>0</v>
      </c>
      <c r="N30" s="185"/>
    </row>
    <row r="31" spans="1:14" s="7" customFormat="1" ht="18.75" customHeight="1">
      <c r="A31" s="419">
        <v>250</v>
      </c>
      <c r="B31" s="186" t="s">
        <v>417</v>
      </c>
      <c r="C31" s="186">
        <v>132114</v>
      </c>
      <c r="D31" s="433">
        <f>SUM(C31:C31)</f>
        <v>132114</v>
      </c>
      <c r="E31" s="433">
        <v>26423</v>
      </c>
      <c r="F31" s="186">
        <v>0</v>
      </c>
      <c r="G31" s="186">
        <f>P31+F31</f>
        <v>0</v>
      </c>
      <c r="H31" s="186"/>
      <c r="I31" s="186" t="s">
        <v>6</v>
      </c>
      <c r="J31" s="186">
        <f t="shared" si="1"/>
        <v>26423</v>
      </c>
      <c r="K31" s="186" t="e">
        <f t="shared" si="3"/>
        <v>#REF!</v>
      </c>
      <c r="L31" s="186" t="e">
        <f>+#REF!*100/#REF!</f>
        <v>#REF!</v>
      </c>
      <c r="M31" s="188">
        <f t="shared" si="2"/>
        <v>132114</v>
      </c>
      <c r="N31" s="185"/>
    </row>
    <row r="32" spans="1:14" ht="18" customHeight="1">
      <c r="A32" s="219" t="s">
        <v>247</v>
      </c>
      <c r="B32" s="186" t="s">
        <v>248</v>
      </c>
      <c r="C32" s="186">
        <v>402459</v>
      </c>
      <c r="D32" s="186">
        <f>SUM(C32:C32)</f>
        <v>402459</v>
      </c>
      <c r="E32" s="186">
        <v>80493</v>
      </c>
      <c r="F32" s="186">
        <v>0</v>
      </c>
      <c r="G32" s="186">
        <v>0</v>
      </c>
      <c r="H32" s="186"/>
      <c r="I32" s="186"/>
      <c r="J32" s="186">
        <f t="shared" si="1"/>
        <v>80493</v>
      </c>
      <c r="K32" s="186" t="e">
        <f t="shared" si="3"/>
        <v>#REF!</v>
      </c>
      <c r="L32" s="186" t="e">
        <f>+#REF!*100/#REF!</f>
        <v>#REF!</v>
      </c>
      <c r="M32" s="188">
        <f t="shared" si="2"/>
        <v>402459</v>
      </c>
      <c r="N32" s="185"/>
    </row>
    <row r="33" spans="1:15" ht="18" customHeight="1">
      <c r="A33" s="219" t="s">
        <v>254</v>
      </c>
      <c r="B33" s="186" t="s">
        <v>255</v>
      </c>
      <c r="C33" s="186">
        <v>253918</v>
      </c>
      <c r="D33" s="186">
        <f>SUM(C33:C33)</f>
        <v>253918</v>
      </c>
      <c r="E33" s="186">
        <v>50784</v>
      </c>
      <c r="F33" s="186"/>
      <c r="G33" s="186"/>
      <c r="H33" s="186"/>
      <c r="I33" s="186"/>
      <c r="J33" s="186">
        <f t="shared" si="1"/>
        <v>50784</v>
      </c>
      <c r="K33" s="186" t="e">
        <f>+K34+K37</f>
        <v>#REF!</v>
      </c>
      <c r="L33" s="186" t="e">
        <f>+#REF!*100/#REF!</f>
        <v>#REF!</v>
      </c>
      <c r="M33" s="188">
        <f t="shared" si="2"/>
        <v>253918</v>
      </c>
      <c r="N33" s="185"/>
    </row>
    <row r="34" spans="1:15" ht="18" hidden="1" customHeight="1">
      <c r="A34" s="434" t="s">
        <v>270</v>
      </c>
      <c r="B34" s="422" t="s">
        <v>271</v>
      </c>
      <c r="C34" s="423">
        <v>0</v>
      </c>
      <c r="D34" s="422"/>
      <c r="E34" s="422"/>
      <c r="F34" s="422"/>
      <c r="G34" s="422"/>
      <c r="H34" s="422"/>
      <c r="I34" s="422"/>
      <c r="J34" s="422">
        <f t="shared" si="1"/>
        <v>0</v>
      </c>
      <c r="K34" s="422" t="e">
        <f>+K35+K38</f>
        <v>#REF!</v>
      </c>
      <c r="L34" s="422" t="e">
        <f>+#REF!*100/#REF!</f>
        <v>#REF!</v>
      </c>
      <c r="M34" s="424">
        <f t="shared" si="2"/>
        <v>0</v>
      </c>
      <c r="N34" s="425"/>
    </row>
    <row r="35" spans="1:15" ht="0.75" customHeight="1">
      <c r="A35" s="419">
        <v>290</v>
      </c>
      <c r="B35" s="186" t="s">
        <v>416</v>
      </c>
      <c r="C35" s="431">
        <v>0</v>
      </c>
      <c r="D35" s="186">
        <f>SUM(C35:C35)</f>
        <v>0</v>
      </c>
      <c r="E35" s="186" t="s">
        <v>6</v>
      </c>
      <c r="F35" s="186">
        <v>0</v>
      </c>
      <c r="G35" s="186">
        <v>0</v>
      </c>
      <c r="H35" s="186"/>
      <c r="I35" s="186">
        <v>0</v>
      </c>
      <c r="J35" s="186" t="s">
        <v>6</v>
      </c>
      <c r="K35" s="422" t="e">
        <f>+K37+K39</f>
        <v>#REF!</v>
      </c>
      <c r="L35" s="422" t="e">
        <f>+#REF!*100/#REF!</f>
        <v>#REF!</v>
      </c>
      <c r="M35" s="424">
        <f t="shared" si="2"/>
        <v>0</v>
      </c>
      <c r="N35" s="185" t="s">
        <v>6</v>
      </c>
    </row>
    <row r="36" spans="1:15" ht="7.9" customHeight="1">
      <c r="A36" s="435"/>
      <c r="B36" s="422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4"/>
      <c r="N36" s="425"/>
    </row>
    <row r="37" spans="1:15" ht="18" customHeight="1">
      <c r="A37" s="436" t="s">
        <v>277</v>
      </c>
      <c r="B37" s="437" t="s">
        <v>278</v>
      </c>
      <c r="C37" s="438">
        <f>SUM(C38:C46)</f>
        <v>22258230</v>
      </c>
      <c r="D37" s="438">
        <f t="shared" ref="D37:D46" si="4">SUM(C37:C37)</f>
        <v>22258230</v>
      </c>
      <c r="E37" s="438">
        <f>SUM(E38:E46)</f>
        <v>5257883</v>
      </c>
      <c r="F37" s="438">
        <f>SUM(F38:F46)</f>
        <v>515396.1</v>
      </c>
      <c r="G37" s="438">
        <f t="shared" ref="G37:G45" si="5">P37+F37</f>
        <v>515396.1</v>
      </c>
      <c r="H37" s="438">
        <f>+H40</f>
        <v>16895.3</v>
      </c>
      <c r="I37" s="438">
        <f>SUM(I38:I47)</f>
        <v>0</v>
      </c>
      <c r="J37" s="438">
        <f t="shared" si="1"/>
        <v>4742486.9000000004</v>
      </c>
      <c r="K37" s="438" t="e">
        <f t="shared" ref="K37:K42" si="6">+K38+K40</f>
        <v>#REF!</v>
      </c>
      <c r="L37" s="438" t="e">
        <f>+#REF!*100/#REF!</f>
        <v>#REF!</v>
      </c>
      <c r="M37" s="439">
        <f t="shared" si="2"/>
        <v>21742833.899999999</v>
      </c>
      <c r="N37" s="440">
        <f>G37/E37*100</f>
        <v>9.8023501093500922</v>
      </c>
    </row>
    <row r="38" spans="1:15" ht="18" customHeight="1">
      <c r="A38" s="441">
        <v>300</v>
      </c>
      <c r="B38" s="187" t="s">
        <v>279</v>
      </c>
      <c r="C38" s="431">
        <v>5589374</v>
      </c>
      <c r="D38" s="186">
        <f t="shared" si="4"/>
        <v>5589374</v>
      </c>
      <c r="E38" s="186">
        <v>1117880</v>
      </c>
      <c r="F38" s="186"/>
      <c r="G38" s="186">
        <f t="shared" si="5"/>
        <v>0</v>
      </c>
      <c r="H38" s="186"/>
      <c r="I38" s="186"/>
      <c r="J38" s="186">
        <f t="shared" si="1"/>
        <v>1117880</v>
      </c>
      <c r="K38" s="431" t="e">
        <f t="shared" si="6"/>
        <v>#REF!</v>
      </c>
      <c r="L38" s="431" t="e">
        <f>+#REF!*100/#REF!</f>
        <v>#REF!</v>
      </c>
      <c r="M38" s="188">
        <f t="shared" si="2"/>
        <v>5589374</v>
      </c>
      <c r="N38" s="185"/>
    </row>
    <row r="39" spans="1:15" ht="18" customHeight="1">
      <c r="A39" s="441">
        <v>310</v>
      </c>
      <c r="B39" s="187" t="s">
        <v>418</v>
      </c>
      <c r="C39" s="186">
        <v>1381177</v>
      </c>
      <c r="D39" s="186">
        <f t="shared" si="4"/>
        <v>1381177</v>
      </c>
      <c r="E39" s="186">
        <v>276236</v>
      </c>
      <c r="F39" s="186"/>
      <c r="G39" s="186">
        <f t="shared" si="5"/>
        <v>0</v>
      </c>
      <c r="H39" s="186"/>
      <c r="I39" s="186"/>
      <c r="J39" s="186">
        <f t="shared" si="1"/>
        <v>276236</v>
      </c>
      <c r="K39" s="186" t="e">
        <f t="shared" si="6"/>
        <v>#REF!</v>
      </c>
      <c r="L39" s="186" t="e">
        <f>+#REF!*100/#REF!</f>
        <v>#REF!</v>
      </c>
      <c r="M39" s="188">
        <f t="shared" si="2"/>
        <v>1381177</v>
      </c>
      <c r="N39" s="185"/>
      <c r="O39" s="24" t="s">
        <v>6</v>
      </c>
    </row>
    <row r="40" spans="1:15" ht="15" customHeight="1">
      <c r="A40" s="441">
        <v>320</v>
      </c>
      <c r="B40" s="186" t="s">
        <v>281</v>
      </c>
      <c r="C40" s="186">
        <v>2771165</v>
      </c>
      <c r="D40" s="186">
        <f t="shared" si="4"/>
        <v>2771165</v>
      </c>
      <c r="E40" s="186">
        <v>581338</v>
      </c>
      <c r="F40" s="186">
        <v>16895.3</v>
      </c>
      <c r="G40" s="186">
        <f t="shared" si="5"/>
        <v>16895.3</v>
      </c>
      <c r="H40" s="186">
        <v>16895.3</v>
      </c>
      <c r="I40" s="186"/>
      <c r="J40" s="186">
        <f t="shared" si="1"/>
        <v>564442.69999999995</v>
      </c>
      <c r="K40" s="186" t="e">
        <f t="shared" si="6"/>
        <v>#REF!</v>
      </c>
      <c r="L40" s="186" t="e">
        <f>+#REF!*100/#REF!</f>
        <v>#REF!</v>
      </c>
      <c r="M40" s="188">
        <f t="shared" si="2"/>
        <v>2754269.7</v>
      </c>
      <c r="N40" s="185">
        <f>G40/E40*100</f>
        <v>2.9062782752890746</v>
      </c>
    </row>
    <row r="41" spans="1:15" ht="13.5" customHeight="1">
      <c r="A41" s="441">
        <v>330</v>
      </c>
      <c r="B41" s="186" t="s">
        <v>373</v>
      </c>
      <c r="C41" s="186">
        <v>1992844</v>
      </c>
      <c r="D41" s="186">
        <f t="shared" si="4"/>
        <v>1992844</v>
      </c>
      <c r="E41" s="186">
        <v>371468</v>
      </c>
      <c r="F41" s="186"/>
      <c r="G41" s="186">
        <f t="shared" si="5"/>
        <v>0</v>
      </c>
      <c r="H41" s="186"/>
      <c r="I41" s="186"/>
      <c r="J41" s="186">
        <f t="shared" si="1"/>
        <v>371468</v>
      </c>
      <c r="K41" s="186" t="e">
        <f t="shared" si="6"/>
        <v>#REF!</v>
      </c>
      <c r="L41" s="186" t="e">
        <f>+#REF!*100/#REF!</f>
        <v>#REF!</v>
      </c>
      <c r="M41" s="188">
        <f t="shared" si="2"/>
        <v>1992844</v>
      </c>
      <c r="N41" s="185"/>
    </row>
    <row r="42" spans="1:15" ht="17.45" customHeight="1">
      <c r="A42" s="441">
        <v>340</v>
      </c>
      <c r="B42" s="186" t="s">
        <v>131</v>
      </c>
      <c r="C42" s="186">
        <v>16758</v>
      </c>
      <c r="D42" s="186">
        <f t="shared" si="4"/>
        <v>16758</v>
      </c>
      <c r="E42" s="186">
        <v>3352</v>
      </c>
      <c r="F42" s="186"/>
      <c r="G42" s="186">
        <f t="shared" si="5"/>
        <v>0</v>
      </c>
      <c r="H42" s="186"/>
      <c r="I42" s="186"/>
      <c r="J42" s="186">
        <f t="shared" si="1"/>
        <v>3352</v>
      </c>
      <c r="K42" s="186" t="e">
        <f t="shared" si="6"/>
        <v>#REF!</v>
      </c>
      <c r="L42" s="186" t="e">
        <f>+#REF!*100/#REF!</f>
        <v>#REF!</v>
      </c>
      <c r="M42" s="188">
        <f t="shared" si="2"/>
        <v>16758</v>
      </c>
      <c r="N42" s="185" t="s">
        <v>6</v>
      </c>
    </row>
    <row r="43" spans="1:15" ht="16.5" customHeight="1">
      <c r="A43" s="441">
        <v>350</v>
      </c>
      <c r="B43" s="186" t="s">
        <v>283</v>
      </c>
      <c r="C43" s="186">
        <v>594406</v>
      </c>
      <c r="D43" s="186">
        <f t="shared" si="4"/>
        <v>594406</v>
      </c>
      <c r="E43" s="186">
        <v>118882</v>
      </c>
      <c r="F43" s="186"/>
      <c r="G43" s="186">
        <f t="shared" si="5"/>
        <v>0</v>
      </c>
      <c r="H43" s="186"/>
      <c r="I43" s="186"/>
      <c r="J43" s="186">
        <f t="shared" si="1"/>
        <v>118882</v>
      </c>
      <c r="K43" s="186" t="e">
        <f>+K44+#REF!</f>
        <v>#REF!</v>
      </c>
      <c r="L43" s="186" t="e">
        <f>+#REF!*100/#REF!</f>
        <v>#REF!</v>
      </c>
      <c r="M43" s="188">
        <f t="shared" si="2"/>
        <v>594406</v>
      </c>
      <c r="N43" s="185"/>
    </row>
    <row r="44" spans="1:15" ht="18" customHeight="1">
      <c r="A44" s="441">
        <v>370</v>
      </c>
      <c r="B44" s="186" t="s">
        <v>284</v>
      </c>
      <c r="C44" s="186">
        <v>5548922</v>
      </c>
      <c r="D44" s="186">
        <f t="shared" si="4"/>
        <v>5548922</v>
      </c>
      <c r="E44" s="186">
        <v>1608787</v>
      </c>
      <c r="F44" s="186">
        <v>498500.8</v>
      </c>
      <c r="G44" s="186">
        <f t="shared" si="5"/>
        <v>498500.8</v>
      </c>
      <c r="H44" s="186"/>
      <c r="I44" s="186"/>
      <c r="J44" s="186">
        <f t="shared" si="1"/>
        <v>1110286.2</v>
      </c>
      <c r="K44" s="186" t="e">
        <f>+K45+#REF!</f>
        <v>#REF!</v>
      </c>
      <c r="L44" s="186" t="e">
        <f>+#REF!*100/#REF!</f>
        <v>#REF!</v>
      </c>
      <c r="M44" s="188">
        <f t="shared" si="2"/>
        <v>5050421.2</v>
      </c>
      <c r="N44" s="185">
        <f>G44/E44*100</f>
        <v>30.986128057971623</v>
      </c>
    </row>
    <row r="45" spans="1:15" ht="18" customHeight="1">
      <c r="A45" s="441">
        <v>380</v>
      </c>
      <c r="B45" s="186" t="s">
        <v>285</v>
      </c>
      <c r="C45" s="186">
        <v>4363584</v>
      </c>
      <c r="D45" s="186">
        <f t="shared" si="4"/>
        <v>4363584</v>
      </c>
      <c r="E45" s="186">
        <v>1179940</v>
      </c>
      <c r="F45" s="186"/>
      <c r="G45" s="186">
        <f t="shared" si="5"/>
        <v>0</v>
      </c>
      <c r="H45" s="186"/>
      <c r="I45" s="186"/>
      <c r="J45" s="186">
        <f t="shared" si="1"/>
        <v>1179940</v>
      </c>
      <c r="K45" s="186" t="e">
        <f>+#REF!+#REF!</f>
        <v>#REF!</v>
      </c>
      <c r="L45" s="186" t="e">
        <f>+#REF!*100/#REF!</f>
        <v>#REF!</v>
      </c>
      <c r="M45" s="188">
        <f t="shared" si="2"/>
        <v>4363584</v>
      </c>
      <c r="N45" s="185">
        <f>G45/E45*100</f>
        <v>0</v>
      </c>
    </row>
    <row r="46" spans="1:15" ht="0.75" customHeight="1">
      <c r="A46" s="441">
        <v>390</v>
      </c>
      <c r="B46" s="186" t="s">
        <v>419</v>
      </c>
      <c r="C46" s="186"/>
      <c r="D46" s="186">
        <f t="shared" si="4"/>
        <v>0</v>
      </c>
      <c r="E46" s="186">
        <v>0</v>
      </c>
      <c r="F46" s="186">
        <v>0</v>
      </c>
      <c r="G46" s="186">
        <v>0</v>
      </c>
      <c r="H46" s="186"/>
      <c r="I46" s="186"/>
      <c r="J46" s="186">
        <f t="shared" si="1"/>
        <v>0</v>
      </c>
      <c r="K46" s="431" t="e">
        <f>+K48+#REF!</f>
        <v>#REF!</v>
      </c>
      <c r="L46" s="431" t="e">
        <f>+#REF!*100/#REF!</f>
        <v>#REF!</v>
      </c>
      <c r="M46" s="188">
        <f t="shared" si="2"/>
        <v>0</v>
      </c>
      <c r="N46" s="185"/>
    </row>
    <row r="47" spans="1:15" ht="8.4499999999999993" customHeight="1">
      <c r="A47" s="435"/>
      <c r="B47" s="422"/>
      <c r="C47" s="422"/>
      <c r="D47" s="422"/>
      <c r="E47" s="422"/>
      <c r="F47" s="422"/>
      <c r="G47" s="422"/>
      <c r="H47" s="422"/>
      <c r="I47" s="422"/>
      <c r="J47" s="423"/>
      <c r="K47" s="423"/>
      <c r="L47" s="423"/>
      <c r="M47" s="424"/>
      <c r="N47" s="425"/>
    </row>
    <row r="48" spans="1:15" ht="18" customHeight="1">
      <c r="A48" s="414">
        <v>5</v>
      </c>
      <c r="B48" s="442" t="s">
        <v>362</v>
      </c>
      <c r="C48" s="416">
        <f>C49</f>
        <v>24785293</v>
      </c>
      <c r="D48" s="416">
        <f t="shared" ref="D48:I48" si="7">SUM(D49)</f>
        <v>24785293</v>
      </c>
      <c r="E48" s="416">
        <f t="shared" si="7"/>
        <v>5292060</v>
      </c>
      <c r="F48" s="416">
        <f t="shared" si="7"/>
        <v>1377306.28</v>
      </c>
      <c r="G48" s="416">
        <f t="shared" si="7"/>
        <v>1377306.28</v>
      </c>
      <c r="H48" s="526"/>
      <c r="I48" s="416">
        <f t="shared" si="7"/>
        <v>0</v>
      </c>
      <c r="J48" s="416">
        <f t="shared" si="1"/>
        <v>3914753.7199999997</v>
      </c>
      <c r="K48" s="416" t="e">
        <f>+#REF!+K49</f>
        <v>#REF!</v>
      </c>
      <c r="L48" s="416" t="e">
        <f>+#REF!*100/#REF!</f>
        <v>#REF!</v>
      </c>
      <c r="M48" s="417">
        <f t="shared" si="2"/>
        <v>23407986.719999999</v>
      </c>
      <c r="N48" s="418">
        <f>G48/E48*100</f>
        <v>26.025900688956664</v>
      </c>
    </row>
    <row r="49" spans="1:16" ht="18" customHeight="1">
      <c r="A49" s="419">
        <v>510</v>
      </c>
      <c r="B49" s="186" t="s">
        <v>363</v>
      </c>
      <c r="C49" s="186">
        <v>24785293</v>
      </c>
      <c r="D49" s="186">
        <f>SUM(C49:C49)</f>
        <v>24785293</v>
      </c>
      <c r="E49" s="186">
        <v>5292060</v>
      </c>
      <c r="F49" s="186">
        <v>1377306.28</v>
      </c>
      <c r="G49" s="186">
        <f>P49+F49</f>
        <v>1377306.28</v>
      </c>
      <c r="H49" s="186"/>
      <c r="I49" s="186">
        <v>0</v>
      </c>
      <c r="J49" s="186">
        <f t="shared" si="1"/>
        <v>3914753.7199999997</v>
      </c>
      <c r="K49" s="431" t="e">
        <f>+#REF!+K51</f>
        <v>#REF!</v>
      </c>
      <c r="L49" s="431" t="e">
        <f>+#REF!*100/#REF!</f>
        <v>#REF!</v>
      </c>
      <c r="M49" s="188">
        <f t="shared" si="2"/>
        <v>23407986.719999999</v>
      </c>
      <c r="N49" s="185">
        <f>G49/E49*100</f>
        <v>26.025900688956664</v>
      </c>
    </row>
    <row r="50" spans="1:16" ht="3" customHeight="1">
      <c r="A50" s="443"/>
      <c r="B50" s="422"/>
      <c r="C50" s="422"/>
      <c r="D50" s="422"/>
      <c r="E50" s="422"/>
      <c r="F50" s="422"/>
      <c r="G50" s="422"/>
      <c r="H50" s="422"/>
      <c r="I50" s="422"/>
      <c r="J50" s="423"/>
      <c r="K50" s="423"/>
      <c r="L50" s="423"/>
      <c r="M50" s="424"/>
      <c r="N50" s="425"/>
    </row>
    <row r="51" spans="1:16" ht="18" customHeight="1">
      <c r="A51" s="414" t="s">
        <v>291</v>
      </c>
      <c r="B51" s="444" t="s">
        <v>292</v>
      </c>
      <c r="C51" s="416">
        <f>SUM(C53:C54)</f>
        <v>2559600</v>
      </c>
      <c r="D51" s="416">
        <f>SUM(D52:D54)</f>
        <v>2559600</v>
      </c>
      <c r="E51" s="416">
        <f>SUM(E52:E54)</f>
        <v>511920</v>
      </c>
      <c r="F51" s="416">
        <f>SUM(F53)</f>
        <v>0</v>
      </c>
      <c r="G51" s="416">
        <f>SUM(G53)</f>
        <v>0</v>
      </c>
      <c r="H51" s="526"/>
      <c r="I51" s="416">
        <f>SUM(I53)</f>
        <v>0</v>
      </c>
      <c r="J51" s="416">
        <f t="shared" si="1"/>
        <v>511920</v>
      </c>
      <c r="K51" s="416">
        <f>+K52+K54</f>
        <v>0</v>
      </c>
      <c r="L51" s="416" t="e">
        <f>+#REF!*100/#REF!</f>
        <v>#REF!</v>
      </c>
      <c r="M51" s="417">
        <f t="shared" si="2"/>
        <v>2559600</v>
      </c>
      <c r="N51" s="418">
        <f>G51/E51*100</f>
        <v>0</v>
      </c>
    </row>
    <row r="52" spans="1:16" ht="0.75" customHeight="1">
      <c r="A52" s="219" t="s">
        <v>296</v>
      </c>
      <c r="B52" s="186" t="s">
        <v>162</v>
      </c>
      <c r="C52" s="186" t="s">
        <v>6</v>
      </c>
      <c r="D52" s="186">
        <f>SUM(C52:C52)</f>
        <v>0</v>
      </c>
      <c r="E52" s="186" t="s">
        <v>6</v>
      </c>
      <c r="F52" s="186"/>
      <c r="G52" s="186"/>
      <c r="H52" s="186"/>
      <c r="I52" s="186"/>
      <c r="J52" s="186" t="s">
        <v>6</v>
      </c>
      <c r="K52" s="186">
        <f>+K53+K56</f>
        <v>0</v>
      </c>
      <c r="L52" s="186" t="e">
        <f>+#REF!*100/#REF!</f>
        <v>#REF!</v>
      </c>
      <c r="M52" s="188">
        <f t="shared" si="2"/>
        <v>0</v>
      </c>
      <c r="N52" s="185" t="s">
        <v>6</v>
      </c>
    </row>
    <row r="53" spans="1:16" ht="18" customHeight="1">
      <c r="A53" s="419">
        <v>620</v>
      </c>
      <c r="B53" s="186" t="s">
        <v>367</v>
      </c>
      <c r="C53" s="186">
        <v>2559600</v>
      </c>
      <c r="D53" s="186">
        <f>SUM(C53:C53)</f>
        <v>2559600</v>
      </c>
      <c r="E53" s="186">
        <v>511920</v>
      </c>
      <c r="F53" s="186">
        <v>0</v>
      </c>
      <c r="G53" s="186">
        <f>P53+F53</f>
        <v>0</v>
      </c>
      <c r="H53" s="186"/>
      <c r="I53" s="186" t="s">
        <v>6</v>
      </c>
      <c r="J53" s="186">
        <f t="shared" si="1"/>
        <v>511920</v>
      </c>
      <c r="K53" s="186">
        <f>+K54+K57</f>
        <v>0</v>
      </c>
      <c r="L53" s="186" t="e">
        <f>+#REF!*100/#REF!</f>
        <v>#REF!</v>
      </c>
      <c r="M53" s="188">
        <f t="shared" si="2"/>
        <v>2559600</v>
      </c>
      <c r="N53" s="185">
        <f>G53/E53*100</f>
        <v>0</v>
      </c>
    </row>
    <row r="54" spans="1:16" ht="18" hidden="1" customHeight="1">
      <c r="A54" s="419">
        <v>630</v>
      </c>
      <c r="B54" s="186" t="s">
        <v>420</v>
      </c>
      <c r="C54" s="186">
        <v>0</v>
      </c>
      <c r="D54" s="186">
        <f>SUM(C54:C54)</f>
        <v>0</v>
      </c>
      <c r="E54" s="186">
        <v>0</v>
      </c>
      <c r="F54" s="186"/>
      <c r="G54" s="186"/>
      <c r="H54" s="186"/>
      <c r="I54" s="186"/>
      <c r="J54" s="186">
        <f t="shared" si="1"/>
        <v>0</v>
      </c>
      <c r="K54" s="186">
        <f>+K56+K58</f>
        <v>0</v>
      </c>
      <c r="L54" s="186" t="e">
        <f>+#REF!*100/#REF!</f>
        <v>#REF!</v>
      </c>
      <c r="M54" s="188">
        <f t="shared" si="2"/>
        <v>0</v>
      </c>
      <c r="N54" s="185" t="s">
        <v>6</v>
      </c>
    </row>
    <row r="55" spans="1:16" ht="9.6" customHeight="1">
      <c r="A55" s="435"/>
      <c r="B55" s="422"/>
      <c r="C55" s="423"/>
      <c r="D55" s="423"/>
      <c r="E55" s="423"/>
      <c r="F55" s="423"/>
      <c r="G55" s="423"/>
      <c r="H55" s="423"/>
      <c r="I55" s="423"/>
      <c r="J55" s="423"/>
      <c r="K55" s="423"/>
      <c r="L55" s="423"/>
      <c r="M55" s="424"/>
      <c r="N55" s="425"/>
    </row>
    <row r="56" spans="1:16" ht="19.149999999999999" customHeight="1">
      <c r="A56" s="445" t="s">
        <v>6</v>
      </c>
      <c r="B56" s="446" t="s">
        <v>364</v>
      </c>
      <c r="C56" s="447">
        <f>+C51+C48+C37+C26+C15+C9</f>
        <v>56905194</v>
      </c>
      <c r="D56" s="447">
        <f t="shared" ref="D56:H56" si="8">+D51+D48+D37+D26+D15+D9</f>
        <v>56905194</v>
      </c>
      <c r="E56" s="447">
        <f t="shared" si="8"/>
        <v>12918472</v>
      </c>
      <c r="F56" s="447">
        <f t="shared" si="8"/>
        <v>2470365.14</v>
      </c>
      <c r="G56" s="447">
        <f t="shared" si="8"/>
        <v>2470364.7400000002</v>
      </c>
      <c r="H56" s="447">
        <f t="shared" si="8"/>
        <v>18145.2</v>
      </c>
      <c r="I56" s="447">
        <f>+I51+I48+I37+I26+I15+I9</f>
        <v>1249.5</v>
      </c>
      <c r="J56" s="447">
        <f t="shared" si="1"/>
        <v>10448107.26</v>
      </c>
      <c r="K56" s="447">
        <f>+K57+K59</f>
        <v>0</v>
      </c>
      <c r="L56" s="447" t="e">
        <f>+#REF!*100/#REF!</f>
        <v>#REF!</v>
      </c>
      <c r="M56" s="446">
        <f t="shared" si="2"/>
        <v>54434829.259999998</v>
      </c>
      <c r="N56" s="448">
        <f>G56/E56*100</f>
        <v>19.122731697680656</v>
      </c>
      <c r="P56" s="48"/>
    </row>
    <row r="57" spans="1:16">
      <c r="A57" s="409"/>
      <c r="B57" s="410"/>
      <c r="C57" s="44"/>
      <c r="D57" s="44"/>
      <c r="E57" s="44"/>
      <c r="F57" s="44"/>
      <c r="G57" s="44"/>
      <c r="H57" s="44"/>
      <c r="I57" s="44"/>
      <c r="J57" s="44"/>
      <c r="K57" s="411"/>
      <c r="L57" s="412"/>
      <c r="M57" s="413"/>
      <c r="N57" s="24"/>
    </row>
    <row r="58" spans="1:16">
      <c r="A58" s="10"/>
      <c r="B58" s="12"/>
      <c r="E58" s="1" t="s">
        <v>6</v>
      </c>
      <c r="P58" s="48"/>
    </row>
    <row r="59" spans="1:16">
      <c r="A59" s="10"/>
      <c r="B59" s="12"/>
      <c r="I59" t="s">
        <v>6</v>
      </c>
    </row>
    <row r="60" spans="1:16">
      <c r="B60" s="71">
        <v>0</v>
      </c>
      <c r="C60" s="66" t="s">
        <v>6</v>
      </c>
    </row>
    <row r="61" spans="1:16">
      <c r="B61" s="74"/>
      <c r="C61" s="67"/>
      <c r="D61" s="67"/>
    </row>
    <row r="62" spans="1:16">
      <c r="B62" s="70"/>
      <c r="C62" s="73"/>
    </row>
    <row r="63" spans="1:16">
      <c r="B63" s="72"/>
      <c r="C63" s="69"/>
      <c r="D63" s="69"/>
    </row>
    <row r="64" spans="1:16">
      <c r="B64" s="70"/>
      <c r="C64" s="71"/>
    </row>
    <row r="65" spans="1:4">
      <c r="B65" s="72"/>
      <c r="C65" s="72"/>
      <c r="D65" s="72"/>
    </row>
    <row r="66" spans="1:4">
      <c r="B66" s="70"/>
      <c r="C66" s="68"/>
    </row>
    <row r="67" spans="1:4">
      <c r="B67" s="72"/>
      <c r="C67" s="69"/>
      <c r="D67" s="69"/>
    </row>
    <row r="68" spans="1:4">
      <c r="B68" s="70"/>
      <c r="C68" s="71"/>
    </row>
    <row r="69" spans="1:4">
      <c r="B69" s="72"/>
      <c r="C69" s="72"/>
      <c r="D69" s="72"/>
    </row>
    <row r="70" spans="1:4">
      <c r="B70" s="70"/>
      <c r="C70" s="68"/>
    </row>
    <row r="71" spans="1:4">
      <c r="B71" s="72"/>
      <c r="C71" s="69"/>
      <c r="D71" s="69"/>
    </row>
    <row r="72" spans="1:4">
      <c r="B72" s="70"/>
      <c r="C72" s="71"/>
    </row>
    <row r="73" spans="1:4">
      <c r="B73" s="72"/>
      <c r="C73" s="72"/>
      <c r="D73" s="72"/>
    </row>
    <row r="74" spans="1:4">
      <c r="B74" s="70"/>
      <c r="C74" s="71"/>
    </row>
    <row r="75" spans="1:4">
      <c r="B75" s="72"/>
      <c r="C75" s="72"/>
      <c r="D75" s="72"/>
    </row>
    <row r="76" spans="1:4">
      <c r="B76" s="70"/>
      <c r="C76" s="71"/>
    </row>
    <row r="77" spans="1:4">
      <c r="B77" s="72"/>
      <c r="C77" s="72"/>
      <c r="D77" s="72"/>
    </row>
    <row r="78" spans="1:4">
      <c r="B78" s="70"/>
      <c r="C78" s="71"/>
    </row>
    <row r="79" spans="1:4">
      <c r="A79" s="739"/>
      <c r="B79" s="12"/>
    </row>
    <row r="80" spans="1:4">
      <c r="A80" s="739"/>
      <c r="B80" s="12"/>
    </row>
    <row r="81" spans="1:11">
      <c r="A81" s="10"/>
      <c r="B81" s="12"/>
    </row>
    <row r="82" spans="1:11">
      <c r="A82" s="10"/>
      <c r="B82" s="12"/>
    </row>
    <row r="83" spans="1:11">
      <c r="A83" s="13"/>
      <c r="B83" s="12"/>
    </row>
    <row r="84" spans="1:11">
      <c r="A84" s="13"/>
      <c r="B84" s="12"/>
    </row>
    <row r="85" spans="1:11">
      <c r="A85" s="13"/>
      <c r="B85" s="12"/>
    </row>
    <row r="86" spans="1:11">
      <c r="A86" s="13"/>
      <c r="B86" s="12"/>
    </row>
    <row r="87" spans="1:11" ht="14.25" thickBot="1">
      <c r="A87" s="10"/>
      <c r="B87" s="12"/>
    </row>
    <row r="88" spans="1:11" ht="14.25" thickTop="1">
      <c r="A88" s="10"/>
      <c r="B88" s="75"/>
      <c r="C88" s="14"/>
      <c r="D88" s="9"/>
      <c r="E88" s="9"/>
      <c r="F88" s="9"/>
      <c r="G88" s="9"/>
      <c r="H88" s="9"/>
      <c r="I88" s="9"/>
      <c r="J88" s="9"/>
      <c r="K88" s="11"/>
    </row>
    <row r="89" spans="1:11">
      <c r="A89" s="5"/>
      <c r="B89" s="2"/>
      <c r="C89" s="5"/>
      <c r="D89" s="5"/>
      <c r="E89" s="5"/>
      <c r="F89" s="5"/>
      <c r="G89" s="5"/>
      <c r="H89" s="5"/>
      <c r="I89" s="5"/>
      <c r="J89" s="5"/>
      <c r="K89" s="15"/>
    </row>
    <row r="90" spans="1:11">
      <c r="A90" s="5"/>
      <c r="B90" s="2"/>
      <c r="C90" s="5"/>
      <c r="D90" s="5"/>
      <c r="E90" s="5"/>
      <c r="F90" s="5"/>
      <c r="G90" s="5"/>
      <c r="H90" s="5"/>
      <c r="I90" s="5"/>
      <c r="J90" s="5"/>
      <c r="K90" s="15"/>
    </row>
    <row r="91" spans="1:11">
      <c r="A91" s="5"/>
      <c r="B91" s="2"/>
      <c r="C91" s="5"/>
      <c r="D91" s="5"/>
      <c r="E91" s="5"/>
      <c r="F91" s="5"/>
      <c r="G91" s="5"/>
      <c r="H91" s="5"/>
      <c r="I91" s="5"/>
      <c r="J91" s="5"/>
      <c r="K91" s="15"/>
    </row>
    <row r="92" spans="1:11">
      <c r="A92" s="5"/>
      <c r="B92" s="2"/>
      <c r="C92" s="5"/>
      <c r="D92" s="5"/>
      <c r="E92" s="5"/>
      <c r="F92" s="5"/>
      <c r="G92" s="5"/>
      <c r="H92" s="5"/>
      <c r="I92" s="5"/>
      <c r="J92" s="5"/>
      <c r="K92" s="15"/>
    </row>
    <row r="93" spans="1:11">
      <c r="A93" s="5"/>
      <c r="B93" s="2"/>
      <c r="C93" s="5"/>
      <c r="D93" s="5"/>
      <c r="E93" s="5"/>
      <c r="F93" s="5"/>
      <c r="G93" s="5"/>
      <c r="H93" s="5"/>
      <c r="I93" s="5"/>
      <c r="J93" s="5"/>
      <c r="K93" s="15"/>
    </row>
    <row r="94" spans="1:11">
      <c r="A94" s="5"/>
      <c r="B94" s="2"/>
      <c r="C94" s="5"/>
      <c r="D94" s="5"/>
      <c r="E94" s="5"/>
      <c r="F94" s="5"/>
      <c r="G94" s="5"/>
      <c r="H94" s="5"/>
      <c r="I94" s="5"/>
      <c r="J94" s="5"/>
      <c r="K94" s="15"/>
    </row>
    <row r="95" spans="1:11">
      <c r="A95" s="5"/>
      <c r="B95" s="2"/>
      <c r="C95" s="5"/>
      <c r="D95" s="5"/>
      <c r="E95" s="5"/>
      <c r="F95" s="5"/>
      <c r="G95" s="5"/>
      <c r="H95" s="5"/>
      <c r="I95" s="5"/>
      <c r="J95" s="5"/>
      <c r="K95" s="15"/>
    </row>
    <row r="96" spans="1:11">
      <c r="A96" s="5"/>
      <c r="B96" s="2"/>
      <c r="C96" s="5"/>
      <c r="D96" s="5"/>
      <c r="E96" s="5"/>
      <c r="F96" s="5"/>
      <c r="G96" s="5"/>
      <c r="H96" s="5"/>
      <c r="I96" s="5"/>
      <c r="J96" s="5"/>
      <c r="K96" s="15"/>
    </row>
    <row r="97" spans="1:14">
      <c r="A97" s="5"/>
      <c r="B97" s="2"/>
      <c r="C97" s="5"/>
      <c r="D97" s="5"/>
      <c r="E97" s="5"/>
      <c r="F97" s="5"/>
      <c r="G97" s="5"/>
      <c r="H97" s="5"/>
      <c r="I97" s="5"/>
      <c r="J97" s="5"/>
      <c r="K97" s="15"/>
    </row>
    <row r="98" spans="1:14">
      <c r="A98" s="5"/>
      <c r="B98" s="2"/>
      <c r="C98" s="5"/>
      <c r="D98" s="5"/>
      <c r="E98" s="5"/>
      <c r="F98" s="5"/>
      <c r="G98" s="5"/>
      <c r="H98" s="5"/>
      <c r="I98" s="5"/>
      <c r="J98" s="5"/>
      <c r="K98" s="15"/>
    </row>
    <row r="99" spans="1:14">
      <c r="A99" s="5"/>
      <c r="B99" s="2"/>
      <c r="C99" s="5"/>
      <c r="D99" s="5"/>
      <c r="E99" s="5"/>
      <c r="F99" s="5"/>
      <c r="G99" s="5"/>
      <c r="H99" s="5"/>
      <c r="I99" s="5"/>
      <c r="J99" s="5"/>
      <c r="K99" s="15"/>
    </row>
    <row r="100" spans="1:14">
      <c r="A100" s="5"/>
      <c r="B100" s="2"/>
      <c r="C100" s="5"/>
      <c r="D100" s="5"/>
      <c r="E100" s="5"/>
      <c r="F100" s="5"/>
      <c r="G100" s="5"/>
      <c r="H100" s="5"/>
      <c r="I100" s="5"/>
      <c r="J100" s="5"/>
      <c r="K100" s="15"/>
    </row>
    <row r="101" spans="1:14">
      <c r="A101" s="5"/>
      <c r="B101" s="2"/>
      <c r="C101" s="5"/>
      <c r="D101" s="5"/>
      <c r="E101" s="5"/>
      <c r="F101" s="5"/>
      <c r="G101" s="5"/>
      <c r="H101" s="5"/>
      <c r="I101" s="5"/>
      <c r="J101" s="5"/>
      <c r="K101" s="15"/>
    </row>
    <row r="102" spans="1:14">
      <c r="A102" s="5"/>
      <c r="B102" s="2"/>
      <c r="C102" s="5"/>
      <c r="D102" s="5"/>
      <c r="E102" s="5"/>
      <c r="F102" s="5"/>
      <c r="G102" s="5"/>
      <c r="H102" s="5"/>
      <c r="I102" s="5"/>
      <c r="J102" s="5"/>
      <c r="K102" s="15"/>
    </row>
    <row r="103" spans="1:14">
      <c r="A103" s="5"/>
      <c r="B103" s="2"/>
      <c r="C103" s="5"/>
      <c r="D103" s="5"/>
      <c r="E103" s="5"/>
      <c r="F103" s="5"/>
      <c r="G103" s="5"/>
      <c r="H103" s="5"/>
      <c r="I103" s="5"/>
      <c r="J103" s="5"/>
      <c r="K103" s="15"/>
    </row>
    <row r="104" spans="1:14">
      <c r="A104" s="5"/>
      <c r="B104" s="2"/>
      <c r="C104" s="5"/>
      <c r="D104" s="5"/>
      <c r="E104" s="5"/>
      <c r="F104" s="5"/>
      <c r="G104" s="5"/>
      <c r="H104" s="5"/>
      <c r="I104" s="5"/>
      <c r="J104" s="5"/>
      <c r="K104" s="15"/>
    </row>
    <row r="105" spans="1:14">
      <c r="A105" s="5"/>
      <c r="B105" s="2"/>
      <c r="C105" s="5"/>
      <c r="D105" s="5"/>
      <c r="E105" s="5"/>
      <c r="F105" s="5"/>
      <c r="G105" s="5"/>
      <c r="H105" s="5"/>
      <c r="I105" s="5"/>
      <c r="J105" s="5"/>
      <c r="K105" s="15"/>
    </row>
    <row r="106" spans="1:14">
      <c r="A106" s="5"/>
      <c r="B106" s="2"/>
      <c r="C106" s="5"/>
      <c r="D106" s="5"/>
      <c r="E106" s="5"/>
      <c r="F106" s="5"/>
      <c r="G106" s="5"/>
      <c r="H106" s="5"/>
      <c r="I106" s="5"/>
      <c r="J106" s="5"/>
      <c r="K106" s="15"/>
    </row>
    <row r="107" spans="1:14">
      <c r="A107" s="5"/>
      <c r="B107" s="2"/>
      <c r="C107" s="5"/>
      <c r="D107" s="5"/>
      <c r="E107" s="5"/>
      <c r="F107" s="5"/>
      <c r="G107" s="5"/>
      <c r="H107" s="5"/>
      <c r="I107" s="5"/>
      <c r="J107" s="5"/>
      <c r="K107" s="15"/>
    </row>
    <row r="108" spans="1:14">
      <c r="A108" s="5"/>
      <c r="B108" s="2"/>
      <c r="C108" s="5"/>
      <c r="D108" s="5"/>
      <c r="E108" s="5"/>
      <c r="F108" s="5"/>
      <c r="G108" s="5"/>
      <c r="H108" s="5"/>
      <c r="I108" s="5"/>
      <c r="J108" s="5"/>
      <c r="K108" s="15"/>
    </row>
    <row r="109" spans="1:14">
      <c r="A109" s="5"/>
      <c r="B109" s="2"/>
      <c r="C109" s="5"/>
      <c r="D109" s="5"/>
      <c r="E109" s="5"/>
      <c r="F109" s="5"/>
      <c r="G109" s="5"/>
      <c r="H109" s="5"/>
      <c r="I109" s="5"/>
      <c r="J109" s="5"/>
      <c r="K109" s="15"/>
    </row>
    <row r="110" spans="1:14">
      <c r="A110" s="5"/>
      <c r="B110" s="2"/>
      <c r="C110" s="5"/>
      <c r="D110" s="5"/>
      <c r="E110" s="5"/>
      <c r="F110" s="5"/>
      <c r="G110" s="5"/>
      <c r="H110" s="5"/>
      <c r="I110" s="5"/>
      <c r="J110" s="5"/>
      <c r="K110" s="15"/>
      <c r="L110" s="21"/>
      <c r="M110" s="8" t="s">
        <v>6</v>
      </c>
      <c r="N110" s="17"/>
    </row>
    <row r="111" spans="1:14">
      <c r="A111" s="5"/>
      <c r="B111" s="2"/>
      <c r="C111" s="5"/>
      <c r="D111" s="5"/>
      <c r="E111" s="5"/>
      <c r="F111" s="5"/>
      <c r="G111" s="5"/>
      <c r="H111" s="5"/>
      <c r="I111" s="5"/>
      <c r="J111" s="5"/>
      <c r="K111" s="15"/>
      <c r="L111" s="21"/>
      <c r="M111" s="8" t="s">
        <v>6</v>
      </c>
      <c r="N111" s="17"/>
    </row>
    <row r="112" spans="1:14">
      <c r="A112" s="5"/>
      <c r="B112" s="2"/>
      <c r="C112" s="5"/>
      <c r="D112" s="5"/>
      <c r="E112" s="5"/>
      <c r="F112" s="5"/>
      <c r="G112" s="5"/>
      <c r="H112" s="5"/>
      <c r="I112" s="5"/>
      <c r="J112" s="5"/>
      <c r="K112" s="15"/>
      <c r="L112" s="21"/>
      <c r="M112" s="8" t="s">
        <v>6</v>
      </c>
      <c r="N112" s="17"/>
    </row>
    <row r="113" spans="1:14">
      <c r="A113" s="5"/>
      <c r="B113" s="2"/>
      <c r="C113" s="5"/>
      <c r="D113" s="5"/>
      <c r="E113" s="5"/>
      <c r="F113" s="5"/>
      <c r="G113" s="5"/>
      <c r="H113" s="5"/>
      <c r="I113" s="5"/>
      <c r="J113" s="5"/>
      <c r="K113" s="15"/>
      <c r="L113" s="21"/>
      <c r="M113" s="8" t="s">
        <v>6</v>
      </c>
      <c r="N113" s="17"/>
    </row>
    <row r="114" spans="1:14">
      <c r="A114" s="5"/>
      <c r="B114" s="2"/>
      <c r="C114" s="5"/>
      <c r="D114" s="5"/>
      <c r="E114" s="5"/>
      <c r="F114" s="5"/>
      <c r="G114" s="5"/>
      <c r="H114" s="5"/>
      <c r="I114" s="5"/>
      <c r="J114" s="5"/>
      <c r="K114" s="15"/>
      <c r="L114" s="21"/>
      <c r="M114" s="8" t="s">
        <v>6</v>
      </c>
      <c r="N114" s="17"/>
    </row>
    <row r="115" spans="1:14">
      <c r="A115" s="5"/>
      <c r="B115" s="2"/>
      <c r="C115" s="5"/>
      <c r="D115" s="5"/>
      <c r="E115" s="5"/>
      <c r="F115" s="5"/>
      <c r="G115" s="5"/>
      <c r="H115" s="5"/>
      <c r="I115" s="5"/>
      <c r="J115" s="5"/>
      <c r="K115" s="15"/>
      <c r="L115" s="21"/>
      <c r="M115" s="8" t="s">
        <v>6</v>
      </c>
      <c r="N115" s="17"/>
    </row>
    <row r="116" spans="1:14">
      <c r="A116" s="5"/>
      <c r="B116" s="2"/>
      <c r="C116" s="5"/>
      <c r="D116" s="5"/>
      <c r="E116" s="5"/>
      <c r="F116" s="5"/>
      <c r="G116" s="5"/>
      <c r="H116" s="5"/>
      <c r="I116" s="5"/>
      <c r="J116" s="5"/>
      <c r="K116" s="15"/>
      <c r="L116" s="21"/>
      <c r="M116" s="8" t="s">
        <v>6</v>
      </c>
      <c r="N116" s="17"/>
    </row>
    <row r="117" spans="1:14">
      <c r="A117" s="5"/>
      <c r="B117" s="2"/>
      <c r="C117" s="5"/>
      <c r="D117" s="5"/>
      <c r="E117" s="5"/>
      <c r="F117" s="5"/>
      <c r="G117" s="5"/>
      <c r="H117" s="5"/>
      <c r="I117" s="5"/>
      <c r="J117" s="5"/>
      <c r="K117" s="15"/>
      <c r="L117" s="21"/>
      <c r="M117" s="8" t="s">
        <v>6</v>
      </c>
      <c r="N117" s="17"/>
    </row>
    <row r="118" spans="1:14">
      <c r="A118" s="5"/>
      <c r="B118" s="2"/>
      <c r="C118" s="5"/>
      <c r="D118" s="5"/>
      <c r="E118" s="5"/>
      <c r="F118" s="5"/>
      <c r="G118" s="5"/>
      <c r="H118" s="5"/>
      <c r="I118" s="5"/>
      <c r="J118" s="5"/>
      <c r="K118" s="15"/>
      <c r="L118" s="21"/>
      <c r="M118" s="8" t="s">
        <v>6</v>
      </c>
      <c r="N118" s="17"/>
    </row>
    <row r="119" spans="1:14">
      <c r="A119" s="5"/>
      <c r="B119" s="2"/>
      <c r="C119" s="5"/>
      <c r="D119" s="5"/>
      <c r="E119" s="5"/>
      <c r="F119" s="5"/>
      <c r="G119" s="5"/>
      <c r="H119" s="5"/>
      <c r="I119" s="5"/>
      <c r="J119" s="5"/>
      <c r="K119" s="16"/>
      <c r="L119" s="21"/>
      <c r="M119" s="8" t="s">
        <v>6</v>
      </c>
      <c r="N119" s="17"/>
    </row>
    <row r="120" spans="1:14">
      <c r="A120" s="5"/>
      <c r="B120" s="2"/>
      <c r="C120" s="5"/>
      <c r="D120" s="5"/>
      <c r="E120" s="5"/>
      <c r="F120" s="5"/>
      <c r="G120" s="5"/>
      <c r="H120" s="5"/>
      <c r="I120" s="5"/>
      <c r="J120" s="5"/>
      <c r="K120" s="16"/>
      <c r="L120" s="21"/>
      <c r="M120" s="8" t="s">
        <v>6</v>
      </c>
      <c r="N120" s="17"/>
    </row>
    <row r="121" spans="1:14">
      <c r="A121" s="5"/>
      <c r="B121" s="2"/>
      <c r="C121" s="5"/>
      <c r="D121" s="5"/>
      <c r="E121" s="5"/>
      <c r="F121" s="5"/>
      <c r="G121" s="5"/>
      <c r="H121" s="5"/>
      <c r="I121" s="5"/>
      <c r="J121" s="5"/>
      <c r="K121" s="16"/>
      <c r="L121" s="21"/>
      <c r="M121" s="8" t="s">
        <v>6</v>
      </c>
      <c r="N121" s="17"/>
    </row>
    <row r="122" spans="1:14">
      <c r="A122" s="5"/>
      <c r="B122" s="2"/>
      <c r="C122" s="5"/>
      <c r="D122" s="5"/>
      <c r="E122" s="5"/>
      <c r="F122" s="5"/>
      <c r="G122" s="5"/>
      <c r="H122" s="5"/>
      <c r="I122" s="5"/>
      <c r="J122" s="5"/>
      <c r="K122" s="16"/>
      <c r="L122" s="21"/>
      <c r="M122" s="8" t="s">
        <v>6</v>
      </c>
      <c r="N122" s="17"/>
    </row>
    <row r="123" spans="1:14">
      <c r="A123" s="5"/>
      <c r="B123" s="2"/>
      <c r="C123" s="5"/>
      <c r="D123" s="5"/>
      <c r="E123" s="5"/>
      <c r="F123" s="5"/>
      <c r="G123" s="5"/>
      <c r="H123" s="5"/>
      <c r="I123" s="5"/>
      <c r="J123" s="5"/>
      <c r="K123" s="16"/>
      <c r="L123" s="21"/>
      <c r="M123" s="8" t="s">
        <v>6</v>
      </c>
      <c r="N123" s="17"/>
    </row>
    <row r="124" spans="1:14">
      <c r="A124" s="5"/>
      <c r="B124" s="2"/>
      <c r="C124" s="5"/>
      <c r="D124" s="5"/>
      <c r="E124" s="5"/>
      <c r="F124" s="5"/>
      <c r="G124" s="5"/>
      <c r="H124" s="5"/>
      <c r="I124" s="5"/>
      <c r="J124" s="5"/>
      <c r="K124" s="16"/>
      <c r="L124" s="21"/>
      <c r="M124" s="8" t="s">
        <v>6</v>
      </c>
      <c r="N124" s="17"/>
    </row>
    <row r="125" spans="1:14">
      <c r="A125" s="5"/>
      <c r="B125" s="2"/>
      <c r="C125" s="5"/>
      <c r="D125" s="5"/>
      <c r="E125" s="5"/>
      <c r="F125" s="5"/>
      <c r="G125" s="5"/>
      <c r="H125" s="5"/>
      <c r="I125" s="5"/>
      <c r="J125" s="5"/>
      <c r="K125" s="16"/>
      <c r="L125" s="21"/>
      <c r="M125" s="8" t="s">
        <v>6</v>
      </c>
      <c r="N125" s="17"/>
    </row>
    <row r="126" spans="1:14">
      <c r="B126" s="12"/>
      <c r="K126" s="8"/>
      <c r="L126" s="22"/>
      <c r="M126" s="8" t="s">
        <v>6</v>
      </c>
      <c r="N126" s="17"/>
    </row>
    <row r="127" spans="1:14">
      <c r="B127" s="12"/>
      <c r="K127" s="8"/>
      <c r="L127" s="22"/>
      <c r="M127" s="8" t="s">
        <v>6</v>
      </c>
      <c r="N127" s="17"/>
    </row>
    <row r="128" spans="1:14">
      <c r="B128" s="12"/>
      <c r="K128" s="8"/>
      <c r="L128" s="22"/>
      <c r="M128" s="8" t="s">
        <v>6</v>
      </c>
      <c r="N128" s="17"/>
    </row>
    <row r="129" spans="2:14">
      <c r="B129" s="12"/>
      <c r="K129" s="8"/>
      <c r="L129" s="22"/>
      <c r="M129" s="8" t="s">
        <v>6</v>
      </c>
      <c r="N129" s="17"/>
    </row>
    <row r="130" spans="2:14">
      <c r="B130" s="12"/>
      <c r="K130" s="8"/>
      <c r="L130" s="22"/>
      <c r="M130" s="8" t="s">
        <v>6</v>
      </c>
      <c r="N130" s="17"/>
    </row>
    <row r="131" spans="2:14">
      <c r="B131" s="12"/>
      <c r="K131" s="8"/>
      <c r="L131" s="22"/>
      <c r="M131" s="8" t="s">
        <v>6</v>
      </c>
      <c r="N131" s="17"/>
    </row>
    <row r="132" spans="2:14">
      <c r="B132" s="12"/>
      <c r="K132" s="8"/>
      <c r="L132" s="22"/>
      <c r="M132" s="8" t="s">
        <v>6</v>
      </c>
      <c r="N132" s="17"/>
    </row>
    <row r="133" spans="2:14">
      <c r="B133" s="12"/>
      <c r="K133" s="8"/>
      <c r="L133" s="22"/>
      <c r="M133" s="8" t="s">
        <v>6</v>
      </c>
      <c r="N133" s="17"/>
    </row>
    <row r="134" spans="2:14">
      <c r="B134" s="12"/>
      <c r="K134" s="8"/>
      <c r="L134" s="22"/>
      <c r="M134" s="8" t="s">
        <v>6</v>
      </c>
      <c r="N134" s="17"/>
    </row>
    <row r="135" spans="2:14">
      <c r="B135" s="12"/>
      <c r="K135" s="8"/>
      <c r="L135" s="22"/>
      <c r="M135" s="8" t="s">
        <v>6</v>
      </c>
      <c r="N135" s="17"/>
    </row>
    <row r="136" spans="2:14">
      <c r="B136" s="12"/>
      <c r="K136" s="8"/>
      <c r="L136" s="22"/>
      <c r="M136" s="8" t="s">
        <v>6</v>
      </c>
      <c r="N136" s="17"/>
    </row>
    <row r="137" spans="2:14">
      <c r="B137" s="12"/>
      <c r="K137" s="8"/>
      <c r="L137" s="22"/>
      <c r="M137" s="8" t="s">
        <v>6</v>
      </c>
      <c r="N137" s="17"/>
    </row>
    <row r="138" spans="2:14">
      <c r="B138" s="12"/>
      <c r="K138" s="8"/>
      <c r="L138" s="22"/>
      <c r="M138" s="8" t="s">
        <v>6</v>
      </c>
      <c r="N138" s="17"/>
    </row>
    <row r="139" spans="2:14">
      <c r="B139" s="12"/>
      <c r="K139" s="8"/>
      <c r="L139" s="22"/>
      <c r="M139" s="8" t="s">
        <v>6</v>
      </c>
      <c r="N139" s="17"/>
    </row>
    <row r="140" spans="2:14">
      <c r="B140" s="12"/>
      <c r="K140" s="8"/>
      <c r="L140" s="22"/>
      <c r="M140" s="8" t="s">
        <v>6</v>
      </c>
      <c r="N140" s="17"/>
    </row>
    <row r="141" spans="2:14">
      <c r="B141" s="12"/>
      <c r="K141" s="8"/>
      <c r="L141" s="22"/>
      <c r="M141" s="8" t="s">
        <v>6</v>
      </c>
      <c r="N141" s="17"/>
    </row>
    <row r="142" spans="2:14">
      <c r="B142" s="12"/>
      <c r="K142" s="8"/>
      <c r="L142" s="22"/>
      <c r="M142" s="8" t="s">
        <v>6</v>
      </c>
      <c r="N142" s="17"/>
    </row>
    <row r="143" spans="2:14">
      <c r="B143" s="12"/>
      <c r="K143" s="8"/>
      <c r="L143" s="22"/>
      <c r="M143" s="8" t="s">
        <v>6</v>
      </c>
      <c r="N143" s="17"/>
    </row>
    <row r="144" spans="2:14">
      <c r="B144" s="12"/>
      <c r="K144" s="8"/>
      <c r="L144" s="22"/>
      <c r="M144" s="8" t="s">
        <v>6</v>
      </c>
      <c r="N144" s="17"/>
    </row>
    <row r="145" spans="2:14">
      <c r="B145" s="12"/>
      <c r="K145" s="8"/>
      <c r="L145" s="22"/>
      <c r="M145" s="8" t="s">
        <v>6</v>
      </c>
      <c r="N145" s="18"/>
    </row>
    <row r="146" spans="2:14">
      <c r="B146" s="12"/>
      <c r="K146" s="8"/>
      <c r="L146" s="22"/>
      <c r="M146" s="8" t="s">
        <v>6</v>
      </c>
      <c r="N146" s="18"/>
    </row>
    <row r="147" spans="2:14">
      <c r="B147" s="12"/>
      <c r="K147" s="8"/>
      <c r="L147" s="22"/>
      <c r="M147" s="8" t="s">
        <v>6</v>
      </c>
      <c r="N147" s="18"/>
    </row>
    <row r="148" spans="2:14">
      <c r="B148" s="12"/>
      <c r="K148" s="8"/>
      <c r="L148" s="22"/>
      <c r="M148" s="8" t="s">
        <v>6</v>
      </c>
      <c r="N148" s="18"/>
    </row>
    <row r="149" spans="2:14">
      <c r="B149" s="12"/>
      <c r="K149" s="8"/>
      <c r="L149" s="22"/>
      <c r="M149" s="8" t="s">
        <v>6</v>
      </c>
      <c r="N149" s="18"/>
    </row>
    <row r="150" spans="2:14">
      <c r="B150" s="12"/>
      <c r="K150" s="8"/>
      <c r="L150" s="22"/>
      <c r="M150" s="8" t="s">
        <v>6</v>
      </c>
      <c r="N150" s="18"/>
    </row>
    <row r="151" spans="2:14">
      <c r="B151" s="12"/>
      <c r="K151" s="8"/>
      <c r="L151" s="22"/>
      <c r="M151" s="8" t="s">
        <v>6</v>
      </c>
      <c r="N151" s="18"/>
    </row>
    <row r="152" spans="2:14">
      <c r="B152" s="12"/>
      <c r="K152" s="8"/>
      <c r="L152" s="22"/>
      <c r="M152" s="8" t="s">
        <v>6</v>
      </c>
      <c r="N152" s="18"/>
    </row>
    <row r="153" spans="2:14">
      <c r="B153" s="12"/>
      <c r="K153" s="8"/>
      <c r="L153" s="22"/>
      <c r="M153" s="8" t="s">
        <v>6</v>
      </c>
      <c r="N153" s="18"/>
    </row>
    <row r="154" spans="2:14">
      <c r="B154" s="12"/>
      <c r="K154" s="8"/>
      <c r="L154" s="22"/>
      <c r="M154" s="8" t="s">
        <v>6</v>
      </c>
      <c r="N154" s="18"/>
    </row>
    <row r="155" spans="2:14">
      <c r="B155" s="12"/>
      <c r="K155" s="8"/>
      <c r="L155" s="22"/>
      <c r="M155" s="8" t="s">
        <v>6</v>
      </c>
      <c r="N155" s="18"/>
    </row>
    <row r="156" spans="2:14">
      <c r="B156" s="12"/>
      <c r="K156" s="8"/>
      <c r="L156" s="22"/>
      <c r="M156" s="8" t="s">
        <v>6</v>
      </c>
      <c r="N156" s="18"/>
    </row>
    <row r="157" spans="2:14">
      <c r="B157" s="12"/>
      <c r="K157" s="8"/>
      <c r="L157" s="22"/>
      <c r="M157" s="8" t="s">
        <v>6</v>
      </c>
      <c r="N157" s="18"/>
    </row>
    <row r="158" spans="2:14">
      <c r="B158" s="12"/>
      <c r="K158" s="8"/>
      <c r="L158" s="22"/>
      <c r="M158" s="8" t="s">
        <v>6</v>
      </c>
      <c r="N158" s="18"/>
    </row>
    <row r="159" spans="2:14">
      <c r="B159" s="12"/>
      <c r="K159" s="8"/>
      <c r="L159" s="22"/>
      <c r="M159" s="8" t="s">
        <v>6</v>
      </c>
      <c r="N159" s="18"/>
    </row>
    <row r="160" spans="2:14">
      <c r="B160" s="12"/>
      <c r="K160" s="8"/>
      <c r="L160" s="22"/>
      <c r="M160" s="8" t="s">
        <v>6</v>
      </c>
      <c r="N160" s="18"/>
    </row>
    <row r="161" spans="2:14">
      <c r="B161" s="12"/>
      <c r="K161" s="8"/>
      <c r="L161" s="22"/>
      <c r="M161" s="8" t="s">
        <v>6</v>
      </c>
      <c r="N161" s="18"/>
    </row>
    <row r="162" spans="2:14">
      <c r="B162" s="12"/>
      <c r="K162" s="8"/>
      <c r="L162" s="22"/>
      <c r="M162" s="8" t="s">
        <v>6</v>
      </c>
      <c r="N162" s="18"/>
    </row>
    <row r="163" spans="2:14">
      <c r="B163" s="12"/>
      <c r="K163" s="8"/>
      <c r="L163" s="22"/>
      <c r="M163" s="8" t="s">
        <v>6</v>
      </c>
      <c r="N163" s="18"/>
    </row>
    <row r="164" spans="2:14">
      <c r="B164" s="12"/>
      <c r="K164" s="8"/>
      <c r="L164" s="22"/>
      <c r="M164" s="8" t="s">
        <v>6</v>
      </c>
      <c r="N164" s="18"/>
    </row>
    <row r="165" spans="2:14">
      <c r="B165" s="12"/>
      <c r="K165" s="8"/>
      <c r="L165" s="22"/>
      <c r="M165" s="8" t="s">
        <v>6</v>
      </c>
      <c r="N165" s="18"/>
    </row>
    <row r="166" spans="2:14">
      <c r="B166" s="12"/>
      <c r="K166" s="8"/>
      <c r="L166" s="22"/>
      <c r="M166" s="8" t="s">
        <v>6</v>
      </c>
      <c r="N166" s="18"/>
    </row>
    <row r="167" spans="2:14">
      <c r="B167" s="12"/>
      <c r="K167" s="8"/>
      <c r="L167" s="22"/>
      <c r="M167" s="8" t="s">
        <v>6</v>
      </c>
      <c r="N167" s="18"/>
    </row>
    <row r="168" spans="2:14">
      <c r="B168" s="12"/>
      <c r="K168" s="8"/>
      <c r="L168" s="22"/>
      <c r="M168" s="8" t="s">
        <v>6</v>
      </c>
      <c r="N168" s="18"/>
    </row>
    <row r="169" spans="2:14">
      <c r="B169" s="12"/>
      <c r="K169" s="8"/>
      <c r="L169" s="22"/>
      <c r="M169" s="8" t="s">
        <v>6</v>
      </c>
      <c r="N169" s="18"/>
    </row>
    <row r="170" spans="2:14">
      <c r="B170" s="12"/>
      <c r="K170" s="8"/>
      <c r="L170" s="22"/>
      <c r="M170" s="8" t="s">
        <v>6</v>
      </c>
      <c r="N170" s="18"/>
    </row>
    <row r="171" spans="2:14">
      <c r="B171" s="12"/>
      <c r="K171" s="8"/>
      <c r="L171" s="22"/>
      <c r="M171" s="8" t="s">
        <v>6</v>
      </c>
      <c r="N171" s="18"/>
    </row>
    <row r="172" spans="2:14">
      <c r="B172" s="12"/>
      <c r="K172" s="8"/>
      <c r="L172" s="22"/>
      <c r="M172" s="8" t="s">
        <v>6</v>
      </c>
      <c r="N172" s="18"/>
    </row>
    <row r="173" spans="2:14">
      <c r="B173" s="12"/>
      <c r="K173" s="8"/>
      <c r="L173" s="22"/>
      <c r="M173" s="8" t="s">
        <v>6</v>
      </c>
      <c r="N173" s="18"/>
    </row>
    <row r="174" spans="2:14">
      <c r="B174" s="12"/>
      <c r="K174" s="8"/>
      <c r="L174" s="22"/>
      <c r="M174" s="8" t="s">
        <v>6</v>
      </c>
      <c r="N174" s="18"/>
    </row>
    <row r="175" spans="2:14">
      <c r="B175" s="12"/>
      <c r="K175" s="8"/>
      <c r="L175" s="22"/>
      <c r="M175" s="8" t="s">
        <v>6</v>
      </c>
      <c r="N175" s="18"/>
    </row>
    <row r="176" spans="2:14">
      <c r="B176" s="12"/>
      <c r="K176" s="8"/>
      <c r="L176" s="22"/>
      <c r="M176" s="8" t="s">
        <v>6</v>
      </c>
      <c r="N176" s="18"/>
    </row>
    <row r="177" spans="2:14">
      <c r="B177" s="12"/>
      <c r="K177" s="8"/>
      <c r="L177" s="22"/>
      <c r="M177" s="8" t="s">
        <v>6</v>
      </c>
      <c r="N177" s="18"/>
    </row>
    <row r="178" spans="2:14">
      <c r="B178" s="12"/>
      <c r="K178" s="8"/>
      <c r="L178" s="22"/>
      <c r="M178" s="8" t="s">
        <v>6</v>
      </c>
      <c r="N178" s="18"/>
    </row>
    <row r="179" spans="2:14">
      <c r="B179" s="12"/>
      <c r="K179" s="8"/>
      <c r="L179" s="22"/>
      <c r="M179" s="8" t="s">
        <v>6</v>
      </c>
      <c r="N179" s="18"/>
    </row>
    <row r="180" spans="2:14">
      <c r="B180" s="12"/>
      <c r="K180" s="8"/>
      <c r="L180" s="22"/>
      <c r="M180" s="8" t="s">
        <v>6</v>
      </c>
      <c r="N180" s="18"/>
    </row>
    <row r="181" spans="2:14">
      <c r="B181" s="12"/>
      <c r="K181" s="8"/>
      <c r="L181" s="22"/>
      <c r="M181" s="8" t="s">
        <v>6</v>
      </c>
      <c r="N181" s="18"/>
    </row>
    <row r="182" spans="2:14">
      <c r="B182" s="12"/>
      <c r="K182" s="8"/>
      <c r="L182" s="22"/>
      <c r="M182" s="8" t="s">
        <v>6</v>
      </c>
      <c r="N182" s="18"/>
    </row>
    <row r="183" spans="2:14">
      <c r="B183" s="12"/>
      <c r="K183" s="8"/>
      <c r="L183" s="22"/>
      <c r="M183" s="8" t="s">
        <v>6</v>
      </c>
      <c r="N183" s="18"/>
    </row>
    <row r="184" spans="2:14">
      <c r="B184" s="12"/>
      <c r="K184" s="8"/>
      <c r="L184" s="22"/>
      <c r="M184" s="8" t="s">
        <v>6</v>
      </c>
      <c r="N184" s="18"/>
    </row>
    <row r="185" spans="2:14">
      <c r="B185" s="12"/>
      <c r="K185" s="8"/>
      <c r="L185" s="22"/>
      <c r="M185" s="8" t="s">
        <v>6</v>
      </c>
      <c r="N185" s="18"/>
    </row>
    <row r="186" spans="2:14">
      <c r="B186" s="12"/>
      <c r="K186" s="8"/>
      <c r="L186" s="22"/>
      <c r="M186" s="8" t="s">
        <v>6</v>
      </c>
      <c r="N186" s="18"/>
    </row>
    <row r="187" spans="2:14">
      <c r="B187" s="12"/>
      <c r="K187" s="8"/>
      <c r="L187" s="22"/>
      <c r="M187" s="8" t="s">
        <v>6</v>
      </c>
      <c r="N187" s="18"/>
    </row>
    <row r="188" spans="2:14">
      <c r="B188" s="12"/>
      <c r="K188" s="8"/>
      <c r="L188" s="22"/>
      <c r="M188" s="8" t="s">
        <v>6</v>
      </c>
      <c r="N188" s="18"/>
    </row>
    <row r="189" spans="2:14">
      <c r="B189" s="12"/>
      <c r="K189" s="8"/>
      <c r="L189" s="22"/>
      <c r="M189" s="8" t="s">
        <v>6</v>
      </c>
      <c r="N189" s="18"/>
    </row>
    <row r="190" spans="2:14">
      <c r="B190" s="12"/>
      <c r="K190" s="8"/>
      <c r="L190" s="22"/>
      <c r="M190" s="8" t="s">
        <v>6</v>
      </c>
      <c r="N190" s="18"/>
    </row>
    <row r="191" spans="2:14">
      <c r="B191" s="12"/>
      <c r="K191" s="8"/>
      <c r="L191" s="22"/>
      <c r="M191" s="8" t="s">
        <v>6</v>
      </c>
      <c r="N191" s="18"/>
    </row>
    <row r="192" spans="2:14">
      <c r="B192" s="12"/>
      <c r="K192" s="8"/>
      <c r="L192" s="22"/>
      <c r="M192" s="8" t="s">
        <v>6</v>
      </c>
      <c r="N192" s="18"/>
    </row>
    <row r="193" spans="2:14">
      <c r="B193" s="12"/>
      <c r="K193" s="8"/>
      <c r="L193" s="22"/>
      <c r="M193" s="8" t="s">
        <v>6</v>
      </c>
      <c r="N193" s="18"/>
    </row>
    <row r="194" spans="2:14">
      <c r="B194" s="12"/>
      <c r="K194" s="8"/>
      <c r="L194" s="22"/>
      <c r="M194" s="8" t="s">
        <v>6</v>
      </c>
      <c r="N194" s="18"/>
    </row>
    <row r="195" spans="2:14">
      <c r="B195" s="12"/>
      <c r="K195" s="8"/>
      <c r="L195" s="22"/>
      <c r="M195" s="8" t="s">
        <v>6</v>
      </c>
      <c r="N195" s="18"/>
    </row>
    <row r="196" spans="2:14">
      <c r="B196" s="12"/>
      <c r="K196" s="8"/>
      <c r="L196" s="22"/>
      <c r="M196" s="8" t="s">
        <v>6</v>
      </c>
      <c r="N196" s="18"/>
    </row>
    <row r="197" spans="2:14">
      <c r="B197" s="12"/>
      <c r="K197" s="8"/>
      <c r="L197" s="22"/>
      <c r="M197" s="8" t="s">
        <v>6</v>
      </c>
      <c r="N197" s="18"/>
    </row>
    <row r="198" spans="2:14">
      <c r="B198" s="12"/>
      <c r="K198" s="8"/>
      <c r="L198" s="22"/>
      <c r="M198" s="8" t="s">
        <v>6</v>
      </c>
      <c r="N198" s="18"/>
    </row>
    <row r="199" spans="2:14">
      <c r="B199" s="12"/>
      <c r="K199" s="8"/>
      <c r="L199" s="22"/>
      <c r="M199" s="8" t="s">
        <v>6</v>
      </c>
      <c r="N199" s="18"/>
    </row>
    <row r="200" spans="2:14">
      <c r="B200" s="12"/>
      <c r="K200" s="8"/>
      <c r="L200" s="22"/>
      <c r="M200" s="8" t="s">
        <v>6</v>
      </c>
      <c r="N200" s="18"/>
    </row>
    <row r="201" spans="2:14">
      <c r="B201" s="12"/>
      <c r="K201" s="8"/>
      <c r="L201" s="22"/>
      <c r="M201" s="8" t="s">
        <v>6</v>
      </c>
      <c r="N201" s="18"/>
    </row>
    <row r="202" spans="2:14">
      <c r="B202" s="12"/>
      <c r="K202" s="8"/>
      <c r="L202" s="22"/>
      <c r="M202" s="8" t="s">
        <v>6</v>
      </c>
      <c r="N202" s="18"/>
    </row>
    <row r="203" spans="2:14">
      <c r="B203" s="12"/>
      <c r="K203" s="8"/>
      <c r="L203" s="22"/>
      <c r="M203" s="8" t="s">
        <v>6</v>
      </c>
      <c r="N203" s="18"/>
    </row>
    <row r="204" spans="2:14">
      <c r="B204" s="12"/>
      <c r="K204" s="8"/>
      <c r="L204" s="22"/>
      <c r="M204" s="8" t="s">
        <v>6</v>
      </c>
      <c r="N204" s="18"/>
    </row>
    <row r="205" spans="2:14">
      <c r="B205" s="12"/>
      <c r="K205" s="8"/>
      <c r="L205" s="22"/>
      <c r="M205" s="8" t="s">
        <v>6</v>
      </c>
      <c r="N205" s="18"/>
    </row>
    <row r="206" spans="2:14">
      <c r="B206" s="12"/>
      <c r="K206" s="8"/>
      <c r="L206" s="22"/>
      <c r="M206" s="8" t="s">
        <v>6</v>
      </c>
      <c r="N206" s="18"/>
    </row>
    <row r="207" spans="2:14">
      <c r="B207" s="12"/>
      <c r="K207" s="8"/>
      <c r="L207" s="22"/>
      <c r="M207" s="8" t="s">
        <v>6</v>
      </c>
      <c r="N207" s="18"/>
    </row>
    <row r="208" spans="2:14">
      <c r="B208" s="12"/>
      <c r="K208" s="8"/>
      <c r="L208" s="22"/>
      <c r="M208" s="8" t="s">
        <v>6</v>
      </c>
      <c r="N208" s="18"/>
    </row>
    <row r="209" spans="2:14">
      <c r="B209" s="12"/>
      <c r="K209" s="8"/>
      <c r="L209" s="22"/>
      <c r="M209" s="8" t="s">
        <v>6</v>
      </c>
      <c r="N209" s="18"/>
    </row>
    <row r="210" spans="2:14">
      <c r="B210" s="12"/>
      <c r="K210" s="8"/>
      <c r="L210" s="22"/>
      <c r="M210" s="8" t="s">
        <v>6</v>
      </c>
      <c r="N210" s="8"/>
    </row>
    <row r="211" spans="2:14">
      <c r="B211" s="12"/>
      <c r="K211" s="8"/>
      <c r="L211" s="22"/>
      <c r="M211" s="8" t="s">
        <v>6</v>
      </c>
      <c r="N211" s="8"/>
    </row>
    <row r="212" spans="2:14">
      <c r="B212" s="12"/>
      <c r="K212" s="8"/>
      <c r="L212" s="22"/>
      <c r="M212" s="8" t="s">
        <v>6</v>
      </c>
      <c r="N212" s="8"/>
    </row>
    <row r="213" spans="2:14">
      <c r="B213" s="12"/>
      <c r="K213" s="8"/>
      <c r="L213" s="22"/>
      <c r="M213" s="8" t="s">
        <v>6</v>
      </c>
      <c r="N213" s="8"/>
    </row>
    <row r="214" spans="2:14">
      <c r="B214" s="12"/>
      <c r="K214" s="8"/>
      <c r="L214" s="22"/>
      <c r="M214" s="8" t="s">
        <v>6</v>
      </c>
      <c r="N214" s="8"/>
    </row>
    <row r="215" spans="2:14">
      <c r="B215" s="12"/>
      <c r="K215" s="8"/>
      <c r="L215" s="22"/>
      <c r="M215" s="8" t="s">
        <v>6</v>
      </c>
      <c r="N215" s="8"/>
    </row>
    <row r="216" spans="2:14">
      <c r="B216" s="12"/>
      <c r="K216" s="8"/>
      <c r="L216" s="22"/>
      <c r="M216" s="8" t="s">
        <v>6</v>
      </c>
      <c r="N216" s="8"/>
    </row>
    <row r="217" spans="2:14">
      <c r="B217" s="12"/>
      <c r="K217" s="8"/>
      <c r="L217" s="22"/>
      <c r="M217" s="8" t="s">
        <v>6</v>
      </c>
      <c r="N217" s="8"/>
    </row>
    <row r="218" spans="2:14">
      <c r="B218" s="12"/>
      <c r="K218" s="8"/>
      <c r="L218" s="22"/>
      <c r="M218" s="8" t="s">
        <v>6</v>
      </c>
      <c r="N218" s="8"/>
    </row>
    <row r="219" spans="2:14">
      <c r="B219" s="12"/>
      <c r="K219" s="8"/>
      <c r="L219" s="22"/>
      <c r="M219" s="8" t="s">
        <v>6</v>
      </c>
      <c r="N219" s="8"/>
    </row>
    <row r="220" spans="2:14">
      <c r="B220" s="12"/>
      <c r="K220" s="8"/>
      <c r="L220" s="22"/>
      <c r="M220" s="8" t="s">
        <v>6</v>
      </c>
      <c r="N220" s="8"/>
    </row>
    <row r="221" spans="2:14">
      <c r="B221" s="12"/>
      <c r="K221" s="8"/>
      <c r="L221" s="22"/>
      <c r="M221" s="8" t="s">
        <v>6</v>
      </c>
      <c r="N221" s="8"/>
    </row>
    <row r="222" spans="2:14">
      <c r="B222" s="12"/>
      <c r="K222" s="8"/>
      <c r="L222" s="22"/>
      <c r="M222" s="8" t="s">
        <v>6</v>
      </c>
      <c r="N222" s="8"/>
    </row>
    <row r="223" spans="2:14">
      <c r="B223" s="12"/>
      <c r="K223" s="8"/>
      <c r="L223" s="22"/>
      <c r="M223" s="8" t="s">
        <v>6</v>
      </c>
      <c r="N223" s="8"/>
    </row>
    <row r="224" spans="2:14">
      <c r="B224" s="12"/>
      <c r="K224" s="8"/>
      <c r="L224" s="22"/>
      <c r="M224" s="8" t="s">
        <v>6</v>
      </c>
      <c r="N224" s="8"/>
    </row>
    <row r="225" spans="2:14">
      <c r="B225" s="12"/>
      <c r="K225" s="8"/>
      <c r="L225" s="22"/>
      <c r="M225" s="8" t="s">
        <v>6</v>
      </c>
      <c r="N225" s="8"/>
    </row>
    <row r="226" spans="2:14">
      <c r="B226" s="12"/>
      <c r="K226" s="8"/>
      <c r="L226" s="22"/>
      <c r="M226" s="8" t="s">
        <v>6</v>
      </c>
      <c r="N226" s="8"/>
    </row>
    <row r="227" spans="2:14">
      <c r="B227" s="12"/>
      <c r="K227" s="8"/>
      <c r="L227" s="22"/>
      <c r="M227" s="8" t="s">
        <v>6</v>
      </c>
      <c r="N227" s="8"/>
    </row>
    <row r="228" spans="2:14">
      <c r="B228" s="12"/>
      <c r="K228" s="8"/>
      <c r="L228" s="22"/>
      <c r="M228" s="8" t="s">
        <v>6</v>
      </c>
      <c r="N228" s="8"/>
    </row>
    <row r="229" spans="2:14">
      <c r="B229" s="12"/>
      <c r="K229" s="8"/>
      <c r="L229" s="22"/>
      <c r="M229" s="8" t="s">
        <v>6</v>
      </c>
      <c r="N229" s="8"/>
    </row>
    <row r="230" spans="2:14">
      <c r="B230" s="12"/>
      <c r="K230" s="8"/>
      <c r="L230" s="22"/>
      <c r="M230" s="8" t="s">
        <v>6</v>
      </c>
      <c r="N230" s="8"/>
    </row>
    <row r="231" spans="2:14">
      <c r="B231" s="12"/>
      <c r="K231" s="8"/>
      <c r="L231" s="22"/>
      <c r="M231" s="8" t="s">
        <v>6</v>
      </c>
      <c r="N231" s="8"/>
    </row>
    <row r="232" spans="2:14">
      <c r="B232" s="12"/>
      <c r="K232" s="8"/>
      <c r="L232" s="22"/>
      <c r="M232" s="8" t="s">
        <v>6</v>
      </c>
      <c r="N232" s="8"/>
    </row>
    <row r="233" spans="2:14">
      <c r="B233" s="12"/>
      <c r="K233" s="8"/>
      <c r="L233" s="22"/>
      <c r="M233" s="8" t="s">
        <v>6</v>
      </c>
      <c r="N233" s="8"/>
    </row>
    <row r="234" spans="2:14">
      <c r="B234" s="12"/>
      <c r="K234" s="8"/>
      <c r="L234" s="22"/>
      <c r="M234" s="8" t="s">
        <v>6</v>
      </c>
      <c r="N234" s="8"/>
    </row>
    <row r="235" spans="2:14">
      <c r="B235" s="12"/>
      <c r="K235" s="8"/>
      <c r="L235" s="22"/>
      <c r="M235" s="8" t="s">
        <v>6</v>
      </c>
      <c r="N235" s="8"/>
    </row>
    <row r="236" spans="2:14">
      <c r="B236" s="12"/>
      <c r="K236" s="8"/>
      <c r="L236" s="22"/>
      <c r="M236" s="8" t="s">
        <v>6</v>
      </c>
      <c r="N236" s="8"/>
    </row>
    <row r="237" spans="2:14">
      <c r="B237" s="12"/>
      <c r="K237" s="8"/>
      <c r="L237" s="22"/>
      <c r="M237" s="8" t="s">
        <v>6</v>
      </c>
      <c r="N237" s="8"/>
    </row>
    <row r="238" spans="2:14">
      <c r="B238" s="12"/>
      <c r="K238" s="8"/>
      <c r="L238" s="22"/>
      <c r="M238" s="8" t="s">
        <v>6</v>
      </c>
      <c r="N238" s="8"/>
    </row>
    <row r="239" spans="2:14">
      <c r="B239" s="12"/>
      <c r="K239" s="8"/>
      <c r="L239" s="22"/>
      <c r="M239" s="8" t="s">
        <v>6</v>
      </c>
      <c r="N239" s="8"/>
    </row>
    <row r="240" spans="2:14">
      <c r="B240" s="12"/>
      <c r="K240" s="8"/>
      <c r="L240" s="22"/>
      <c r="M240" s="8" t="s">
        <v>6</v>
      </c>
      <c r="N240" s="8"/>
    </row>
    <row r="241" spans="2:14">
      <c r="B241" s="12"/>
      <c r="K241" s="8"/>
      <c r="L241" s="22"/>
      <c r="M241" s="8" t="s">
        <v>6</v>
      </c>
      <c r="N241" s="8"/>
    </row>
    <row r="242" spans="2:14">
      <c r="B242" s="12"/>
      <c r="K242" s="8"/>
      <c r="L242" s="22"/>
      <c r="M242" s="8" t="s">
        <v>6</v>
      </c>
      <c r="N242" s="8"/>
    </row>
    <row r="243" spans="2:14">
      <c r="B243" s="12"/>
      <c r="K243" s="8"/>
      <c r="L243" s="22"/>
      <c r="M243" s="8" t="s">
        <v>6</v>
      </c>
      <c r="N243" s="8"/>
    </row>
    <row r="244" spans="2:14">
      <c r="B244" s="12"/>
      <c r="K244" s="8"/>
      <c r="L244" s="22"/>
      <c r="M244" s="8" t="s">
        <v>6</v>
      </c>
      <c r="N244" s="8"/>
    </row>
    <row r="245" spans="2:14">
      <c r="B245" s="12"/>
      <c r="K245" s="8"/>
      <c r="L245" s="22"/>
      <c r="M245" s="8" t="s">
        <v>6</v>
      </c>
      <c r="N245" s="8"/>
    </row>
    <row r="246" spans="2:14">
      <c r="B246" s="12"/>
      <c r="K246" s="8"/>
      <c r="L246" s="22"/>
      <c r="M246" s="8" t="s">
        <v>6</v>
      </c>
      <c r="N246" s="8"/>
    </row>
    <row r="247" spans="2:14">
      <c r="B247" s="12"/>
      <c r="K247" s="8"/>
      <c r="L247" s="22"/>
      <c r="M247" s="8" t="s">
        <v>6</v>
      </c>
      <c r="N247" s="8"/>
    </row>
    <row r="248" spans="2:14">
      <c r="B248" s="12"/>
      <c r="K248" s="8"/>
      <c r="L248" s="22"/>
      <c r="M248" s="8" t="s">
        <v>6</v>
      </c>
      <c r="N248" s="8"/>
    </row>
    <row r="249" spans="2:14">
      <c r="B249" s="12"/>
      <c r="K249" s="8"/>
      <c r="L249" s="22"/>
      <c r="M249" s="8" t="s">
        <v>6</v>
      </c>
      <c r="N249" s="8"/>
    </row>
    <row r="250" spans="2:14">
      <c r="B250" s="12"/>
      <c r="K250" s="8"/>
      <c r="L250" s="22"/>
      <c r="M250" s="8" t="s">
        <v>6</v>
      </c>
      <c r="N250" s="8"/>
    </row>
    <row r="251" spans="2:14">
      <c r="B251" s="12"/>
      <c r="K251" s="8"/>
      <c r="L251" s="22"/>
      <c r="M251" s="8" t="s">
        <v>6</v>
      </c>
      <c r="N251" s="8"/>
    </row>
    <row r="252" spans="2:14">
      <c r="B252" s="12"/>
      <c r="K252" s="8"/>
      <c r="L252" s="22"/>
      <c r="M252" s="8" t="s">
        <v>6</v>
      </c>
      <c r="N252" s="8"/>
    </row>
    <row r="253" spans="2:14">
      <c r="B253" s="12"/>
      <c r="K253" s="8"/>
      <c r="L253" s="22"/>
      <c r="M253" s="8" t="s">
        <v>6</v>
      </c>
      <c r="N253" s="8"/>
    </row>
    <row r="254" spans="2:14">
      <c r="B254" s="12"/>
      <c r="K254" s="8"/>
      <c r="L254" s="22"/>
      <c r="M254" s="8" t="s">
        <v>6</v>
      </c>
      <c r="N254" s="8"/>
    </row>
    <row r="255" spans="2:14">
      <c r="B255" s="12"/>
      <c r="K255" s="8"/>
      <c r="L255" s="22"/>
      <c r="M255" s="8" t="s">
        <v>6</v>
      </c>
      <c r="N255" s="8"/>
    </row>
    <row r="256" spans="2:14">
      <c r="B256" s="12"/>
      <c r="K256" s="8"/>
      <c r="L256" s="22"/>
      <c r="M256" s="8" t="s">
        <v>6</v>
      </c>
      <c r="N256" s="8"/>
    </row>
    <row r="257" spans="2:14">
      <c r="B257" s="12"/>
      <c r="K257" s="8"/>
      <c r="L257" s="22"/>
      <c r="M257" s="8" t="s">
        <v>6</v>
      </c>
      <c r="N257" s="8"/>
    </row>
    <row r="258" spans="2:14">
      <c r="B258" s="12"/>
      <c r="K258" s="8"/>
      <c r="L258" s="22"/>
      <c r="M258" s="8" t="s">
        <v>6</v>
      </c>
      <c r="N258" s="8"/>
    </row>
    <row r="259" spans="2:14">
      <c r="B259" s="12"/>
      <c r="K259" s="8"/>
      <c r="L259" s="22"/>
      <c r="M259" s="8" t="s">
        <v>6</v>
      </c>
      <c r="N259" s="8"/>
    </row>
    <row r="260" spans="2:14">
      <c r="B260" s="12"/>
      <c r="K260" s="8"/>
      <c r="L260" s="22"/>
      <c r="M260" s="8" t="s">
        <v>6</v>
      </c>
      <c r="N260" s="8"/>
    </row>
    <row r="261" spans="2:14">
      <c r="B261" s="12"/>
      <c r="K261" s="8"/>
      <c r="L261" s="22"/>
      <c r="M261" s="8" t="s">
        <v>6</v>
      </c>
      <c r="N261" s="8"/>
    </row>
    <row r="262" spans="2:14">
      <c r="B262" s="12"/>
      <c r="K262" s="8"/>
      <c r="L262" s="22"/>
      <c r="M262" s="8" t="s">
        <v>6</v>
      </c>
      <c r="N262" s="8"/>
    </row>
    <row r="263" spans="2:14">
      <c r="B263" s="12"/>
      <c r="K263" s="8"/>
      <c r="L263" s="22"/>
      <c r="M263" s="8" t="s">
        <v>6</v>
      </c>
      <c r="N263" s="8"/>
    </row>
    <row r="264" spans="2:14">
      <c r="B264" s="12"/>
      <c r="K264" s="8"/>
      <c r="L264" s="22"/>
      <c r="M264" s="8" t="s">
        <v>6</v>
      </c>
      <c r="N264" s="8"/>
    </row>
    <row r="265" spans="2:14">
      <c r="B265" s="12"/>
      <c r="K265" s="8"/>
      <c r="L265" s="22"/>
      <c r="M265" s="8" t="s">
        <v>6</v>
      </c>
      <c r="N265" s="8"/>
    </row>
    <row r="266" spans="2:14">
      <c r="B266" s="12"/>
      <c r="K266" s="8"/>
      <c r="L266" s="22"/>
      <c r="M266" s="8" t="s">
        <v>6</v>
      </c>
      <c r="N266" s="8"/>
    </row>
    <row r="267" spans="2:14">
      <c r="B267" s="12"/>
      <c r="K267" s="8"/>
      <c r="L267" s="22"/>
      <c r="M267" s="8" t="s">
        <v>6</v>
      </c>
      <c r="N267" s="8"/>
    </row>
    <row r="268" spans="2:14">
      <c r="B268" s="12"/>
      <c r="K268" s="8"/>
      <c r="L268" s="22"/>
      <c r="M268" s="8" t="s">
        <v>6</v>
      </c>
      <c r="N268" s="8"/>
    </row>
    <row r="269" spans="2:14">
      <c r="B269" s="12"/>
      <c r="K269" s="8"/>
      <c r="L269" s="22"/>
      <c r="M269" s="8" t="s">
        <v>6</v>
      </c>
      <c r="N269" s="8"/>
    </row>
    <row r="270" spans="2:14">
      <c r="B270" s="12"/>
      <c r="K270" s="8"/>
      <c r="L270" s="22"/>
      <c r="M270" s="8" t="s">
        <v>6</v>
      </c>
      <c r="N270" s="8"/>
    </row>
    <row r="271" spans="2:14">
      <c r="B271" s="12"/>
      <c r="K271" s="8"/>
      <c r="L271" s="22"/>
      <c r="M271" s="8" t="s">
        <v>6</v>
      </c>
      <c r="N271" s="8"/>
    </row>
    <row r="272" spans="2:14">
      <c r="B272" s="12"/>
      <c r="K272" s="8"/>
      <c r="L272" s="22"/>
      <c r="M272" s="8" t="s">
        <v>6</v>
      </c>
      <c r="N272" s="8"/>
    </row>
    <row r="273" spans="2:14">
      <c r="B273" s="12"/>
      <c r="K273" s="8"/>
      <c r="L273" s="22"/>
      <c r="M273" s="8" t="s">
        <v>6</v>
      </c>
      <c r="N273" s="8"/>
    </row>
    <row r="274" spans="2:14">
      <c r="B274" s="12"/>
      <c r="K274" s="8"/>
      <c r="L274" s="22"/>
      <c r="M274" s="8" t="s">
        <v>6</v>
      </c>
      <c r="N274" s="8"/>
    </row>
    <row r="275" spans="2:14">
      <c r="B275" s="12"/>
      <c r="K275" s="8"/>
      <c r="L275" s="22"/>
      <c r="M275" s="8" t="s">
        <v>6</v>
      </c>
      <c r="N275" s="8"/>
    </row>
    <row r="276" spans="2:14">
      <c r="B276" s="12"/>
      <c r="K276" s="8"/>
      <c r="L276" s="22"/>
      <c r="M276" s="8" t="s">
        <v>6</v>
      </c>
      <c r="N276" s="8"/>
    </row>
    <row r="277" spans="2:14">
      <c r="B277" s="12"/>
    </row>
    <row r="278" spans="2:14">
      <c r="B278" s="12"/>
    </row>
    <row r="279" spans="2:14">
      <c r="B279" s="12"/>
    </row>
    <row r="280" spans="2:14">
      <c r="B280" s="12"/>
    </row>
    <row r="281" spans="2:14">
      <c r="B281" s="12"/>
    </row>
    <row r="282" spans="2:14">
      <c r="B282" s="12"/>
    </row>
    <row r="283" spans="2:14">
      <c r="B283" s="12"/>
    </row>
    <row r="284" spans="2:14">
      <c r="B284" s="12"/>
    </row>
    <row r="285" spans="2:14">
      <c r="B285" s="12"/>
    </row>
    <row r="286" spans="2:14">
      <c r="B286" s="12"/>
    </row>
    <row r="287" spans="2:14">
      <c r="B287" s="12"/>
    </row>
    <row r="288" spans="2:14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</sheetData>
  <mergeCells count="13">
    <mergeCell ref="J7:M8"/>
    <mergeCell ref="A1:N1"/>
    <mergeCell ref="A2:N2"/>
    <mergeCell ref="A79:A80"/>
    <mergeCell ref="I7:I8"/>
    <mergeCell ref="N7:N8"/>
    <mergeCell ref="B7:B8"/>
    <mergeCell ref="A7:A8"/>
    <mergeCell ref="A3:N3"/>
    <mergeCell ref="A4:N4"/>
    <mergeCell ref="H7:H8"/>
    <mergeCell ref="C7:E7"/>
    <mergeCell ref="G7:G8"/>
  </mergeCells>
  <pageMargins left="0.19685039370078741" right="0" top="1.1417322834645669" bottom="0.74803149606299213" header="0.31496062992125984" footer="0.31496062992125984"/>
  <pageSetup scale="75" orientation="portrait" r:id="rId1"/>
  <ignoredErrors>
    <ignoredError sqref="H9:H10 D37 N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>
    <tabColor theme="6" tint="0.39997558519241921"/>
  </sheetPr>
  <dimension ref="A1:N127"/>
  <sheetViews>
    <sheetView showGridLines="0" showZeros="0" workbookViewId="0">
      <selection activeCell="B3" sqref="B3:I3"/>
    </sheetView>
  </sheetViews>
  <sheetFormatPr baseColWidth="10" defaultColWidth="11" defaultRowHeight="12.75"/>
  <cols>
    <col min="1" max="1" width="14.85546875" style="3" customWidth="1"/>
    <col min="2" max="2" width="37.140625" style="24" customWidth="1"/>
    <col min="3" max="4" width="12.85546875" style="24" customWidth="1"/>
    <col min="5" max="5" width="11" style="24" customWidth="1"/>
    <col min="6" max="6" width="10.140625" style="24" customWidth="1"/>
    <col min="7" max="7" width="11.85546875" style="24" customWidth="1"/>
    <col min="8" max="8" width="13" style="24" customWidth="1"/>
    <col min="9" max="9" width="12.140625" style="3" customWidth="1"/>
    <col min="10" max="10" width="10.7109375" style="3" hidden="1" customWidth="1"/>
    <col min="11" max="16384" width="11" style="3"/>
  </cols>
  <sheetData>
    <row r="1" spans="1:14" ht="21.75" customHeight="1">
      <c r="B1" s="606" t="s">
        <v>404</v>
      </c>
      <c r="C1" s="606"/>
      <c r="D1" s="606"/>
      <c r="E1" s="606"/>
      <c r="F1" s="606"/>
      <c r="G1" s="606"/>
      <c r="H1" s="606"/>
      <c r="I1" s="606"/>
      <c r="J1" s="36"/>
      <c r="K1" s="36"/>
      <c r="L1" s="36"/>
      <c r="M1" s="36"/>
      <c r="N1" s="36"/>
    </row>
    <row r="2" spans="1:14" ht="18" customHeight="1">
      <c r="B2" s="606" t="s">
        <v>405</v>
      </c>
      <c r="C2" s="606"/>
      <c r="D2" s="606"/>
      <c r="E2" s="606"/>
      <c r="F2" s="606"/>
      <c r="G2" s="606"/>
      <c r="H2" s="606"/>
      <c r="I2" s="606"/>
      <c r="J2" s="36"/>
      <c r="K2" s="36"/>
      <c r="L2" s="36"/>
      <c r="M2" s="36"/>
      <c r="N2" s="36"/>
    </row>
    <row r="3" spans="1:14" ht="18">
      <c r="B3" s="607" t="s">
        <v>585</v>
      </c>
      <c r="C3" s="607"/>
      <c r="D3" s="607"/>
      <c r="E3" s="607"/>
      <c r="F3" s="607"/>
      <c r="G3" s="607"/>
      <c r="H3" s="607"/>
      <c r="I3" s="607"/>
    </row>
    <row r="4" spans="1:14" ht="20.25" customHeight="1">
      <c r="B4" s="607" t="s">
        <v>542</v>
      </c>
      <c r="C4" s="607"/>
      <c r="D4" s="607"/>
      <c r="E4" s="607"/>
      <c r="F4" s="607"/>
      <c r="G4" s="607"/>
      <c r="H4" s="607"/>
      <c r="I4" s="607"/>
    </row>
    <row r="5" spans="1:14" ht="9.75" customHeight="1">
      <c r="B5" s="37"/>
      <c r="C5" s="37"/>
      <c r="D5" s="37"/>
      <c r="E5" s="37"/>
      <c r="F5" s="37"/>
      <c r="G5" s="37"/>
      <c r="I5" s="24" t="s">
        <v>6</v>
      </c>
    </row>
    <row r="6" spans="1:14" ht="24" customHeight="1">
      <c r="A6" s="604" t="s">
        <v>468</v>
      </c>
      <c r="B6" s="608" t="s">
        <v>0</v>
      </c>
      <c r="C6" s="612" t="s">
        <v>33</v>
      </c>
      <c r="D6" s="613"/>
      <c r="E6" s="614"/>
      <c r="F6" s="610" t="s">
        <v>37</v>
      </c>
      <c r="G6" s="610"/>
      <c r="H6" s="611" t="s">
        <v>1</v>
      </c>
      <c r="I6" s="611"/>
    </row>
    <row r="7" spans="1:14" ht="18" customHeight="1">
      <c r="A7" s="605"/>
      <c r="B7" s="609"/>
      <c r="C7" s="558" t="s">
        <v>85</v>
      </c>
      <c r="D7" s="559" t="s">
        <v>11</v>
      </c>
      <c r="E7" s="560" t="s">
        <v>2</v>
      </c>
      <c r="F7" s="561" t="s">
        <v>38</v>
      </c>
      <c r="G7" s="562" t="s">
        <v>3</v>
      </c>
      <c r="H7" s="585" t="s">
        <v>4</v>
      </c>
      <c r="I7" s="563" t="s">
        <v>390</v>
      </c>
    </row>
    <row r="8" spans="1:14" ht="8.25" customHeight="1">
      <c r="A8" s="475"/>
      <c r="B8" s="198" t="s">
        <v>6</v>
      </c>
      <c r="C8" s="198"/>
      <c r="D8" s="186"/>
      <c r="E8" s="218"/>
      <c r="F8" s="186"/>
      <c r="G8" s="186"/>
      <c r="H8" s="219"/>
      <c r="I8" s="197"/>
    </row>
    <row r="9" spans="1:14" ht="21.75" customHeight="1">
      <c r="A9" s="475"/>
      <c r="B9" s="199" t="s">
        <v>7</v>
      </c>
      <c r="C9" s="487">
        <f>+C11+C34</f>
        <v>198000000</v>
      </c>
      <c r="D9" s="200">
        <f>+D11+D34</f>
        <v>198000000</v>
      </c>
      <c r="E9" s="200">
        <f>+E11+E34</f>
        <v>25641329</v>
      </c>
      <c r="F9" s="200">
        <f>+F11+F34</f>
        <v>1540702.04</v>
      </c>
      <c r="G9" s="200">
        <f>K9+F9</f>
        <v>1540702.04</v>
      </c>
      <c r="H9" s="201">
        <f>+G9-E9</f>
        <v>-24100626.960000001</v>
      </c>
      <c r="I9" s="202">
        <f>+G9/E9*100</f>
        <v>6.0086668674622912</v>
      </c>
      <c r="J9" s="486">
        <v>75497138.540000007</v>
      </c>
      <c r="K9" s="76"/>
    </row>
    <row r="10" spans="1:14" ht="9.9499999999999993" customHeight="1">
      <c r="A10" s="475"/>
      <c r="B10" s="199"/>
      <c r="C10" s="487"/>
      <c r="D10" s="203"/>
      <c r="E10" s="203"/>
      <c r="F10" s="203"/>
      <c r="G10" s="203"/>
      <c r="H10" s="204"/>
      <c r="I10" s="205"/>
      <c r="J10" s="487"/>
    </row>
    <row r="11" spans="1:14" ht="21" customHeight="1">
      <c r="A11" s="206" t="s">
        <v>487</v>
      </c>
      <c r="B11" s="206" t="s">
        <v>48</v>
      </c>
      <c r="C11" s="490">
        <f t="shared" ref="C11:G11" si="0">+C13</f>
        <v>141094806</v>
      </c>
      <c r="D11" s="203">
        <f t="shared" si="0"/>
        <v>141094806</v>
      </c>
      <c r="E11" s="203">
        <f t="shared" si="0"/>
        <v>14395977</v>
      </c>
      <c r="F11" s="203">
        <f t="shared" si="0"/>
        <v>1120702.04</v>
      </c>
      <c r="G11" s="203">
        <f t="shared" si="0"/>
        <v>1120702.04</v>
      </c>
      <c r="H11" s="201">
        <f t="shared" ref="H11:H45" si="1">+G11-E11</f>
        <v>-13275274.960000001</v>
      </c>
      <c r="I11" s="202">
        <f>+G11/E11*100</f>
        <v>7.7848279418618134</v>
      </c>
      <c r="J11" s="487">
        <v>61441687.539999999</v>
      </c>
    </row>
    <row r="12" spans="1:14" ht="9.9499999999999993" customHeight="1">
      <c r="A12" s="475"/>
      <c r="B12" s="207"/>
      <c r="C12" s="530"/>
      <c r="D12" s="208"/>
      <c r="E12" s="189" t="s">
        <v>6</v>
      </c>
      <c r="F12" s="189"/>
      <c r="G12" s="189"/>
      <c r="H12" s="196"/>
      <c r="I12" s="209" t="s">
        <v>6</v>
      </c>
      <c r="J12" s="488"/>
    </row>
    <row r="13" spans="1:14" ht="21" customHeight="1">
      <c r="A13" s="206" t="s">
        <v>470</v>
      </c>
      <c r="B13" s="199" t="s">
        <v>488</v>
      </c>
      <c r="C13" s="487">
        <f>+C15+C21+C26+C31</f>
        <v>141094806</v>
      </c>
      <c r="D13" s="203">
        <f>+D15+D21+D26+D31</f>
        <v>141094806</v>
      </c>
      <c r="E13" s="203">
        <f>+E15+E21+E26+E31</f>
        <v>14395977</v>
      </c>
      <c r="F13" s="203">
        <f>+F15+F21+F26+F31</f>
        <v>1120702.04</v>
      </c>
      <c r="G13" s="203">
        <f>K13+F13</f>
        <v>1120702.04</v>
      </c>
      <c r="H13" s="201">
        <f t="shared" si="1"/>
        <v>-13275274.960000001</v>
      </c>
      <c r="I13" s="202">
        <f>+G13/E13*100</f>
        <v>7.7848279418618134</v>
      </c>
      <c r="J13" s="487">
        <v>61441685.539999999</v>
      </c>
      <c r="K13" s="473"/>
      <c r="L13" s="4"/>
    </row>
    <row r="14" spans="1:14" ht="9.9499999999999993" customHeight="1">
      <c r="A14" s="206"/>
      <c r="B14" s="210"/>
      <c r="C14" s="488"/>
      <c r="D14" s="189"/>
      <c r="E14" s="189"/>
      <c r="F14" s="189"/>
      <c r="G14" s="189" t="s">
        <v>6</v>
      </c>
      <c r="H14" s="196" t="s">
        <v>6</v>
      </c>
      <c r="I14" s="209" t="s">
        <v>6</v>
      </c>
      <c r="J14" s="488" t="s">
        <v>6</v>
      </c>
      <c r="K14" s="4"/>
      <c r="L14" s="4"/>
    </row>
    <row r="15" spans="1:14" ht="21" customHeight="1">
      <c r="A15" s="206" t="s">
        <v>469</v>
      </c>
      <c r="B15" s="199" t="s">
        <v>574</v>
      </c>
      <c r="C15" s="487">
        <f>+C17</f>
        <v>5476492</v>
      </c>
      <c r="D15" s="203">
        <f>SUM(D18:D19)</f>
        <v>5476492</v>
      </c>
      <c r="E15" s="203">
        <f>E17</f>
        <v>376766</v>
      </c>
      <c r="F15" s="203">
        <f>SUM(F18:F19)</f>
        <v>300142.82999999996</v>
      </c>
      <c r="G15" s="203">
        <f>G17</f>
        <v>300142.82999999996</v>
      </c>
      <c r="H15" s="201">
        <f t="shared" si="1"/>
        <v>-76623.170000000042</v>
      </c>
      <c r="I15" s="202">
        <f>+G15/E15*100</f>
        <v>79.662928714374431</v>
      </c>
      <c r="J15" s="487">
        <v>1159789.3700000001</v>
      </c>
      <c r="K15" s="4"/>
      <c r="L15" s="4"/>
    </row>
    <row r="16" spans="1:14" ht="11.45" customHeight="1">
      <c r="A16" s="206"/>
      <c r="B16" s="199"/>
      <c r="C16" s="487"/>
      <c r="D16" s="189"/>
      <c r="E16" s="203"/>
      <c r="F16" s="203"/>
      <c r="G16" s="203"/>
      <c r="H16" s="201"/>
      <c r="I16" s="202"/>
      <c r="J16" s="487"/>
      <c r="K16" s="4"/>
      <c r="L16" s="4"/>
    </row>
    <row r="17" spans="1:10" ht="19.149999999999999" customHeight="1">
      <c r="A17" s="206" t="s">
        <v>495</v>
      </c>
      <c r="B17" s="476" t="s">
        <v>553</v>
      </c>
      <c r="C17" s="531">
        <f>+C18+C19</f>
        <v>5476492</v>
      </c>
      <c r="D17" s="203">
        <f>+D18+D19</f>
        <v>5476492</v>
      </c>
      <c r="E17" s="203">
        <f>SUM(E18:E19)</f>
        <v>376766</v>
      </c>
      <c r="F17" s="203">
        <f>SUM(F18:F19)</f>
        <v>300142.82999999996</v>
      </c>
      <c r="G17" s="211">
        <f>K17+F17</f>
        <v>300142.82999999996</v>
      </c>
      <c r="H17" s="201">
        <f t="shared" si="1"/>
        <v>-76623.170000000042</v>
      </c>
      <c r="I17" s="209">
        <f>+G17/E17*100</f>
        <v>79.662928714374431</v>
      </c>
      <c r="J17" s="489">
        <v>1159789.3700000001</v>
      </c>
    </row>
    <row r="18" spans="1:10" ht="24.95" customHeight="1">
      <c r="A18" s="207" t="s">
        <v>545</v>
      </c>
      <c r="B18" s="210" t="s">
        <v>489</v>
      </c>
      <c r="C18" s="488">
        <v>700000</v>
      </c>
      <c r="D18" s="189">
        <v>700000</v>
      </c>
      <c r="E18" s="189">
        <v>58333</v>
      </c>
      <c r="F18" s="190">
        <v>211312.3</v>
      </c>
      <c r="G18" s="190">
        <f>F18+K18</f>
        <v>211312.3</v>
      </c>
      <c r="H18" s="196">
        <f t="shared" si="1"/>
        <v>152979.29999999999</v>
      </c>
      <c r="I18" s="209">
        <f>+G18/E18*100</f>
        <v>362.25172715272657</v>
      </c>
      <c r="J18" s="489">
        <v>812835</v>
      </c>
    </row>
    <row r="19" spans="1:10" ht="24.95" customHeight="1">
      <c r="A19" s="207" t="s">
        <v>471</v>
      </c>
      <c r="B19" s="210" t="s">
        <v>552</v>
      </c>
      <c r="C19" s="488">
        <v>4776492</v>
      </c>
      <c r="D19" s="189">
        <v>4776492</v>
      </c>
      <c r="E19" s="189">
        <v>318433</v>
      </c>
      <c r="F19" s="190">
        <v>88830.53</v>
      </c>
      <c r="G19" s="190">
        <f>K19+F19</f>
        <v>88830.53</v>
      </c>
      <c r="H19" s="196">
        <f t="shared" si="1"/>
        <v>-229602.47</v>
      </c>
      <c r="I19" s="209">
        <f>+G19/E19*100</f>
        <v>27.896144557881879</v>
      </c>
      <c r="J19" s="489">
        <v>346954.02</v>
      </c>
    </row>
    <row r="20" spans="1:10" ht="9.9499999999999993" customHeight="1">
      <c r="A20" s="206"/>
      <c r="B20" s="210" t="s">
        <v>6</v>
      </c>
      <c r="C20" s="488"/>
      <c r="D20" s="189" t="s">
        <v>6</v>
      </c>
      <c r="E20" s="189"/>
      <c r="F20" s="189"/>
      <c r="G20" s="189"/>
      <c r="H20" s="196"/>
      <c r="I20" s="209" t="s">
        <v>6</v>
      </c>
      <c r="J20" s="488"/>
    </row>
    <row r="21" spans="1:10" ht="24.95" customHeight="1">
      <c r="A21" s="206" t="s">
        <v>472</v>
      </c>
      <c r="B21" s="199" t="s">
        <v>473</v>
      </c>
      <c r="C21" s="487">
        <f>+C23</f>
        <v>127866634</v>
      </c>
      <c r="D21" s="203">
        <f>SUM(D23:D23)</f>
        <v>127866634</v>
      </c>
      <c r="E21" s="203">
        <f>SUM(E23)</f>
        <v>13488927</v>
      </c>
      <c r="F21" s="203">
        <f>F23</f>
        <v>0</v>
      </c>
      <c r="G21" s="211">
        <f>G23</f>
        <v>0</v>
      </c>
      <c r="H21" s="201">
        <f t="shared" si="1"/>
        <v>-13488927</v>
      </c>
      <c r="I21" s="202">
        <f>+G21/E21*100</f>
        <v>0</v>
      </c>
      <c r="J21" s="490">
        <v>56768724</v>
      </c>
    </row>
    <row r="22" spans="1:10" ht="5.25" customHeight="1">
      <c r="A22" s="206"/>
      <c r="B22" s="210"/>
      <c r="C22" s="488"/>
      <c r="D22" s="189"/>
      <c r="E22" s="189"/>
      <c r="F22" s="189"/>
      <c r="G22" s="190">
        <f>F22</f>
        <v>0</v>
      </c>
      <c r="H22" s="196">
        <f t="shared" si="1"/>
        <v>0</v>
      </c>
      <c r="I22" s="209" t="s">
        <v>6</v>
      </c>
      <c r="J22" s="489">
        <v>0</v>
      </c>
    </row>
    <row r="23" spans="1:10" ht="24.75" customHeight="1">
      <c r="A23" s="206" t="s">
        <v>572</v>
      </c>
      <c r="B23" s="199" t="s">
        <v>575</v>
      </c>
      <c r="C23" s="487">
        <f>+C25</f>
        <v>127866634</v>
      </c>
      <c r="D23" s="203">
        <f>+D25</f>
        <v>127866634</v>
      </c>
      <c r="E23" s="203">
        <f>E25</f>
        <v>13488927</v>
      </c>
      <c r="F23" s="203">
        <f>F25</f>
        <v>0</v>
      </c>
      <c r="G23" s="211">
        <f>G25</f>
        <v>0</v>
      </c>
      <c r="H23" s="201">
        <f t="shared" si="1"/>
        <v>-13488927</v>
      </c>
      <c r="I23" s="202">
        <f>+G23/E23*100</f>
        <v>0</v>
      </c>
      <c r="J23" s="490">
        <v>56768724</v>
      </c>
    </row>
    <row r="24" spans="1:10" ht="10.15" customHeight="1">
      <c r="A24" s="206"/>
      <c r="B24" s="210"/>
      <c r="C24" s="488"/>
      <c r="D24" s="189"/>
      <c r="E24" s="189"/>
      <c r="F24" s="189"/>
      <c r="G24" s="190">
        <f>F24</f>
        <v>0</v>
      </c>
      <c r="H24" s="196">
        <f t="shared" si="1"/>
        <v>0</v>
      </c>
      <c r="I24" s="209" t="s">
        <v>6</v>
      </c>
      <c r="J24" s="489">
        <v>0</v>
      </c>
    </row>
    <row r="25" spans="1:10" ht="22.15" customHeight="1">
      <c r="A25" s="207" t="s">
        <v>474</v>
      </c>
      <c r="B25" s="210" t="s">
        <v>576</v>
      </c>
      <c r="C25" s="488">
        <v>127866634</v>
      </c>
      <c r="D25" s="189">
        <v>127866634</v>
      </c>
      <c r="E25" s="189">
        <v>13488927</v>
      </c>
      <c r="F25" s="189">
        <v>0</v>
      </c>
      <c r="G25" s="190">
        <f>K25+F25</f>
        <v>0</v>
      </c>
      <c r="H25" s="196">
        <f>G25-E25</f>
        <v>-13488927</v>
      </c>
      <c r="I25" s="209">
        <f>+G25/E25*100</f>
        <v>0</v>
      </c>
      <c r="J25" s="489">
        <v>56768724</v>
      </c>
    </row>
    <row r="26" spans="1:10" ht="24.95" customHeight="1">
      <c r="A26" s="206" t="s">
        <v>475</v>
      </c>
      <c r="B26" s="199" t="s">
        <v>8</v>
      </c>
      <c r="C26" s="487">
        <f>+C27+C28+C29</f>
        <v>5251680</v>
      </c>
      <c r="D26" s="203">
        <f>SUM(D27:D29)</f>
        <v>5251680</v>
      </c>
      <c r="E26" s="203">
        <f>SUM(E27:E29)</f>
        <v>363617</v>
      </c>
      <c r="F26" s="203">
        <f>F27+F28+F29</f>
        <v>764413.89</v>
      </c>
      <c r="G26" s="203">
        <f>K26+F26</f>
        <v>764413.89</v>
      </c>
      <c r="H26" s="201">
        <f t="shared" si="1"/>
        <v>400796.89</v>
      </c>
      <c r="I26" s="202">
        <f>+G26/E26*100</f>
        <v>210.22501423200785</v>
      </c>
      <c r="J26" s="487">
        <f>SUM(J27:J29)</f>
        <v>1454633.7</v>
      </c>
    </row>
    <row r="27" spans="1:10" ht="24.95" customHeight="1">
      <c r="A27" s="207" t="s">
        <v>476</v>
      </c>
      <c r="B27" s="210" t="s">
        <v>578</v>
      </c>
      <c r="C27" s="488">
        <v>410082</v>
      </c>
      <c r="D27" s="189">
        <v>410082</v>
      </c>
      <c r="E27" s="189">
        <v>34173</v>
      </c>
      <c r="F27" s="189">
        <v>119543.24</v>
      </c>
      <c r="G27" s="189">
        <f>F27+K27</f>
        <v>119543.24</v>
      </c>
      <c r="H27" s="196">
        <f>+G27-E27</f>
        <v>85370.240000000005</v>
      </c>
      <c r="I27" s="209">
        <f>+G27/E27*100</f>
        <v>349.8178093816756</v>
      </c>
      <c r="J27" s="488">
        <v>134752.51999999999</v>
      </c>
    </row>
    <row r="28" spans="1:10" ht="24.95" customHeight="1">
      <c r="A28" s="207" t="s">
        <v>478</v>
      </c>
      <c r="B28" s="210" t="s">
        <v>577</v>
      </c>
      <c r="C28" s="488">
        <v>4774884</v>
      </c>
      <c r="D28" s="189">
        <v>4774884</v>
      </c>
      <c r="E28" s="189">
        <v>318326</v>
      </c>
      <c r="F28" s="189">
        <f>625753.65+9656.6</f>
        <v>635410.25</v>
      </c>
      <c r="G28" s="189">
        <f>K28+F28+1</f>
        <v>635411.25</v>
      </c>
      <c r="H28" s="196">
        <f>+G28-E28</f>
        <v>317085.25</v>
      </c>
      <c r="I28" s="209">
        <f>+G28/E28*100</f>
        <v>199.61022662302167</v>
      </c>
      <c r="J28" s="488">
        <v>1318519.98</v>
      </c>
    </row>
    <row r="29" spans="1:10" ht="24.95" customHeight="1">
      <c r="A29" s="207" t="s">
        <v>477</v>
      </c>
      <c r="B29" s="210" t="s">
        <v>579</v>
      </c>
      <c r="C29" s="488">
        <v>66714</v>
      </c>
      <c r="D29" s="189">
        <v>66714</v>
      </c>
      <c r="E29" s="189">
        <v>11118</v>
      </c>
      <c r="F29" s="212">
        <v>9460.4</v>
      </c>
      <c r="G29" s="189">
        <f>K29+F29</f>
        <v>9460.4</v>
      </c>
      <c r="H29" s="196">
        <f t="shared" si="1"/>
        <v>-1657.6000000000004</v>
      </c>
      <c r="I29" s="209">
        <f>+G29/E29*100</f>
        <v>85.090843676920301</v>
      </c>
      <c r="J29" s="488">
        <v>1361.2</v>
      </c>
    </row>
    <row r="30" spans="1:10" ht="9.9499999999999993" customHeight="1">
      <c r="A30" s="206" t="s">
        <v>6</v>
      </c>
      <c r="B30" s="210"/>
      <c r="C30" s="488"/>
      <c r="D30" s="189"/>
      <c r="E30" s="189"/>
      <c r="F30" s="189"/>
      <c r="G30" s="189">
        <f>F30</f>
        <v>0</v>
      </c>
      <c r="H30" s="196">
        <f t="shared" si="1"/>
        <v>0</v>
      </c>
      <c r="I30" s="209" t="s">
        <v>6</v>
      </c>
      <c r="J30" s="488">
        <v>0</v>
      </c>
    </row>
    <row r="31" spans="1:10" ht="24.95" customHeight="1">
      <c r="A31" s="206" t="s">
        <v>479</v>
      </c>
      <c r="B31" s="199" t="s">
        <v>9</v>
      </c>
      <c r="C31" s="487">
        <f>+C32</f>
        <v>2500000</v>
      </c>
      <c r="D31" s="203">
        <f>SUM(D32)</f>
        <v>2500000</v>
      </c>
      <c r="E31" s="203">
        <f>SUM(E32)</f>
        <v>166667</v>
      </c>
      <c r="F31" s="203">
        <f>F32</f>
        <v>56145.32</v>
      </c>
      <c r="G31" s="203">
        <f>K31+F31</f>
        <v>56145.32</v>
      </c>
      <c r="H31" s="201">
        <f t="shared" si="1"/>
        <v>-110521.68</v>
      </c>
      <c r="I31" s="202">
        <f>+G31/E31*100</f>
        <v>33.687124625750748</v>
      </c>
      <c r="J31" s="487">
        <v>2058537.47</v>
      </c>
    </row>
    <row r="32" spans="1:10" ht="24.95" customHeight="1">
      <c r="A32" s="206" t="s">
        <v>480</v>
      </c>
      <c r="B32" s="210" t="s">
        <v>580</v>
      </c>
      <c r="C32" s="488">
        <v>2500000</v>
      </c>
      <c r="D32" s="189">
        <v>2500000</v>
      </c>
      <c r="E32" s="189">
        <v>166667</v>
      </c>
      <c r="F32" s="189">
        <v>56145.32</v>
      </c>
      <c r="G32" s="189">
        <f>K32+F32</f>
        <v>56145.32</v>
      </c>
      <c r="H32" s="196">
        <f t="shared" si="1"/>
        <v>-110521.68</v>
      </c>
      <c r="I32" s="209">
        <f>+G32/E32*100</f>
        <v>33.687124625750748</v>
      </c>
      <c r="J32" s="488">
        <v>2058537.47</v>
      </c>
    </row>
    <row r="33" spans="1:11" ht="9.9499999999999993" customHeight="1">
      <c r="A33" s="206"/>
      <c r="B33" s="210"/>
      <c r="C33" s="488"/>
      <c r="D33" s="189"/>
      <c r="E33" s="189"/>
      <c r="F33" s="189"/>
      <c r="G33" s="189">
        <f>F33</f>
        <v>0</v>
      </c>
      <c r="H33" s="196"/>
      <c r="I33" s="209"/>
      <c r="J33" s="488">
        <v>0</v>
      </c>
    </row>
    <row r="34" spans="1:11" ht="24.95" customHeight="1">
      <c r="A34" s="206" t="s">
        <v>481</v>
      </c>
      <c r="B34" s="199" t="s">
        <v>573</v>
      </c>
      <c r="C34" s="487">
        <f>+C36+C40</f>
        <v>56905194</v>
      </c>
      <c r="D34" s="203">
        <f>+D40+D36</f>
        <v>56905194</v>
      </c>
      <c r="E34" s="203">
        <f>+E40+E36</f>
        <v>11245352</v>
      </c>
      <c r="F34" s="203">
        <f>+F40+F36</f>
        <v>420000</v>
      </c>
      <c r="G34" s="203">
        <f>G36+G40</f>
        <v>420000</v>
      </c>
      <c r="H34" s="201">
        <f>G34-E34</f>
        <v>-10825352</v>
      </c>
      <c r="I34" s="202">
        <f>+G34/E34*100</f>
        <v>3.7348764182748573</v>
      </c>
      <c r="J34" s="487">
        <v>14055454</v>
      </c>
      <c r="K34" s="76"/>
    </row>
    <row r="35" spans="1:11" ht="9.9499999999999993" customHeight="1">
      <c r="A35" s="206"/>
      <c r="B35" s="210"/>
      <c r="C35" s="488"/>
      <c r="D35" s="189"/>
      <c r="E35" s="189"/>
      <c r="F35" s="208"/>
      <c r="G35" s="189"/>
      <c r="H35" s="196"/>
      <c r="I35" s="209"/>
      <c r="J35" s="488"/>
    </row>
    <row r="36" spans="1:11" ht="18" customHeight="1">
      <c r="A36" s="206" t="s">
        <v>482</v>
      </c>
      <c r="B36" s="199" t="s">
        <v>490</v>
      </c>
      <c r="C36" s="487">
        <f>+C37</f>
        <v>54805194</v>
      </c>
      <c r="D36" s="203">
        <f>D37</f>
        <v>54805194</v>
      </c>
      <c r="E36" s="203">
        <f t="shared" ref="E36:E38" si="2">E37</f>
        <v>10825352</v>
      </c>
      <c r="F36" s="203">
        <f t="shared" ref="F36:G38" si="3">F37</f>
        <v>0</v>
      </c>
      <c r="G36" s="203">
        <f t="shared" si="3"/>
        <v>0</v>
      </c>
      <c r="H36" s="201">
        <f>H37</f>
        <v>10825352</v>
      </c>
      <c r="I36" s="202">
        <f>I37</f>
        <v>0</v>
      </c>
      <c r="J36" s="487">
        <v>4655863</v>
      </c>
    </row>
    <row r="37" spans="1:11" ht="18" customHeight="1">
      <c r="A37" s="207" t="s">
        <v>483</v>
      </c>
      <c r="B37" s="210" t="s">
        <v>491</v>
      </c>
      <c r="C37" s="488">
        <f>+C38</f>
        <v>54805194</v>
      </c>
      <c r="D37" s="189">
        <f>D38</f>
        <v>54805194</v>
      </c>
      <c r="E37" s="189">
        <f t="shared" si="2"/>
        <v>10825352</v>
      </c>
      <c r="F37" s="189">
        <f t="shared" si="3"/>
        <v>0</v>
      </c>
      <c r="G37" s="189">
        <f t="shared" si="3"/>
        <v>0</v>
      </c>
      <c r="H37" s="196">
        <f>H38</f>
        <v>10825352</v>
      </c>
      <c r="I37" s="209">
        <f>G37/E37*100</f>
        <v>0</v>
      </c>
      <c r="J37" s="488">
        <v>4655863</v>
      </c>
    </row>
    <row r="38" spans="1:11" ht="18" customHeight="1">
      <c r="A38" s="207" t="s">
        <v>484</v>
      </c>
      <c r="B38" s="210" t="s">
        <v>492</v>
      </c>
      <c r="C38" s="488">
        <f>+C39</f>
        <v>54805194</v>
      </c>
      <c r="D38" s="189">
        <f>D39</f>
        <v>54805194</v>
      </c>
      <c r="E38" s="189">
        <f t="shared" si="2"/>
        <v>10825352</v>
      </c>
      <c r="F38" s="189">
        <f t="shared" si="3"/>
        <v>0</v>
      </c>
      <c r="G38" s="189">
        <f t="shared" si="3"/>
        <v>0</v>
      </c>
      <c r="H38" s="196">
        <f>H39</f>
        <v>10825352</v>
      </c>
      <c r="I38" s="209">
        <f>G38/E38*100</f>
        <v>0</v>
      </c>
      <c r="J38" s="488">
        <v>4655863</v>
      </c>
    </row>
    <row r="39" spans="1:11" ht="18" customHeight="1">
      <c r="A39" s="207" t="s">
        <v>485</v>
      </c>
      <c r="B39" s="210" t="s">
        <v>493</v>
      </c>
      <c r="C39" s="488">
        <v>54805194</v>
      </c>
      <c r="D39" s="189">
        <v>54805194</v>
      </c>
      <c r="E39" s="189">
        <v>10825352</v>
      </c>
      <c r="F39" s="189">
        <v>0</v>
      </c>
      <c r="G39" s="189">
        <f>K39+F39</f>
        <v>0</v>
      </c>
      <c r="H39" s="196">
        <f>E39-G39</f>
        <v>10825352</v>
      </c>
      <c r="I39" s="209">
        <f>G39/E39*100</f>
        <v>0</v>
      </c>
      <c r="J39" s="488">
        <v>4655863</v>
      </c>
    </row>
    <row r="40" spans="1:11" ht="24.95" customHeight="1">
      <c r="A40" s="206" t="s">
        <v>486</v>
      </c>
      <c r="B40" s="199" t="s">
        <v>582</v>
      </c>
      <c r="C40" s="487">
        <f>+C41</f>
        <v>2100000</v>
      </c>
      <c r="D40" s="203">
        <f>SUM(D41)</f>
        <v>2100000</v>
      </c>
      <c r="E40" s="203">
        <f t="shared" ref="E40:E42" si="4">E41</f>
        <v>420000</v>
      </c>
      <c r="F40" s="203">
        <f>F41</f>
        <v>420000</v>
      </c>
      <c r="G40" s="203">
        <f>G41</f>
        <v>420000</v>
      </c>
      <c r="H40" s="201">
        <f t="shared" si="1"/>
        <v>0</v>
      </c>
      <c r="I40" s="202">
        <f>+G40/E40*100</f>
        <v>100</v>
      </c>
      <c r="J40" s="487">
        <v>9399591</v>
      </c>
    </row>
    <row r="41" spans="1:11" ht="24.95" customHeight="1">
      <c r="A41" s="207" t="s">
        <v>546</v>
      </c>
      <c r="B41" s="210" t="s">
        <v>581</v>
      </c>
      <c r="C41" s="488">
        <f>+C42</f>
        <v>2100000</v>
      </c>
      <c r="D41" s="189">
        <f>+D42</f>
        <v>2100000</v>
      </c>
      <c r="E41" s="189">
        <f>+E42</f>
        <v>420000</v>
      </c>
      <c r="F41" s="189">
        <f>+F42</f>
        <v>420000</v>
      </c>
      <c r="G41" s="189">
        <f>+G42</f>
        <v>420000</v>
      </c>
      <c r="H41" s="196">
        <f t="shared" si="1"/>
        <v>0</v>
      </c>
      <c r="I41" s="209">
        <f>+G41/E41*100</f>
        <v>100</v>
      </c>
      <c r="J41" s="488">
        <v>9399591</v>
      </c>
    </row>
    <row r="42" spans="1:11" ht="17.45" customHeight="1">
      <c r="A42" s="207" t="s">
        <v>547</v>
      </c>
      <c r="B42" s="210" t="s">
        <v>583</v>
      </c>
      <c r="C42" s="488">
        <f>+C43</f>
        <v>2100000</v>
      </c>
      <c r="D42" s="189">
        <f>D43</f>
        <v>2100000</v>
      </c>
      <c r="E42" s="189">
        <f t="shared" si="4"/>
        <v>420000</v>
      </c>
      <c r="F42" s="189">
        <f>+F43</f>
        <v>420000</v>
      </c>
      <c r="G42" s="189">
        <f>G43</f>
        <v>420000</v>
      </c>
      <c r="H42" s="196"/>
      <c r="I42" s="209">
        <f>G42/E42*100</f>
        <v>100</v>
      </c>
      <c r="J42" s="488">
        <v>9399591</v>
      </c>
    </row>
    <row r="43" spans="1:11" ht="17.45" customHeight="1">
      <c r="A43" s="207" t="s">
        <v>548</v>
      </c>
      <c r="B43" s="210" t="s">
        <v>584</v>
      </c>
      <c r="C43" s="488">
        <v>2100000</v>
      </c>
      <c r="D43" s="189">
        <v>2100000</v>
      </c>
      <c r="E43" s="189">
        <v>420000</v>
      </c>
      <c r="F43" s="189">
        <v>420000</v>
      </c>
      <c r="G43" s="189">
        <f>K43+F43</f>
        <v>420000</v>
      </c>
      <c r="H43" s="196"/>
      <c r="I43" s="209">
        <f>G43/E43*100</f>
        <v>100</v>
      </c>
      <c r="J43" s="488">
        <v>9399591</v>
      </c>
    </row>
    <row r="44" spans="1:11" ht="16.899999999999999" customHeight="1">
      <c r="A44" s="477"/>
      <c r="B44" s="210"/>
      <c r="C44" s="215"/>
      <c r="D44" s="215"/>
      <c r="E44" s="189"/>
      <c r="F44" s="208"/>
      <c r="G44" s="189"/>
      <c r="H44" s="196"/>
      <c r="I44" s="478"/>
      <c r="J44" s="169"/>
    </row>
    <row r="45" spans="1:11" ht="24.6" hidden="1" customHeight="1">
      <c r="A45" s="206"/>
      <c r="B45" s="199" t="s">
        <v>391</v>
      </c>
      <c r="C45" s="199"/>
      <c r="D45" s="203">
        <f>SUM(D47)</f>
        <v>5210534</v>
      </c>
      <c r="E45" s="203">
        <f>SUM(E47)</f>
        <v>4639377</v>
      </c>
      <c r="F45" s="203">
        <f>SUM(F47:F47)</f>
        <v>1797741</v>
      </c>
      <c r="G45" s="203">
        <f>J45+F45</f>
        <v>4639377</v>
      </c>
      <c r="H45" s="201">
        <f t="shared" si="1"/>
        <v>0</v>
      </c>
      <c r="I45" s="202">
        <f>+G45/E45*100</f>
        <v>100</v>
      </c>
      <c r="J45" s="169">
        <v>2841636</v>
      </c>
      <c r="K45" s="3">
        <v>4639377</v>
      </c>
    </row>
    <row r="46" spans="1:11" ht="9.6" hidden="1" customHeight="1">
      <c r="A46" s="206"/>
      <c r="B46" s="210"/>
      <c r="C46" s="210"/>
      <c r="D46" s="189"/>
      <c r="E46" s="189"/>
      <c r="F46" s="189"/>
      <c r="G46" s="190">
        <f>F46</f>
        <v>0</v>
      </c>
      <c r="H46" s="196" t="s">
        <v>6</v>
      </c>
      <c r="I46" s="209" t="s">
        <v>6</v>
      </c>
      <c r="J46" s="168">
        <v>0</v>
      </c>
      <c r="K46" s="3">
        <v>0</v>
      </c>
    </row>
    <row r="47" spans="1:11" ht="24.6" hidden="1" customHeight="1">
      <c r="A47" s="206"/>
      <c r="B47" s="210" t="s">
        <v>39</v>
      </c>
      <c r="C47" s="210"/>
      <c r="D47" s="189">
        <v>5210534</v>
      </c>
      <c r="E47" s="189">
        <v>4639377</v>
      </c>
      <c r="F47" s="195">
        <f>1779848+17893</f>
        <v>1797741</v>
      </c>
      <c r="G47" s="190">
        <f>F47+J47</f>
        <v>4639377</v>
      </c>
      <c r="H47" s="196">
        <f>+G47-E47</f>
        <v>0</v>
      </c>
      <c r="I47" s="209">
        <f>+G47/E47*100</f>
        <v>100</v>
      </c>
      <c r="J47" s="168">
        <v>2841636</v>
      </c>
      <c r="K47" s="3">
        <v>4639377</v>
      </c>
    </row>
    <row r="48" spans="1:11" ht="7.15" hidden="1" customHeight="1">
      <c r="A48" s="475"/>
      <c r="B48" s="213"/>
      <c r="C48" s="529"/>
      <c r="D48" s="214"/>
      <c r="E48" s="215" t="s">
        <v>6</v>
      </c>
      <c r="F48" s="216" t="s">
        <v>6</v>
      </c>
      <c r="G48" s="215" t="s">
        <v>6</v>
      </c>
      <c r="H48" s="215" t="s">
        <v>6</v>
      </c>
      <c r="I48" s="217"/>
      <c r="J48" s="474"/>
      <c r="K48" s="3" t="s">
        <v>6</v>
      </c>
    </row>
    <row r="49" spans="2:9" ht="15.95" customHeight="1">
      <c r="B49" s="220" t="s">
        <v>6</v>
      </c>
      <c r="C49" s="194"/>
      <c r="D49" s="194"/>
      <c r="E49" s="221"/>
      <c r="F49" s="221"/>
      <c r="G49" s="221"/>
      <c r="H49" s="222"/>
      <c r="I49" s="194"/>
    </row>
    <row r="50" spans="2:9">
      <c r="B50" s="33" t="s">
        <v>6</v>
      </c>
      <c r="C50" s="33"/>
      <c r="D50" s="40"/>
      <c r="E50" s="40"/>
      <c r="F50" s="40"/>
      <c r="G50" s="40"/>
      <c r="H50" s="45"/>
      <c r="I50" s="24"/>
    </row>
    <row r="51" spans="2:9" ht="15.75">
      <c r="B51" s="46" t="s">
        <v>6</v>
      </c>
      <c r="C51" s="46"/>
      <c r="D51" s="37"/>
      <c r="E51" s="36"/>
      <c r="F51" s="36"/>
      <c r="G51" s="36"/>
      <c r="H51" s="36"/>
      <c r="I51" s="4"/>
    </row>
    <row r="52" spans="2:9" ht="15.75">
      <c r="B52" s="43" t="s">
        <v>6</v>
      </c>
      <c r="C52" s="43"/>
      <c r="D52" s="44" t="s">
        <v>6</v>
      </c>
      <c r="E52" s="36"/>
      <c r="F52" s="36"/>
      <c r="G52" s="36"/>
      <c r="H52" s="36"/>
      <c r="I52" s="4"/>
    </row>
    <row r="53" spans="2:9" ht="15.75">
      <c r="B53" s="43" t="s">
        <v>6</v>
      </c>
      <c r="C53" s="43"/>
      <c r="D53" s="40"/>
      <c r="E53" s="36"/>
      <c r="F53" s="36"/>
      <c r="G53" s="36"/>
      <c r="H53" s="36"/>
      <c r="I53" s="4"/>
    </row>
    <row r="54" spans="2:9" ht="15.75">
      <c r="B54" s="46" t="s">
        <v>6</v>
      </c>
      <c r="C54" s="46"/>
      <c r="D54" s="36"/>
      <c r="E54" s="36"/>
      <c r="F54" s="36"/>
      <c r="G54" s="36"/>
      <c r="H54" s="36"/>
      <c r="I54" s="4"/>
    </row>
    <row r="55" spans="2:9" ht="15.75">
      <c r="B55" s="46" t="s">
        <v>6</v>
      </c>
      <c r="C55" s="46"/>
      <c r="D55" s="36"/>
      <c r="E55" s="36"/>
      <c r="F55" s="36"/>
      <c r="G55" s="36"/>
      <c r="H55" s="36"/>
      <c r="I55" s="4"/>
    </row>
    <row r="56" spans="2:9" ht="15.75">
      <c r="B56" s="46" t="s">
        <v>6</v>
      </c>
      <c r="C56" s="46"/>
      <c r="D56" s="36"/>
      <c r="E56" s="36"/>
      <c r="F56" s="36"/>
      <c r="G56" s="36"/>
      <c r="H56" s="36"/>
      <c r="I56" s="4"/>
    </row>
    <row r="57" spans="2:9" ht="15.75">
      <c r="B57" s="46" t="s">
        <v>6</v>
      </c>
      <c r="C57" s="46"/>
      <c r="D57" s="36"/>
      <c r="E57" s="36"/>
      <c r="F57" s="36"/>
      <c r="G57" s="36"/>
      <c r="H57" s="36"/>
      <c r="I57" s="4"/>
    </row>
    <row r="58" spans="2:9">
      <c r="D58" s="34"/>
      <c r="E58" s="34"/>
      <c r="F58" s="34"/>
      <c r="G58" s="34"/>
      <c r="H58" s="34"/>
      <c r="I58" s="4"/>
    </row>
    <row r="127" spans="5:5">
      <c r="E127" s="24" t="s">
        <v>6</v>
      </c>
    </row>
  </sheetData>
  <mergeCells count="9">
    <mergeCell ref="A6:A7"/>
    <mergeCell ref="B1:I1"/>
    <mergeCell ref="B2:I2"/>
    <mergeCell ref="B3:I3"/>
    <mergeCell ref="B4:I4"/>
    <mergeCell ref="B6:B7"/>
    <mergeCell ref="F6:G6"/>
    <mergeCell ref="H6:I6"/>
    <mergeCell ref="C6:E6"/>
  </mergeCells>
  <phoneticPr fontId="3" type="noConversion"/>
  <pageMargins left="0.19685039370078741" right="0.19685039370078741" top="0.74803149606299213" bottom="0.98425196850393704" header="0.51181102362204722" footer="0.51181102362204722"/>
  <pageSetup scale="75" firstPageNumber="0" orientation="portrait" r:id="rId1"/>
  <headerFooter alignWithMargins="0">
    <oddFooter xml:space="preserve">&amp;R&amp;"Arial,Negrita" </oddFooter>
  </headerFooter>
  <ignoredErrors>
    <ignoredError sqref="E15:F15 E21 E41 G39:G41 G30 G22:G23 H25 G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>
    <tabColor theme="6" tint="0.39997558519241921"/>
    <pageSetUpPr fitToPage="1"/>
  </sheetPr>
  <dimension ref="A1:Y33"/>
  <sheetViews>
    <sheetView showGridLines="0" showZeros="0" zoomScaleNormal="100" workbookViewId="0">
      <selection activeCell="A3" sqref="A3:J3"/>
    </sheetView>
  </sheetViews>
  <sheetFormatPr baseColWidth="10" defaultColWidth="11.42578125" defaultRowHeight="12.75"/>
  <cols>
    <col min="1" max="1" width="34.5703125" customWidth="1"/>
    <col min="2" max="2" width="18.140625" customWidth="1"/>
    <col min="3" max="3" width="15.85546875" customWidth="1"/>
    <col min="4" max="4" width="12.5703125" customWidth="1"/>
    <col min="5" max="5" width="13.5703125" hidden="1" customWidth="1"/>
    <col min="6" max="6" width="11.5703125" customWidth="1"/>
    <col min="7" max="7" width="12.5703125" customWidth="1"/>
    <col min="8" max="8" width="12.28515625" customWidth="1"/>
    <col min="9" max="9" width="12.5703125" customWidth="1"/>
    <col min="10" max="10" width="10.28515625" customWidth="1"/>
    <col min="11" max="11" width="12.140625" customWidth="1"/>
    <col min="12" max="12" width="12" customWidth="1"/>
    <col min="13" max="13" width="24.28515625" customWidth="1"/>
    <col min="15" max="17" width="0" hidden="1" customWidth="1"/>
    <col min="18" max="18" width="22.42578125" bestFit="1" customWidth="1"/>
    <col min="20" max="20" width="1.42578125" customWidth="1"/>
    <col min="21" max="21" width="3.140625" customWidth="1"/>
    <col min="22" max="22" width="0.42578125" customWidth="1"/>
    <col min="23" max="23" width="1.5703125" customWidth="1"/>
    <col min="24" max="24" width="0.42578125" customWidth="1"/>
  </cols>
  <sheetData>
    <row r="1" spans="1:25" ht="15.75">
      <c r="A1" s="606" t="s">
        <v>404</v>
      </c>
      <c r="B1" s="606"/>
      <c r="C1" s="606"/>
      <c r="D1" s="606"/>
      <c r="E1" s="606"/>
      <c r="F1" s="606"/>
      <c r="G1" s="606"/>
      <c r="H1" s="606"/>
      <c r="I1" s="606"/>
      <c r="J1" s="606"/>
    </row>
    <row r="2" spans="1:25" ht="15.75">
      <c r="A2" s="606" t="s">
        <v>405</v>
      </c>
      <c r="B2" s="606"/>
      <c r="C2" s="606"/>
      <c r="D2" s="606"/>
      <c r="E2" s="606"/>
      <c r="F2" s="606"/>
      <c r="G2" s="606"/>
      <c r="H2" s="606"/>
      <c r="I2" s="606"/>
      <c r="J2" s="606"/>
    </row>
    <row r="3" spans="1:25" ht="15">
      <c r="A3" s="615" t="s">
        <v>586</v>
      </c>
      <c r="B3" s="616"/>
      <c r="C3" s="616"/>
      <c r="D3" s="616"/>
      <c r="E3" s="616"/>
      <c r="F3" s="616"/>
      <c r="G3" s="616"/>
      <c r="H3" s="616"/>
      <c r="I3" s="616"/>
      <c r="J3" s="617"/>
    </row>
    <row r="4" spans="1:25" ht="15">
      <c r="A4" s="615" t="s">
        <v>515</v>
      </c>
      <c r="B4" s="616"/>
      <c r="C4" s="616"/>
      <c r="D4" s="616"/>
      <c r="E4" s="616"/>
      <c r="F4" s="616"/>
      <c r="G4" s="616"/>
      <c r="H4" s="616"/>
      <c r="I4" s="616"/>
      <c r="J4" s="617"/>
    </row>
    <row r="5" spans="1:25" ht="15" thickBot="1">
      <c r="A5" s="38"/>
      <c r="B5" s="260"/>
      <c r="C5" s="260"/>
      <c r="D5" s="260"/>
      <c r="E5" s="260"/>
      <c r="F5" s="260"/>
      <c r="G5" s="260"/>
      <c r="H5" s="260"/>
      <c r="I5" s="260"/>
      <c r="J5" s="24"/>
    </row>
    <row r="6" spans="1:25" ht="21" customHeight="1">
      <c r="A6" s="618" t="s">
        <v>0</v>
      </c>
      <c r="B6" s="620" t="s">
        <v>41</v>
      </c>
      <c r="C6" s="624" t="s">
        <v>33</v>
      </c>
      <c r="D6" s="625"/>
      <c r="E6" s="625"/>
      <c r="F6" s="626"/>
      <c r="G6" s="622" t="s">
        <v>42</v>
      </c>
      <c r="H6" s="622"/>
      <c r="I6" s="622" t="s">
        <v>1</v>
      </c>
      <c r="J6" s="623"/>
    </row>
    <row r="7" spans="1:25" ht="24.75" customHeight="1" thickBot="1">
      <c r="A7" s="619"/>
      <c r="B7" s="621"/>
      <c r="C7" s="564" t="s">
        <v>85</v>
      </c>
      <c r="D7" s="565" t="s">
        <v>11</v>
      </c>
      <c r="E7" s="565" t="s">
        <v>11</v>
      </c>
      <c r="F7" s="565" t="s">
        <v>2</v>
      </c>
      <c r="G7" s="565" t="s">
        <v>38</v>
      </c>
      <c r="H7" s="565" t="s">
        <v>43</v>
      </c>
      <c r="I7" s="565" t="s">
        <v>392</v>
      </c>
      <c r="J7" s="566" t="s">
        <v>5</v>
      </c>
      <c r="L7" s="56"/>
    </row>
    <row r="8" spans="1:25" ht="20.100000000000001" customHeight="1">
      <c r="A8" s="239"/>
      <c r="B8" s="240"/>
      <c r="C8" s="240"/>
      <c r="D8" s="241"/>
      <c r="E8" s="241"/>
      <c r="F8" s="223"/>
      <c r="G8" s="223"/>
      <c r="H8" s="223"/>
      <c r="I8" s="223"/>
      <c r="J8" s="224"/>
    </row>
    <row r="9" spans="1:25" ht="20.100000000000001" customHeight="1">
      <c r="A9" s="242" t="s">
        <v>13</v>
      </c>
      <c r="B9" s="243"/>
      <c r="C9" s="244">
        <v>198000000</v>
      </c>
      <c r="D9" s="244">
        <v>198000000</v>
      </c>
      <c r="E9" s="244" t="e">
        <v>#REF!</v>
      </c>
      <c r="F9" s="244">
        <v>25641329</v>
      </c>
      <c r="G9" s="244">
        <v>1540702.04</v>
      </c>
      <c r="H9" s="244">
        <v>1540702.04</v>
      </c>
      <c r="I9" s="226">
        <v>-24100626.960000001</v>
      </c>
      <c r="J9" s="227">
        <v>6.0086668674622912</v>
      </c>
      <c r="K9" s="172"/>
    </row>
    <row r="10" spans="1:25" ht="20.100000000000001" customHeight="1">
      <c r="A10" s="242"/>
      <c r="B10" s="243"/>
      <c r="C10" s="243"/>
      <c r="D10" s="244"/>
      <c r="E10" s="244"/>
      <c r="F10" s="244"/>
      <c r="G10" s="244"/>
      <c r="H10" s="244"/>
      <c r="I10" s="226"/>
      <c r="J10" s="227"/>
      <c r="K10" s="172"/>
    </row>
    <row r="11" spans="1:25" ht="20.100000000000001" customHeight="1">
      <c r="A11" s="242" t="s">
        <v>14</v>
      </c>
      <c r="B11" s="243"/>
      <c r="C11" s="244">
        <v>15328172</v>
      </c>
      <c r="D11" s="244">
        <v>15328172</v>
      </c>
      <c r="E11" s="244" t="e">
        <v>#REF!</v>
      </c>
      <c r="F11" s="244">
        <v>1327050</v>
      </c>
      <c r="G11" s="244">
        <v>1540702.04</v>
      </c>
      <c r="H11" s="244">
        <v>1540702.04</v>
      </c>
      <c r="I11" s="226">
        <v>-213652.04000000004</v>
      </c>
      <c r="J11" s="227">
        <v>116.09977318111602</v>
      </c>
      <c r="K11" s="172"/>
      <c r="L11" s="1" t="s">
        <v>6</v>
      </c>
    </row>
    <row r="12" spans="1:25" ht="20.100000000000001" customHeight="1">
      <c r="A12" s="245"/>
      <c r="B12" s="246"/>
      <c r="C12" s="246"/>
      <c r="D12" s="247"/>
      <c r="E12" s="247"/>
      <c r="F12" s="247" t="s">
        <v>6</v>
      </c>
      <c r="G12" s="247"/>
      <c r="H12" s="247"/>
      <c r="I12" s="229"/>
      <c r="J12" s="230"/>
      <c r="K12" s="170"/>
    </row>
    <row r="13" spans="1:25" ht="20.100000000000001" customHeight="1">
      <c r="A13" s="248" t="s">
        <v>15</v>
      </c>
      <c r="B13" s="249" t="s">
        <v>44</v>
      </c>
      <c r="C13" s="250">
        <v>700000</v>
      </c>
      <c r="D13" s="250">
        <v>700000</v>
      </c>
      <c r="E13" s="250" t="e">
        <v>#REF!</v>
      </c>
      <c r="F13" s="250">
        <v>58333</v>
      </c>
      <c r="G13" s="250">
        <v>211312.3</v>
      </c>
      <c r="H13" s="250">
        <v>211312.3</v>
      </c>
      <c r="I13" s="231">
        <v>152979.29999999999</v>
      </c>
      <c r="J13" s="232">
        <v>362.25172715272657</v>
      </c>
      <c r="K13" s="171"/>
      <c r="L13" s="1" t="s">
        <v>6</v>
      </c>
      <c r="M13" s="23"/>
      <c r="N13" s="1"/>
      <c r="R13" s="48"/>
      <c r="S13" s="49"/>
      <c r="T13" s="49"/>
      <c r="U13" s="50"/>
      <c r="V13" s="50"/>
      <c r="W13" s="50"/>
      <c r="X13" s="50"/>
      <c r="Y13" s="50"/>
    </row>
    <row r="14" spans="1:25" ht="20.100000000000001" customHeight="1">
      <c r="A14" s="248" t="s">
        <v>16</v>
      </c>
      <c r="B14" s="249" t="s">
        <v>45</v>
      </c>
      <c r="C14" s="250">
        <v>4776492</v>
      </c>
      <c r="D14" s="250">
        <v>4776492</v>
      </c>
      <c r="E14" s="250" t="e">
        <v>#REF!</v>
      </c>
      <c r="F14" s="250">
        <v>318433</v>
      </c>
      <c r="G14" s="250">
        <v>88830.53</v>
      </c>
      <c r="H14" s="250">
        <v>88830.53</v>
      </c>
      <c r="I14" s="231">
        <v>-229602.47</v>
      </c>
      <c r="J14" s="232">
        <v>27.896144557881879</v>
      </c>
      <c r="K14" s="171"/>
      <c r="L14" s="1"/>
      <c r="M14" s="23"/>
      <c r="S14" s="49"/>
      <c r="T14" s="49"/>
      <c r="U14" s="50"/>
      <c r="V14" s="50"/>
      <c r="W14" s="50"/>
      <c r="X14" s="50"/>
      <c r="Y14" s="50"/>
    </row>
    <row r="15" spans="1:25" ht="20.100000000000001" customHeight="1">
      <c r="A15" s="251" t="s">
        <v>17</v>
      </c>
      <c r="B15" s="249" t="s">
        <v>564</v>
      </c>
      <c r="C15" s="250">
        <v>4774884</v>
      </c>
      <c r="D15" s="250">
        <v>4774884</v>
      </c>
      <c r="E15" s="250" t="e">
        <v>#REF!</v>
      </c>
      <c r="F15" s="250">
        <v>318326</v>
      </c>
      <c r="G15" s="250">
        <v>635410.25</v>
      </c>
      <c r="H15" s="250">
        <v>635411.25</v>
      </c>
      <c r="I15" s="231">
        <v>317085.25</v>
      </c>
      <c r="J15" s="232">
        <v>199.61022662302167</v>
      </c>
      <c r="K15" s="171"/>
      <c r="L15" s="1"/>
      <c r="M15" s="23"/>
      <c r="S15" s="49"/>
      <c r="T15" s="49"/>
      <c r="U15" s="50"/>
      <c r="V15" s="50"/>
      <c r="W15" s="50"/>
      <c r="X15" s="50"/>
      <c r="Y15" s="50"/>
    </row>
    <row r="16" spans="1:25" ht="20.100000000000001" customHeight="1">
      <c r="A16" s="251" t="s">
        <v>18</v>
      </c>
      <c r="B16" s="249" t="s">
        <v>565</v>
      </c>
      <c r="C16" s="250">
        <v>66714</v>
      </c>
      <c r="D16" s="250">
        <v>66714</v>
      </c>
      <c r="E16" s="250" t="e">
        <v>#REF!</v>
      </c>
      <c r="F16" s="250">
        <v>11118</v>
      </c>
      <c r="G16" s="250">
        <v>9460.4</v>
      </c>
      <c r="H16" s="250">
        <v>9460.4</v>
      </c>
      <c r="I16" s="231">
        <v>-1657.6000000000004</v>
      </c>
      <c r="J16" s="232">
        <v>85.090843676920301</v>
      </c>
      <c r="K16" s="171"/>
      <c r="L16" s="1"/>
      <c r="M16" s="23"/>
      <c r="S16" s="49"/>
      <c r="T16" s="49"/>
      <c r="U16" s="50"/>
      <c r="V16" s="50"/>
      <c r="W16" s="50"/>
      <c r="X16" s="50"/>
      <c r="Y16" s="50"/>
    </row>
    <row r="17" spans="1:25" ht="20.100000000000001" customHeight="1">
      <c r="A17" s="251" t="s">
        <v>19</v>
      </c>
      <c r="B17" s="249" t="s">
        <v>566</v>
      </c>
      <c r="C17" s="250">
        <v>410082</v>
      </c>
      <c r="D17" s="250">
        <v>410082</v>
      </c>
      <c r="E17" s="250" t="e">
        <v>#REF!</v>
      </c>
      <c r="F17" s="250">
        <v>34173</v>
      </c>
      <c r="G17" s="250">
        <v>119543.24</v>
      </c>
      <c r="H17" s="250">
        <v>119543.24</v>
      </c>
      <c r="I17" s="231">
        <v>85370.240000000005</v>
      </c>
      <c r="J17" s="232">
        <v>349.8178093816756</v>
      </c>
      <c r="K17" s="171"/>
      <c r="L17" s="1"/>
      <c r="M17" s="23"/>
      <c r="S17" s="49"/>
      <c r="T17" s="49"/>
      <c r="U17" s="50"/>
      <c r="V17" s="50"/>
      <c r="W17" s="50"/>
      <c r="X17" s="50"/>
      <c r="Y17" s="50"/>
    </row>
    <row r="18" spans="1:25" ht="20.100000000000001" customHeight="1">
      <c r="A18" s="251" t="s">
        <v>20</v>
      </c>
      <c r="B18" s="249" t="s">
        <v>567</v>
      </c>
      <c r="C18" s="250">
        <v>2500000</v>
      </c>
      <c r="D18" s="250">
        <v>2500000</v>
      </c>
      <c r="E18" s="250" t="e">
        <v>#REF!</v>
      </c>
      <c r="F18" s="250">
        <v>166667</v>
      </c>
      <c r="G18" s="250">
        <v>56145.32</v>
      </c>
      <c r="H18" s="250">
        <v>56145.32</v>
      </c>
      <c r="I18" s="233">
        <v>-110521.68</v>
      </c>
      <c r="J18" s="232">
        <v>33.687124625750748</v>
      </c>
      <c r="K18" s="171"/>
      <c r="L18" s="1"/>
      <c r="M18" s="23"/>
      <c r="N18" s="1"/>
      <c r="S18" s="49"/>
      <c r="T18" s="49"/>
      <c r="U18" s="50"/>
      <c r="V18" s="50"/>
      <c r="W18" s="50"/>
      <c r="X18" s="50"/>
      <c r="Y18" s="50"/>
    </row>
    <row r="19" spans="1:25" ht="20.100000000000001" customHeight="1">
      <c r="A19" s="251" t="s">
        <v>559</v>
      </c>
      <c r="B19" s="249" t="s">
        <v>568</v>
      </c>
      <c r="C19" s="250"/>
      <c r="D19" s="250"/>
      <c r="E19" s="250"/>
      <c r="F19" s="250"/>
      <c r="G19" s="250">
        <v>0</v>
      </c>
      <c r="H19" s="250">
        <v>0</v>
      </c>
      <c r="I19" s="233" t="s">
        <v>6</v>
      </c>
      <c r="J19" s="232">
        <v>0</v>
      </c>
      <c r="K19" s="171"/>
      <c r="L19" s="1"/>
      <c r="M19" s="23"/>
      <c r="S19" s="49"/>
      <c r="T19" s="49"/>
      <c r="U19" s="50"/>
      <c r="V19" s="50"/>
      <c r="W19" s="50"/>
      <c r="X19" s="50"/>
      <c r="Y19" s="50"/>
    </row>
    <row r="20" spans="1:25" ht="20.100000000000001" customHeight="1">
      <c r="A20" s="251" t="s">
        <v>560</v>
      </c>
      <c r="B20" s="249" t="s">
        <v>569</v>
      </c>
      <c r="C20" s="250">
        <v>2100000</v>
      </c>
      <c r="D20" s="250">
        <v>2100000</v>
      </c>
      <c r="E20" s="250" t="e">
        <v>#REF!</v>
      </c>
      <c r="F20" s="250">
        <v>420000</v>
      </c>
      <c r="G20" s="250">
        <v>420000</v>
      </c>
      <c r="H20" s="250">
        <v>420000</v>
      </c>
      <c r="I20" s="233">
        <v>0</v>
      </c>
      <c r="J20" s="232">
        <v>100</v>
      </c>
      <c r="K20" s="171"/>
      <c r="L20" s="1"/>
      <c r="M20" s="23"/>
      <c r="S20" s="49"/>
      <c r="T20" s="49"/>
      <c r="U20" s="50"/>
      <c r="V20" s="50"/>
      <c r="W20" s="50"/>
      <c r="X20" s="50"/>
      <c r="Y20" s="50"/>
    </row>
    <row r="21" spans="1:25" ht="20.100000000000001" customHeight="1">
      <c r="A21" s="252"/>
      <c r="B21" s="253"/>
      <c r="C21" s="253"/>
      <c r="D21" s="247"/>
      <c r="E21" s="247"/>
      <c r="F21" s="247" t="s">
        <v>6</v>
      </c>
      <c r="G21" s="247" t="s">
        <v>6</v>
      </c>
      <c r="H21" s="247" t="s">
        <v>6</v>
      </c>
      <c r="I21" s="234"/>
      <c r="J21" s="230"/>
      <c r="K21" s="170"/>
      <c r="L21" s="1"/>
      <c r="M21" s="23"/>
      <c r="S21" s="49"/>
      <c r="T21" s="49"/>
      <c r="U21" s="50"/>
      <c r="V21" s="50"/>
      <c r="W21" s="50"/>
      <c r="X21" s="50"/>
      <c r="Y21" s="50"/>
    </row>
    <row r="22" spans="1:25" ht="20.100000000000001" customHeight="1">
      <c r="A22" s="242" t="s">
        <v>21</v>
      </c>
      <c r="B22" s="254"/>
      <c r="C22" s="532">
        <v>182671828</v>
      </c>
      <c r="D22" s="244">
        <v>182671828</v>
      </c>
      <c r="E22" s="244">
        <v>99974034</v>
      </c>
      <c r="F22" s="244">
        <v>24314279</v>
      </c>
      <c r="G22" s="244">
        <v>0</v>
      </c>
      <c r="H22" s="244">
        <v>0</v>
      </c>
      <c r="I22" s="235">
        <v>24314279</v>
      </c>
      <c r="J22" s="227">
        <v>0</v>
      </c>
      <c r="K22" s="172"/>
      <c r="L22" s="1"/>
      <c r="M22" s="23" t="s">
        <v>6</v>
      </c>
      <c r="S22" s="51"/>
      <c r="T22" s="51"/>
      <c r="U22" s="50"/>
      <c r="V22" s="50"/>
      <c r="W22" s="50"/>
      <c r="X22" s="50"/>
      <c r="Y22" s="50"/>
    </row>
    <row r="23" spans="1:25" ht="20.100000000000001" customHeight="1">
      <c r="A23" s="242" t="s">
        <v>6</v>
      </c>
      <c r="B23" s="254"/>
      <c r="C23" s="254"/>
      <c r="D23" s="244"/>
      <c r="E23" s="244"/>
      <c r="F23" s="244"/>
      <c r="G23" s="244"/>
      <c r="H23" s="244">
        <v>0</v>
      </c>
      <c r="I23" s="235"/>
      <c r="J23" s="227"/>
      <c r="K23" s="172"/>
      <c r="L23" s="1"/>
      <c r="M23" s="23"/>
      <c r="S23" s="49"/>
      <c r="T23" s="49"/>
      <c r="U23" s="50"/>
      <c r="V23" s="50"/>
      <c r="W23" s="50"/>
      <c r="X23" s="50"/>
      <c r="Y23" s="50"/>
    </row>
    <row r="24" spans="1:25" ht="33" customHeight="1">
      <c r="A24" s="255" t="s">
        <v>46</v>
      </c>
      <c r="B24" s="254" t="s">
        <v>570</v>
      </c>
      <c r="C24" s="244">
        <v>127866634</v>
      </c>
      <c r="D24" s="244">
        <v>127866634</v>
      </c>
      <c r="E24" s="244">
        <v>94763500</v>
      </c>
      <c r="F24" s="244">
        <v>13488927</v>
      </c>
      <c r="G24" s="244">
        <v>0</v>
      </c>
      <c r="H24" s="244">
        <v>0</v>
      </c>
      <c r="I24" s="235">
        <v>-13488927</v>
      </c>
      <c r="J24" s="227">
        <v>0</v>
      </c>
      <c r="K24" s="172"/>
      <c r="L24" s="1"/>
      <c r="M24" s="23"/>
      <c r="S24" s="51"/>
      <c r="T24" s="51"/>
      <c r="U24" s="50"/>
      <c r="V24" s="50"/>
      <c r="W24" s="50"/>
      <c r="X24" s="50"/>
      <c r="Y24" s="50"/>
    </row>
    <row r="25" spans="1:25" ht="17.45" customHeight="1">
      <c r="A25" s="255"/>
      <c r="B25" s="254"/>
      <c r="C25" s="254"/>
      <c r="D25" s="244"/>
      <c r="E25" s="244"/>
      <c r="F25" s="244"/>
      <c r="G25" s="244"/>
      <c r="H25" s="244"/>
      <c r="I25" s="235"/>
      <c r="J25" s="227"/>
      <c r="K25" s="172"/>
      <c r="L25" s="1"/>
      <c r="M25" s="23"/>
      <c r="S25" s="51"/>
      <c r="T25" s="51"/>
      <c r="U25" s="50"/>
      <c r="V25" s="50"/>
      <c r="W25" s="50"/>
      <c r="X25" s="50"/>
      <c r="Y25" s="50"/>
    </row>
    <row r="26" spans="1:25" ht="20.100000000000001" customHeight="1">
      <c r="A26" s="251" t="s">
        <v>561</v>
      </c>
      <c r="B26" s="253"/>
      <c r="C26" s="250">
        <v>111927700</v>
      </c>
      <c r="D26" s="250">
        <v>111927700</v>
      </c>
      <c r="E26" s="250">
        <v>88702609</v>
      </c>
      <c r="F26" s="250">
        <v>11423210</v>
      </c>
      <c r="G26" s="250">
        <v>0</v>
      </c>
      <c r="H26" s="250">
        <v>0</v>
      </c>
      <c r="I26" s="231">
        <v>-11423210</v>
      </c>
      <c r="J26" s="232">
        <v>0</v>
      </c>
      <c r="K26" s="171"/>
      <c r="L26" s="1"/>
      <c r="M26" s="23"/>
      <c r="S26" s="49"/>
      <c r="T26" s="49"/>
      <c r="U26" s="50"/>
      <c r="V26" s="50"/>
      <c r="W26" s="50"/>
      <c r="X26" s="50"/>
      <c r="Y26" s="50"/>
    </row>
    <row r="27" spans="1:25" ht="20.100000000000001" customHeight="1">
      <c r="A27" s="251" t="s">
        <v>562</v>
      </c>
      <c r="B27" s="249" t="s">
        <v>6</v>
      </c>
      <c r="C27" s="250">
        <v>109200</v>
      </c>
      <c r="D27" s="250">
        <v>109200</v>
      </c>
      <c r="E27" s="250" t="s">
        <v>6</v>
      </c>
      <c r="F27" s="250">
        <v>10200</v>
      </c>
      <c r="G27" s="250">
        <v>0</v>
      </c>
      <c r="H27" s="250"/>
      <c r="I27" s="231"/>
      <c r="J27" s="232"/>
      <c r="K27" s="167"/>
      <c r="L27" s="1"/>
      <c r="M27" s="23"/>
      <c r="S27" s="49"/>
      <c r="T27" s="49"/>
      <c r="U27" s="50"/>
      <c r="V27" s="50"/>
      <c r="W27" s="50"/>
      <c r="X27" s="50"/>
      <c r="Y27" s="50"/>
    </row>
    <row r="28" spans="1:25" ht="20.100000000000001" customHeight="1">
      <c r="A28" s="251" t="s">
        <v>563</v>
      </c>
      <c r="B28" s="249"/>
      <c r="C28" s="250">
        <v>15829734</v>
      </c>
      <c r="D28" s="250">
        <v>15829734</v>
      </c>
      <c r="E28" s="250">
        <v>6060891</v>
      </c>
      <c r="F28" s="250">
        <v>2055517</v>
      </c>
      <c r="G28" s="250">
        <v>0</v>
      </c>
      <c r="H28" s="250">
        <v>0</v>
      </c>
      <c r="I28" s="231">
        <v>-2055517</v>
      </c>
      <c r="J28" s="232">
        <v>0</v>
      </c>
      <c r="K28" s="167"/>
      <c r="L28" s="1"/>
      <c r="M28" s="23"/>
      <c r="S28" s="49"/>
      <c r="T28" s="49"/>
      <c r="U28" s="50"/>
      <c r="V28" s="50"/>
      <c r="W28" s="50"/>
      <c r="X28" s="50"/>
      <c r="Y28" s="50"/>
    </row>
    <row r="29" spans="1:25" ht="20.100000000000001" customHeight="1">
      <c r="A29" s="252" t="s">
        <v>6</v>
      </c>
      <c r="B29" s="253"/>
      <c r="C29" s="247" t="s">
        <v>6</v>
      </c>
      <c r="D29" s="247" t="s">
        <v>6</v>
      </c>
      <c r="E29" s="247" t="s">
        <v>6</v>
      </c>
      <c r="F29" s="256" t="s">
        <v>6</v>
      </c>
      <c r="G29" s="250" t="s">
        <v>6</v>
      </c>
      <c r="H29" s="247" t="s">
        <v>6</v>
      </c>
      <c r="I29" s="236"/>
      <c r="J29" s="230"/>
      <c r="K29" s="170"/>
      <c r="L29" s="1"/>
      <c r="M29" s="23"/>
      <c r="S29" s="49"/>
      <c r="T29" s="49"/>
      <c r="U29" s="50"/>
      <c r="V29" s="50"/>
      <c r="W29" s="50"/>
      <c r="X29" s="50"/>
      <c r="Y29" s="50"/>
    </row>
    <row r="30" spans="1:25" ht="23.25" customHeight="1">
      <c r="A30" s="255" t="s">
        <v>47</v>
      </c>
      <c r="B30" s="254" t="s">
        <v>571</v>
      </c>
      <c r="C30" s="244">
        <v>54805194</v>
      </c>
      <c r="D30" s="244">
        <v>54805194</v>
      </c>
      <c r="E30" s="244">
        <v>5210534</v>
      </c>
      <c r="F30" s="244">
        <v>10825352</v>
      </c>
      <c r="G30" s="244">
        <v>0</v>
      </c>
      <c r="H30" s="244">
        <v>0</v>
      </c>
      <c r="I30" s="226">
        <v>-10825352</v>
      </c>
      <c r="J30" s="227">
        <v>0</v>
      </c>
      <c r="K30" s="172"/>
      <c r="L30" s="1" t="s">
        <v>6</v>
      </c>
      <c r="M30" s="23"/>
      <c r="S30" s="52"/>
      <c r="T30" s="52"/>
      <c r="U30" s="50"/>
      <c r="V30" s="50"/>
      <c r="W30" s="50"/>
      <c r="X30" s="50"/>
      <c r="Y30" s="50"/>
    </row>
    <row r="31" spans="1:25" ht="20.100000000000001" customHeight="1" thickBot="1">
      <c r="A31" s="257" t="s">
        <v>6</v>
      </c>
      <c r="B31" s="258"/>
      <c r="C31" s="484"/>
      <c r="D31" s="259"/>
      <c r="E31" s="259"/>
      <c r="F31" s="259">
        <v>0</v>
      </c>
      <c r="G31" s="484" t="s">
        <v>6</v>
      </c>
      <c r="H31" s="259" t="s">
        <v>6</v>
      </c>
      <c r="I31" s="237"/>
      <c r="J31" s="238"/>
    </row>
    <row r="32" spans="1:25" ht="15.75">
      <c r="A32" s="80" t="s">
        <v>6</v>
      </c>
      <c r="B32" s="79"/>
      <c r="C32" s="533"/>
      <c r="D32" s="79"/>
      <c r="E32" s="79"/>
      <c r="F32" s="79"/>
      <c r="G32" s="79"/>
      <c r="H32" s="79"/>
      <c r="I32" s="79"/>
      <c r="J32" s="79"/>
    </row>
    <row r="33" spans="1:10" ht="15.75">
      <c r="A33" s="79" t="s">
        <v>6</v>
      </c>
      <c r="B33" s="79"/>
      <c r="C33" s="534"/>
      <c r="D33" s="79"/>
      <c r="E33" s="79"/>
      <c r="F33" s="79" t="s">
        <v>6</v>
      </c>
      <c r="G33" s="79"/>
      <c r="H33" s="79"/>
      <c r="I33" s="79"/>
      <c r="J33" s="79"/>
    </row>
  </sheetData>
  <mergeCells count="9">
    <mergeCell ref="A1:J1"/>
    <mergeCell ref="A2:J2"/>
    <mergeCell ref="A3:J3"/>
    <mergeCell ref="A4:J4"/>
    <mergeCell ref="A6:A7"/>
    <mergeCell ref="B6:B7"/>
    <mergeCell ref="G6:H6"/>
    <mergeCell ref="I6:J6"/>
    <mergeCell ref="C6:F6"/>
  </mergeCells>
  <phoneticPr fontId="3" type="noConversion"/>
  <pageMargins left="7.874015748031496E-2" right="0" top="0.39370078740157483" bottom="0.39370078740157483" header="0.51181102362204722" footer="0.51181102362204722"/>
  <pageSetup scale="92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4">
    <tabColor theme="6" tint="0.39997558519241921"/>
  </sheetPr>
  <dimension ref="A1:X53"/>
  <sheetViews>
    <sheetView showGridLines="0" showZeros="0" workbookViewId="0">
      <selection activeCell="M14" sqref="M14"/>
    </sheetView>
  </sheetViews>
  <sheetFormatPr baseColWidth="10" defaultColWidth="11.42578125" defaultRowHeight="12.75"/>
  <cols>
    <col min="1" max="1" width="41.7109375" style="24" customWidth="1"/>
    <col min="2" max="2" width="12.28515625" style="24" customWidth="1"/>
    <col min="3" max="3" width="14.85546875" style="24" customWidth="1"/>
    <col min="4" max="4" width="17.140625" style="24" hidden="1" customWidth="1"/>
    <col min="5" max="5" width="17.7109375" style="24" hidden="1" customWidth="1"/>
    <col min="6" max="6" width="16.5703125" style="24" customWidth="1"/>
    <col min="7" max="7" width="14.5703125" style="24" customWidth="1"/>
    <col min="8" max="8" width="13.42578125" style="24" customWidth="1"/>
    <col min="9" max="9" width="4" customWidth="1"/>
  </cols>
  <sheetData>
    <row r="1" spans="1:24" ht="6.75" customHeight="1">
      <c r="A1" s="57"/>
      <c r="B1" s="57"/>
      <c r="C1" s="57"/>
      <c r="D1" s="58"/>
      <c r="E1" s="58"/>
      <c r="F1" s="58"/>
      <c r="G1" s="58"/>
      <c r="H1" s="59"/>
    </row>
    <row r="2" spans="1:24" ht="15" customHeight="1">
      <c r="A2" s="606" t="s">
        <v>404</v>
      </c>
      <c r="B2" s="606"/>
      <c r="C2" s="606"/>
      <c r="D2" s="606"/>
      <c r="E2" s="606"/>
      <c r="F2" s="606"/>
      <c r="G2" s="606"/>
      <c r="H2" s="606"/>
      <c r="I2" s="36"/>
      <c r="J2" s="36"/>
    </row>
    <row r="3" spans="1:24" ht="16.5" customHeight="1">
      <c r="A3" s="606" t="s">
        <v>405</v>
      </c>
      <c r="B3" s="606"/>
      <c r="C3" s="606"/>
      <c r="D3" s="606"/>
      <c r="E3" s="606"/>
      <c r="F3" s="606"/>
      <c r="G3" s="606"/>
      <c r="H3" s="606"/>
      <c r="I3" s="36"/>
      <c r="J3" s="36"/>
    </row>
    <row r="4" spans="1:24" ht="18" customHeight="1">
      <c r="A4" s="607" t="s">
        <v>587</v>
      </c>
      <c r="B4" s="607"/>
      <c r="C4" s="607"/>
      <c r="D4" s="607"/>
      <c r="E4" s="607"/>
      <c r="F4" s="607"/>
      <c r="G4" s="607"/>
      <c r="H4" s="607"/>
    </row>
    <row r="5" spans="1:24" ht="18" customHeight="1">
      <c r="A5" s="607" t="s">
        <v>515</v>
      </c>
      <c r="B5" s="607"/>
      <c r="C5" s="607"/>
      <c r="D5" s="607"/>
      <c r="E5" s="607"/>
      <c r="F5" s="607"/>
      <c r="G5" s="607"/>
      <c r="H5" s="607"/>
    </row>
    <row r="6" spans="1:24" ht="15.75" customHeight="1">
      <c r="A6" s="35"/>
      <c r="B6" s="35"/>
      <c r="C6" s="35"/>
      <c r="D6" s="35"/>
      <c r="E6" s="35"/>
      <c r="F6" s="35"/>
      <c r="G6" s="35"/>
      <c r="H6" s="35" t="s">
        <v>6</v>
      </c>
    </row>
    <row r="7" spans="1:24" ht="20.25" customHeight="1">
      <c r="A7" s="627" t="s">
        <v>0</v>
      </c>
      <c r="B7" s="631" t="s">
        <v>33</v>
      </c>
      <c r="C7" s="632"/>
      <c r="D7" s="632"/>
      <c r="E7" s="632"/>
      <c r="F7" s="633"/>
      <c r="G7" s="634" t="s">
        <v>549</v>
      </c>
      <c r="H7" s="629" t="s">
        <v>396</v>
      </c>
    </row>
    <row r="8" spans="1:24" ht="24" customHeight="1">
      <c r="A8" s="628"/>
      <c r="B8" s="586" t="s">
        <v>85</v>
      </c>
      <c r="C8" s="587" t="s">
        <v>11</v>
      </c>
      <c r="D8" s="588" t="s">
        <v>11</v>
      </c>
      <c r="E8" s="588" t="s">
        <v>11</v>
      </c>
      <c r="F8" s="588" t="s">
        <v>2</v>
      </c>
      <c r="G8" s="635"/>
      <c r="H8" s="630"/>
    </row>
    <row r="9" spans="1:24" s="6" customFormat="1" ht="6" customHeight="1">
      <c r="A9" s="191"/>
      <c r="B9" s="191"/>
      <c r="C9" s="261"/>
      <c r="D9" s="262" t="s">
        <v>6</v>
      </c>
      <c r="E9" s="262"/>
      <c r="F9" s="262"/>
      <c r="G9" s="262" t="s">
        <v>6</v>
      </c>
      <c r="H9" s="263" t="s">
        <v>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24.95" customHeight="1">
      <c r="A10" s="199" t="s">
        <v>48</v>
      </c>
      <c r="B10" s="267">
        <f>+[2]CA1!C11</f>
        <v>141094806</v>
      </c>
      <c r="C10" s="267">
        <f>+[2]CA1!D11</f>
        <v>141094806</v>
      </c>
      <c r="D10" s="267">
        <f>+[2]CA1!D11</f>
        <v>141094806</v>
      </c>
      <c r="E10" s="203"/>
      <c r="F10" s="203">
        <f>+'Balance Ingresos'!E11</f>
        <v>14395977</v>
      </c>
      <c r="G10" s="203">
        <f>+'Balance Ingresos'!G11</f>
        <v>1120702.04</v>
      </c>
      <c r="H10" s="264">
        <f>G10/F10*100</f>
        <v>7.7848279418618134</v>
      </c>
      <c r="I10" s="19"/>
    </row>
    <row r="11" spans="1:24" ht="15" customHeight="1">
      <c r="A11" s="199"/>
      <c r="B11" s="199"/>
      <c r="C11" s="267" t="s">
        <v>6</v>
      </c>
      <c r="D11" s="267">
        <f>+Funcionamiento!D208</f>
        <v>0</v>
      </c>
      <c r="E11" s="203"/>
      <c r="F11" s="203"/>
      <c r="G11" s="203"/>
      <c r="H11" s="265"/>
      <c r="I11" s="19" t="s">
        <v>6</v>
      </c>
    </row>
    <row r="12" spans="1:24" ht="24.95" customHeight="1">
      <c r="A12" s="266" t="s">
        <v>49</v>
      </c>
      <c r="B12" s="537">
        <f>+B14+B15</f>
        <v>141094806</v>
      </c>
      <c r="C12" s="267">
        <f>+'Balance gastos'!C11</f>
        <v>141094806</v>
      </c>
      <c r="D12" s="267" t="e">
        <f>+'Balance gastos'!#REF!</f>
        <v>#REF!</v>
      </c>
      <c r="E12" s="267"/>
      <c r="F12" s="267">
        <f>+Funcionamiento!E209</f>
        <v>19912335</v>
      </c>
      <c r="G12" s="267">
        <f>+Funcionamiento!G209</f>
        <v>7119885.8300000001</v>
      </c>
      <c r="H12" s="264">
        <f>G12/F12*100</f>
        <v>35.75615732660183</v>
      </c>
    </row>
    <row r="13" spans="1:24" ht="15" customHeight="1">
      <c r="A13" s="268"/>
      <c r="B13" s="268"/>
      <c r="C13" s="267" t="s">
        <v>6</v>
      </c>
      <c r="D13" s="267">
        <f>+Funcionamiento!D210</f>
        <v>0</v>
      </c>
      <c r="E13" s="269"/>
      <c r="F13" s="269"/>
      <c r="G13" s="269" t="s">
        <v>6</v>
      </c>
      <c r="H13" s="270"/>
    </row>
    <row r="14" spans="1:24" ht="24.95" customHeight="1">
      <c r="A14" s="271" t="s">
        <v>50</v>
      </c>
      <c r="B14" s="272">
        <f>+'Balance gastos'!B13</f>
        <v>138802166</v>
      </c>
      <c r="C14" s="272">
        <f>+'Balance gastos'!C13</f>
        <v>138802166</v>
      </c>
      <c r="D14" s="267" t="e">
        <f>+'Balance gastos'!#REF!</f>
        <v>#REF!</v>
      </c>
      <c r="E14" s="272"/>
      <c r="F14" s="272">
        <f>+'Balance gastos'!D13</f>
        <v>18067779</v>
      </c>
      <c r="G14" s="272">
        <f>+G12-G15</f>
        <v>7114916.9400000004</v>
      </c>
      <c r="H14" s="273">
        <f>G14/F14*100</f>
        <v>39.379034578627511</v>
      </c>
    </row>
    <row r="15" spans="1:24" ht="24.95" customHeight="1">
      <c r="A15" s="274" t="s">
        <v>558</v>
      </c>
      <c r="B15" s="272">
        <f>+Funcionamiento!C186</f>
        <v>2292640</v>
      </c>
      <c r="C15" s="272">
        <f>+Funcionamiento!D186</f>
        <v>2292640</v>
      </c>
      <c r="D15" s="267" t="e">
        <f>+'Balance gastos'!#REF!</f>
        <v>#REF!</v>
      </c>
      <c r="E15" s="272"/>
      <c r="F15" s="272">
        <f>+Funcionamiento!E186</f>
        <v>1844556</v>
      </c>
      <c r="G15" s="272">
        <f>+Funcionamiento!G186</f>
        <v>4968.8899999999994</v>
      </c>
      <c r="H15" s="273">
        <f>G15/F15*100</f>
        <v>0.26938135789859452</v>
      </c>
    </row>
    <row r="16" spans="1:24" ht="13.5" customHeight="1">
      <c r="A16" s="274"/>
      <c r="B16" s="274"/>
      <c r="C16" s="275"/>
      <c r="D16" s="272"/>
      <c r="E16" s="272"/>
      <c r="F16" s="272"/>
      <c r="G16" s="272"/>
      <c r="H16" s="273" t="s">
        <v>6</v>
      </c>
      <c r="L16" s="1" t="s">
        <v>6</v>
      </c>
    </row>
    <row r="17" spans="1:11" ht="24.95" customHeight="1">
      <c r="A17" s="266" t="s">
        <v>437</v>
      </c>
      <c r="B17" s="266"/>
      <c r="C17" s="276"/>
      <c r="D17" s="277">
        <v>0</v>
      </c>
      <c r="E17" s="277"/>
      <c r="F17" s="277">
        <v>0</v>
      </c>
      <c r="G17" s="278">
        <f>G10-G12</f>
        <v>-5999183.79</v>
      </c>
      <c r="H17" s="273" t="s">
        <v>6</v>
      </c>
    </row>
    <row r="18" spans="1:11" ht="12.75" customHeight="1">
      <c r="A18" s="274" t="s">
        <v>6</v>
      </c>
      <c r="B18" s="274"/>
      <c r="C18" s="275"/>
      <c r="D18" s="272"/>
      <c r="E18" s="272"/>
      <c r="F18" s="272"/>
      <c r="G18" s="272"/>
      <c r="H18" s="273" t="s">
        <v>6</v>
      </c>
    </row>
    <row r="19" spans="1:11" ht="24.95" customHeight="1">
      <c r="A19" s="266" t="s">
        <v>51</v>
      </c>
      <c r="B19" s="536">
        <f>+B21</f>
        <v>56905194</v>
      </c>
      <c r="C19" s="267">
        <f>SUM(C21)</f>
        <v>56905194</v>
      </c>
      <c r="D19" s="267">
        <f>SUM(D21:D24)</f>
        <v>56905194</v>
      </c>
      <c r="E19" s="267"/>
      <c r="F19" s="267">
        <f>SUM(F21:F24)</f>
        <v>12918472</v>
      </c>
      <c r="G19" s="267">
        <f>SUM(G21:G24)</f>
        <v>2470365.14</v>
      </c>
      <c r="H19" s="264">
        <f>G19/F19*100</f>
        <v>19.12273479402208</v>
      </c>
    </row>
    <row r="20" spans="1:11" ht="15.75" customHeight="1">
      <c r="A20" s="274"/>
      <c r="B20" s="274"/>
      <c r="C20" s="275"/>
      <c r="D20" s="272" t="s">
        <v>6</v>
      </c>
      <c r="E20" s="272"/>
      <c r="F20" s="272" t="s">
        <v>6</v>
      </c>
      <c r="G20" s="272"/>
      <c r="H20" s="273" t="s">
        <v>6</v>
      </c>
    </row>
    <row r="21" spans="1:11" ht="24.95" customHeight="1">
      <c r="A21" s="274" t="s">
        <v>438</v>
      </c>
      <c r="B21" s="272">
        <f>+Proyectos!B40</f>
        <v>56905194</v>
      </c>
      <c r="C21" s="272">
        <f>+Proyectos!C40</f>
        <v>56905194</v>
      </c>
      <c r="D21" s="272">
        <f>+Proyectos!B40</f>
        <v>56905194</v>
      </c>
      <c r="E21" s="272"/>
      <c r="F21" s="272">
        <f>+Proyectos!D40</f>
        <v>12918472</v>
      </c>
      <c r="G21" s="272">
        <f>+Proyectos!F40</f>
        <v>2470365.14</v>
      </c>
      <c r="H21" s="273">
        <f>G21/F21*100</f>
        <v>19.12273479402208</v>
      </c>
      <c r="I21" t="s">
        <v>6</v>
      </c>
    </row>
    <row r="22" spans="1:11" ht="24.95" customHeight="1">
      <c r="A22" s="274" t="s">
        <v>555</v>
      </c>
      <c r="B22" s="274"/>
      <c r="C22" s="275"/>
      <c r="D22" s="272">
        <v>0</v>
      </c>
      <c r="E22" s="272"/>
      <c r="F22" s="272">
        <v>0</v>
      </c>
      <c r="G22" s="272" t="s">
        <v>6</v>
      </c>
      <c r="H22" s="273" t="s">
        <v>6</v>
      </c>
    </row>
    <row r="23" spans="1:11" ht="24.95" customHeight="1">
      <c r="A23" s="274" t="s">
        <v>556</v>
      </c>
      <c r="B23" s="274"/>
      <c r="C23" s="275"/>
      <c r="D23" s="272">
        <v>0</v>
      </c>
      <c r="E23" s="272"/>
      <c r="F23" s="272">
        <v>0</v>
      </c>
      <c r="G23" s="272">
        <v>0</v>
      </c>
      <c r="H23" s="273" t="s">
        <v>6</v>
      </c>
    </row>
    <row r="24" spans="1:11" ht="24.95" customHeight="1">
      <c r="A24" s="274" t="s">
        <v>557</v>
      </c>
      <c r="B24" s="274"/>
      <c r="C24" s="275"/>
      <c r="D24" s="272" t="s">
        <v>6</v>
      </c>
      <c r="E24" s="272"/>
      <c r="F24" s="272" t="s">
        <v>6</v>
      </c>
      <c r="G24" s="272">
        <v>0</v>
      </c>
      <c r="H24" s="273" t="s">
        <v>6</v>
      </c>
    </row>
    <row r="25" spans="1:11" ht="11.25" customHeight="1">
      <c r="A25" s="274"/>
      <c r="B25" s="274"/>
      <c r="C25" s="275"/>
      <c r="D25" s="272"/>
      <c r="E25" s="272"/>
      <c r="F25" s="272"/>
      <c r="G25" s="272" t="s">
        <v>6</v>
      </c>
      <c r="H25" s="273" t="s">
        <v>6</v>
      </c>
    </row>
    <row r="26" spans="1:11" ht="24.95" customHeight="1">
      <c r="A26" s="266" t="s">
        <v>52</v>
      </c>
      <c r="B26" s="537">
        <f>+B28+B30</f>
        <v>56905194</v>
      </c>
      <c r="C26" s="267">
        <f>SUM(C28:C30)</f>
        <v>56905194</v>
      </c>
      <c r="D26" s="267" t="e">
        <f>SUM(D28:D30)</f>
        <v>#REF!</v>
      </c>
      <c r="E26" s="267"/>
      <c r="F26" s="267">
        <f>SUM(F28:F30)</f>
        <v>420000</v>
      </c>
      <c r="G26" s="267">
        <f>SUM(G28:G30)</f>
        <v>420000</v>
      </c>
      <c r="H26" s="264">
        <f>G26/F26*100</f>
        <v>100</v>
      </c>
    </row>
    <row r="27" spans="1:11" ht="12.75" customHeight="1">
      <c r="A27" s="274"/>
      <c r="B27" s="274"/>
      <c r="C27" s="275"/>
      <c r="D27" s="272"/>
      <c r="E27" s="272"/>
      <c r="F27" s="272"/>
      <c r="G27" s="272"/>
      <c r="H27" s="273" t="s">
        <v>6</v>
      </c>
    </row>
    <row r="28" spans="1:11" ht="24.95" customHeight="1">
      <c r="A28" s="274" t="s">
        <v>53</v>
      </c>
      <c r="B28" s="272">
        <f>+'Balance Ingresos'!C40</f>
        <v>2100000</v>
      </c>
      <c r="C28" s="272">
        <f>+'Balance Ingresos'!D40</f>
        <v>2100000</v>
      </c>
      <c r="D28" s="272">
        <f>+'Balance Ingresos'!D40</f>
        <v>2100000</v>
      </c>
      <c r="E28" s="272"/>
      <c r="F28" s="272">
        <f>+'Balance Ingresos'!E40</f>
        <v>420000</v>
      </c>
      <c r="G28" s="272">
        <f>+'Balance Ingresos'!G41</f>
        <v>420000</v>
      </c>
      <c r="H28" s="273">
        <f>G28/F28*100</f>
        <v>100</v>
      </c>
    </row>
    <row r="29" spans="1:11" ht="24.95" customHeight="1">
      <c r="A29" s="274" t="s">
        <v>439</v>
      </c>
      <c r="B29" s="274"/>
      <c r="C29" s="275"/>
      <c r="D29" s="272">
        <v>0</v>
      </c>
      <c r="E29" s="272"/>
      <c r="F29" s="272">
        <v>0</v>
      </c>
      <c r="G29" s="272">
        <v>0</v>
      </c>
      <c r="H29" s="273" t="s">
        <v>6</v>
      </c>
      <c r="K29" t="s">
        <v>6</v>
      </c>
    </row>
    <row r="30" spans="1:11" ht="24.95" customHeight="1">
      <c r="A30" s="274" t="s">
        <v>54</v>
      </c>
      <c r="B30" s="272">
        <f>+'Balance Ingresos'!C37</f>
        <v>54805194</v>
      </c>
      <c r="C30" s="272">
        <f>+'Balance Ingresos'!D37</f>
        <v>54805194</v>
      </c>
      <c r="D30" s="272" t="e">
        <f>+'Balance Ingresos'!#REF!</f>
        <v>#REF!</v>
      </c>
      <c r="E30" s="272"/>
      <c r="F30" s="272">
        <v>0</v>
      </c>
      <c r="G30" s="272">
        <f>+'Balance Ingresos'!G37</f>
        <v>0</v>
      </c>
      <c r="H30" s="273" t="s">
        <v>6</v>
      </c>
    </row>
    <row r="31" spans="1:11" ht="8.25" customHeight="1">
      <c r="A31" s="279"/>
      <c r="B31" s="279"/>
      <c r="C31" s="280"/>
      <c r="D31" s="281" t="s">
        <v>6</v>
      </c>
      <c r="E31" s="281"/>
      <c r="F31" s="281" t="s">
        <v>6</v>
      </c>
      <c r="G31" s="269" t="s">
        <v>6</v>
      </c>
      <c r="H31" s="270" t="s">
        <v>6</v>
      </c>
    </row>
    <row r="32" spans="1:11" ht="24.95" customHeight="1">
      <c r="A32" s="282" t="s">
        <v>55</v>
      </c>
      <c r="B32" s="535"/>
      <c r="C32" s="283"/>
      <c r="D32" s="284" t="s">
        <v>6</v>
      </c>
      <c r="E32" s="284"/>
      <c r="F32" s="284" t="s">
        <v>6</v>
      </c>
      <c r="G32" s="539">
        <f>G17-G19+G26</f>
        <v>-8049548.9299999997</v>
      </c>
      <c r="H32" s="285" t="s">
        <v>6</v>
      </c>
    </row>
    <row r="33" spans="1:10" ht="14.25" customHeight="1">
      <c r="D33" s="34"/>
      <c r="E33" s="34"/>
      <c r="F33" s="34"/>
      <c r="G33" s="34"/>
      <c r="H33" s="34"/>
    </row>
    <row r="34" spans="1:10" ht="11.25" customHeight="1">
      <c r="A34" s="34" t="s">
        <v>6</v>
      </c>
      <c r="B34" s="34"/>
      <c r="C34" s="34"/>
    </row>
    <row r="35" spans="1:10" ht="11.25" customHeight="1">
      <c r="A35" s="34"/>
      <c r="B35" s="34"/>
      <c r="C35" s="34"/>
      <c r="J35" t="s">
        <v>6</v>
      </c>
    </row>
    <row r="36" spans="1:10" ht="11.25" customHeight="1">
      <c r="A36" s="34"/>
      <c r="B36" s="34"/>
      <c r="C36" s="34"/>
    </row>
    <row r="53" spans="7:7">
      <c r="G53" s="24" t="s">
        <v>6</v>
      </c>
    </row>
  </sheetData>
  <mergeCells count="8">
    <mergeCell ref="A2:H2"/>
    <mergeCell ref="A3:H3"/>
    <mergeCell ref="A4:H4"/>
    <mergeCell ref="A5:H5"/>
    <mergeCell ref="A7:A8"/>
    <mergeCell ref="H7:H8"/>
    <mergeCell ref="B7:F7"/>
    <mergeCell ref="G7:G8"/>
  </mergeCells>
  <phoneticPr fontId="3" type="noConversion"/>
  <pageMargins left="0.70866141732283472" right="0.59055118110236227" top="0.39370078740157483" bottom="0.39370078740157483" header="0.51181102362204722" footer="0.51181102362204722"/>
  <pageSetup scale="80" firstPageNumber="0" orientation="portrait" r:id="rId1"/>
  <headerFooter alignWithMargins="0"/>
  <ignoredErrors>
    <ignoredError sqref="C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tabColor theme="6" tint="0.39997558519241921"/>
  </sheetPr>
  <dimension ref="A8:I84"/>
  <sheetViews>
    <sheetView showGridLines="0" showZeros="0" topLeftCell="A160" workbookViewId="0">
      <pane ySplit="1530" activePane="bottomLeft"/>
      <selection activeCell="J160" sqref="J1:J1048576"/>
      <selection pane="bottomLeft" activeCell="N24" sqref="N24"/>
    </sheetView>
  </sheetViews>
  <sheetFormatPr baseColWidth="10" defaultColWidth="11.42578125" defaultRowHeight="12.75"/>
  <cols>
    <col min="1" max="1" width="32" style="24" customWidth="1"/>
    <col min="2" max="2" width="11.28515625" style="24" customWidth="1"/>
    <col min="3" max="3" width="12.7109375" style="24" customWidth="1"/>
    <col min="4" max="4" width="13.28515625" style="24" hidden="1" customWidth="1"/>
    <col min="5" max="5" width="15.140625" style="24" hidden="1" customWidth="1"/>
    <col min="6" max="6" width="12.28515625" style="24" customWidth="1"/>
    <col min="7" max="7" width="15.7109375" style="24" customWidth="1"/>
    <col min="8" max="8" width="12.5703125" style="24" hidden="1" customWidth="1"/>
    <col min="9" max="9" width="14.28515625" style="24" customWidth="1"/>
  </cols>
  <sheetData>
    <row r="8" spans="1:9" ht="20.100000000000001" customHeight="1">
      <c r="A8" s="636" t="s">
        <v>0</v>
      </c>
      <c r="B8" s="639" t="s">
        <v>33</v>
      </c>
      <c r="C8" s="640"/>
      <c r="D8" s="640"/>
      <c r="E8" s="640"/>
      <c r="F8" s="641"/>
      <c r="G8" s="642" t="s">
        <v>550</v>
      </c>
      <c r="H8" s="567"/>
      <c r="I8" s="629" t="s">
        <v>396</v>
      </c>
    </row>
    <row r="9" spans="1:9" ht="18" customHeight="1">
      <c r="A9" s="637"/>
      <c r="B9" s="568" t="s">
        <v>85</v>
      </c>
      <c r="C9" s="557" t="s">
        <v>11</v>
      </c>
      <c r="D9" s="557" t="s">
        <v>11</v>
      </c>
      <c r="E9" s="569" t="s">
        <v>11</v>
      </c>
      <c r="F9" s="569" t="s">
        <v>2</v>
      </c>
      <c r="G9" s="643"/>
      <c r="H9" s="570" t="s">
        <v>23</v>
      </c>
      <c r="I9" s="638"/>
    </row>
    <row r="10" spans="1:9" ht="6.75" customHeight="1">
      <c r="A10" s="289"/>
      <c r="B10" s="289"/>
      <c r="C10" s="290"/>
      <c r="D10" s="291"/>
      <c r="E10" s="292"/>
      <c r="F10" s="293"/>
      <c r="G10" s="293"/>
      <c r="H10" s="293"/>
      <c r="I10" s="294"/>
    </row>
    <row r="11" spans="1:9" ht="18" customHeight="1">
      <c r="A11" s="295" t="s">
        <v>24</v>
      </c>
      <c r="B11" s="295"/>
      <c r="C11" s="296"/>
      <c r="D11" s="297"/>
      <c r="E11" s="297"/>
      <c r="F11" s="297"/>
      <c r="G11" s="297"/>
      <c r="H11" s="297"/>
      <c r="I11" s="298"/>
    </row>
    <row r="12" spans="1:9" ht="9" customHeight="1">
      <c r="A12" s="199"/>
      <c r="B12" s="199"/>
      <c r="C12" s="299"/>
      <c r="D12" s="299"/>
      <c r="E12" s="299"/>
      <c r="F12" s="299"/>
      <c r="G12" s="299"/>
      <c r="H12" s="299"/>
      <c r="I12" s="205"/>
    </row>
    <row r="13" spans="1:9" ht="15" customHeight="1">
      <c r="A13" s="199" t="s">
        <v>25</v>
      </c>
      <c r="B13" s="300">
        <f>B16</f>
        <v>141094.80600000001</v>
      </c>
      <c r="C13" s="300">
        <f>C16</f>
        <v>141094.80600000001</v>
      </c>
      <c r="D13" s="300" t="e">
        <f>+D16</f>
        <v>#REF!</v>
      </c>
      <c r="E13" s="300" t="e">
        <f>+E16+#REF!</f>
        <v>#REF!</v>
      </c>
      <c r="F13" s="300">
        <f>+F16</f>
        <v>14395.976999999999</v>
      </c>
      <c r="G13" s="300">
        <f>+G16</f>
        <v>1120.7020400000001</v>
      </c>
      <c r="H13" s="301" t="e">
        <f>+G13-E13</f>
        <v>#REF!</v>
      </c>
      <c r="I13" s="202">
        <f>G13/F13*100</f>
        <v>7.7848279418618143</v>
      </c>
    </row>
    <row r="14" spans="1:9" ht="11.25" customHeight="1">
      <c r="A14" s="302"/>
      <c r="B14" s="303"/>
      <c r="C14" s="303"/>
      <c r="D14" s="303"/>
      <c r="E14" s="303"/>
      <c r="F14" s="303"/>
      <c r="G14" s="303"/>
      <c r="H14" s="303"/>
      <c r="I14" s="304" t="s">
        <v>6</v>
      </c>
    </row>
    <row r="15" spans="1:9" ht="15" customHeight="1">
      <c r="A15" s="199" t="s">
        <v>56</v>
      </c>
      <c r="B15" s="303"/>
      <c r="C15" s="303"/>
      <c r="D15" s="303"/>
      <c r="E15" s="303"/>
      <c r="F15" s="303"/>
      <c r="G15" s="303"/>
      <c r="H15" s="303"/>
      <c r="I15" s="304" t="s">
        <v>6</v>
      </c>
    </row>
    <row r="16" spans="1:9" ht="15" customHeight="1">
      <c r="A16" s="199" t="s">
        <v>57</v>
      </c>
      <c r="B16" s="300">
        <f>SUM(B17:B20)</f>
        <v>141094.80600000001</v>
      </c>
      <c r="C16" s="300">
        <f>SUM(C17:C20)</f>
        <v>141094.80600000001</v>
      </c>
      <c r="D16" s="300" t="e">
        <f>SUM(D17:D20)</f>
        <v>#REF!</v>
      </c>
      <c r="E16" s="300">
        <f>SUM(E17:E20)</f>
        <v>141094.80600000001</v>
      </c>
      <c r="F16" s="300">
        <f>+F17+F18+F19+F20</f>
        <v>14395.976999999999</v>
      </c>
      <c r="G16" s="305">
        <f>+('Balance Ingresos'!G13)/1000</f>
        <v>1120.7020400000001</v>
      </c>
      <c r="H16" s="301">
        <f>+G16-E16</f>
        <v>-139974.10396000001</v>
      </c>
      <c r="I16" s="202">
        <f t="shared" ref="I16:I52" si="0">G16/F16*100</f>
        <v>7.7848279418618143</v>
      </c>
    </row>
    <row r="17" spans="1:9" ht="15" customHeight="1">
      <c r="A17" s="210" t="s">
        <v>58</v>
      </c>
      <c r="B17" s="305">
        <f>+('Balance Ingresos'!C15)/1000</f>
        <v>5476.4920000000002</v>
      </c>
      <c r="C17" s="305">
        <f>+('Balance Ingresos'!D15)/1000</f>
        <v>5476.4920000000002</v>
      </c>
      <c r="D17" s="305" t="e">
        <f>+('Balance Ingresos'!#REF!)/1000</f>
        <v>#REF!</v>
      </c>
      <c r="E17" s="305">
        <f>+('Balance Ingresos'!D15)/1000</f>
        <v>5476.4920000000002</v>
      </c>
      <c r="F17" s="305">
        <f>+('Balance Ingresos'!E15)/1000</f>
        <v>376.76600000000002</v>
      </c>
      <c r="G17" s="305">
        <f>+('Balance Ingresos'!G15)/1000</f>
        <v>300.14282999999995</v>
      </c>
      <c r="H17" s="306">
        <f>+G17-E17</f>
        <v>-5176.3491700000004</v>
      </c>
      <c r="I17" s="209">
        <f t="shared" si="0"/>
        <v>79.662928714374431</v>
      </c>
    </row>
    <row r="18" spans="1:9" ht="15" customHeight="1">
      <c r="A18" s="210" t="s">
        <v>440</v>
      </c>
      <c r="B18" s="305">
        <f>+('Balance Ingresos'!C21)/1000</f>
        <v>127866.63400000001</v>
      </c>
      <c r="C18" s="305">
        <f>+('Balance Ingresos'!D21)/1000</f>
        <v>127866.63400000001</v>
      </c>
      <c r="D18" s="305">
        <f>+('Balance Ingresos'!D21)/1000</f>
        <v>127866.63400000001</v>
      </c>
      <c r="E18" s="305">
        <f>+('Balance Ingresos'!D21)/1000</f>
        <v>127866.63400000001</v>
      </c>
      <c r="F18" s="305">
        <f>+('Balance Ingresos'!E21)/1000</f>
        <v>13488.927</v>
      </c>
      <c r="G18" s="305">
        <f>+('Balance Ingresos'!G21)/1000</f>
        <v>0</v>
      </c>
      <c r="H18" s="306">
        <f>+G18-E18</f>
        <v>-127866.63400000001</v>
      </c>
      <c r="I18" s="209">
        <f t="shared" si="0"/>
        <v>0</v>
      </c>
    </row>
    <row r="19" spans="1:9" ht="15" customHeight="1">
      <c r="A19" s="210" t="s">
        <v>59</v>
      </c>
      <c r="B19" s="305">
        <f>+('Balance Ingresos'!C26)/1000</f>
        <v>5251.68</v>
      </c>
      <c r="C19" s="305">
        <f>+('Balance Ingresos'!D26)/1000</f>
        <v>5251.68</v>
      </c>
      <c r="D19" s="305" t="e">
        <f>+('Balance Ingresos'!#REF!)/1000</f>
        <v>#REF!</v>
      </c>
      <c r="E19" s="305">
        <f>+('Balance Ingresos'!D26)/1000</f>
        <v>5251.68</v>
      </c>
      <c r="F19" s="305">
        <f>+('Balance Ingresos'!E26)/1000</f>
        <v>363.61700000000002</v>
      </c>
      <c r="G19" s="305">
        <f>+('Balance Ingresos'!G26)/1000</f>
        <v>764.41389000000004</v>
      </c>
      <c r="H19" s="306">
        <f>+G19-E19</f>
        <v>-4487.2661100000005</v>
      </c>
      <c r="I19" s="209">
        <f t="shared" si="0"/>
        <v>210.22501423200785</v>
      </c>
    </row>
    <row r="20" spans="1:9" ht="15" customHeight="1">
      <c r="A20" s="210" t="s">
        <v>60</v>
      </c>
      <c r="B20" s="305">
        <f>+('Balance Ingresos'!C31)/1000</f>
        <v>2500</v>
      </c>
      <c r="C20" s="305">
        <f>+('Balance Ingresos'!D31)/1000</f>
        <v>2500</v>
      </c>
      <c r="D20" s="305" t="e">
        <f>+('Balance Ingresos'!#REF!)/1000</f>
        <v>#REF!</v>
      </c>
      <c r="E20" s="305">
        <f>+('Balance Ingresos'!D31)/1000</f>
        <v>2500</v>
      </c>
      <c r="F20" s="305">
        <f>+('Balance Ingresos'!E31)/1000</f>
        <v>166.667</v>
      </c>
      <c r="G20" s="305">
        <f>+('Balance Ingresos'!G31)/1000</f>
        <v>56.145319999999998</v>
      </c>
      <c r="H20" s="306">
        <f>+G20-E20</f>
        <v>-2443.8546799999999</v>
      </c>
      <c r="I20" s="209">
        <f t="shared" si="0"/>
        <v>33.687124625750748</v>
      </c>
    </row>
    <row r="21" spans="1:9" ht="9" customHeight="1">
      <c r="A21" s="302"/>
      <c r="B21" s="303"/>
      <c r="C21" s="303"/>
      <c r="D21" s="303"/>
      <c r="E21" s="303"/>
      <c r="F21" s="303"/>
      <c r="G21" s="303"/>
      <c r="H21" s="303"/>
      <c r="I21" s="304" t="s">
        <v>6</v>
      </c>
    </row>
    <row r="22" spans="1:9" ht="15" customHeight="1">
      <c r="A22" s="199" t="s">
        <v>10</v>
      </c>
      <c r="B22" s="303">
        <f t="shared" ref="B22:G22" si="1">SUM(B24:B26)</f>
        <v>2100</v>
      </c>
      <c r="C22" s="303">
        <f t="shared" si="1"/>
        <v>7310.5339999999997</v>
      </c>
      <c r="D22" s="300" t="e">
        <f t="shared" si="1"/>
        <v>#REF!</v>
      </c>
      <c r="E22" s="300">
        <f t="shared" si="1"/>
        <v>7310.5339999999997</v>
      </c>
      <c r="F22" s="300">
        <f t="shared" si="1"/>
        <v>5059.3770000000004</v>
      </c>
      <c r="G22" s="300">
        <f t="shared" si="1"/>
        <v>420</v>
      </c>
      <c r="H22" s="301">
        <f>+G22-E22</f>
        <v>-6890.5339999999997</v>
      </c>
      <c r="I22" s="202">
        <f t="shared" si="0"/>
        <v>8.301417348420566</v>
      </c>
    </row>
    <row r="23" spans="1:9" ht="9" customHeight="1">
      <c r="A23" s="302"/>
      <c r="B23" s="303"/>
      <c r="C23" s="303"/>
      <c r="D23" s="303"/>
      <c r="E23" s="303"/>
      <c r="F23" s="303"/>
      <c r="G23" s="303"/>
      <c r="H23" s="307"/>
      <c r="I23" s="304" t="s">
        <v>6</v>
      </c>
    </row>
    <row r="24" spans="1:9" ht="15" customHeight="1">
      <c r="A24" s="210" t="s">
        <v>441</v>
      </c>
      <c r="B24" s="305">
        <f>+('Balance Ingresos'!C40)/1000</f>
        <v>2100</v>
      </c>
      <c r="C24" s="305">
        <f>+('Balance Ingresos'!D40)/1000</f>
        <v>2100</v>
      </c>
      <c r="D24" s="305" t="e">
        <f>+('Balance Ingresos'!#REF!)/1000</f>
        <v>#REF!</v>
      </c>
      <c r="E24" s="305">
        <f>+('Balance Ingresos'!D40)/1000</f>
        <v>2100</v>
      </c>
      <c r="F24" s="305">
        <f>+('Balance Ingresos'!E40)/1000</f>
        <v>420</v>
      </c>
      <c r="G24" s="305">
        <f>+('Balance Ingresos'!G40)/1000</f>
        <v>420</v>
      </c>
      <c r="H24" s="306">
        <f>+G24-E24</f>
        <v>-1680</v>
      </c>
      <c r="I24" s="209">
        <f t="shared" si="0"/>
        <v>100</v>
      </c>
    </row>
    <row r="25" spans="1:9" ht="15" customHeight="1">
      <c r="A25" s="210" t="s">
        <v>61</v>
      </c>
      <c r="B25" s="305">
        <v>0</v>
      </c>
      <c r="C25" s="305">
        <v>0</v>
      </c>
      <c r="D25" s="305">
        <v>0</v>
      </c>
      <c r="E25" s="305">
        <v>0</v>
      </c>
      <c r="F25" s="305">
        <v>0</v>
      </c>
      <c r="G25" s="305">
        <v>0</v>
      </c>
      <c r="H25" s="306">
        <f>+G25-E25</f>
        <v>0</v>
      </c>
      <c r="I25" s="209" t="s">
        <v>6</v>
      </c>
    </row>
    <row r="26" spans="1:9" ht="15" customHeight="1">
      <c r="A26" s="199" t="s">
        <v>442</v>
      </c>
      <c r="B26" s="305">
        <f t="shared" ref="B26:G26" si="2">SUM(B27)</f>
        <v>0</v>
      </c>
      <c r="C26" s="305">
        <f t="shared" si="2"/>
        <v>5210.5339999999997</v>
      </c>
      <c r="D26" s="300" t="e">
        <f t="shared" si="2"/>
        <v>#REF!</v>
      </c>
      <c r="E26" s="300">
        <f t="shared" si="2"/>
        <v>5210.5339999999997</v>
      </c>
      <c r="F26" s="300">
        <f t="shared" si="2"/>
        <v>4639.3770000000004</v>
      </c>
      <c r="G26" s="300">
        <f t="shared" si="2"/>
        <v>0</v>
      </c>
      <c r="H26" s="301">
        <f>+G26-E26</f>
        <v>-5210.5339999999997</v>
      </c>
      <c r="I26" s="202">
        <f t="shared" si="0"/>
        <v>0</v>
      </c>
    </row>
    <row r="27" spans="1:9" ht="15" customHeight="1">
      <c r="A27" s="210" t="s">
        <v>443</v>
      </c>
      <c r="B27" s="305">
        <f>+('Balance Ingresos'!C45)/1000</f>
        <v>0</v>
      </c>
      <c r="C27" s="305">
        <f>+('Balance Ingresos'!D45)/1000</f>
        <v>5210.5339999999997</v>
      </c>
      <c r="D27" s="305" t="e">
        <f>+('Balance Ingresos'!#REF!)/1000</f>
        <v>#REF!</v>
      </c>
      <c r="E27" s="305">
        <f>+('Balance Ingresos'!D45)/1000</f>
        <v>5210.5339999999997</v>
      </c>
      <c r="F27" s="305">
        <f>+('Balance Ingresos'!E45)/1000</f>
        <v>4639.3770000000004</v>
      </c>
      <c r="G27" s="305">
        <f>+('Balance Ingresos'!G37)/1000</f>
        <v>0</v>
      </c>
      <c r="H27" s="306">
        <f>+G27-E27</f>
        <v>-5210.5339999999997</v>
      </c>
      <c r="I27" s="209">
        <f t="shared" si="0"/>
        <v>0</v>
      </c>
    </row>
    <row r="28" spans="1:9" ht="15" customHeight="1">
      <c r="A28" s="210" t="s">
        <v>62</v>
      </c>
      <c r="B28" s="305"/>
      <c r="C28" s="305"/>
      <c r="D28" s="305"/>
      <c r="E28" s="305"/>
      <c r="F28" s="305"/>
      <c r="G28" s="305"/>
      <c r="H28" s="306"/>
      <c r="I28" s="209" t="s">
        <v>6</v>
      </c>
    </row>
    <row r="29" spans="1:9" ht="9" customHeight="1">
      <c r="A29" s="210"/>
      <c r="B29" s="305"/>
      <c r="C29" s="305"/>
      <c r="D29" s="305"/>
      <c r="E29" s="305"/>
      <c r="F29" s="305"/>
      <c r="G29" s="305"/>
      <c r="H29" s="306"/>
      <c r="I29" s="209" t="s">
        <v>6</v>
      </c>
    </row>
    <row r="30" spans="1:9" ht="18" customHeight="1">
      <c r="A30" s="199" t="s">
        <v>63</v>
      </c>
      <c r="B30" s="300">
        <f t="shared" ref="B30:G30" si="3">+B13+B22</f>
        <v>143194.80600000001</v>
      </c>
      <c r="C30" s="300">
        <f t="shared" si="3"/>
        <v>148405.34000000003</v>
      </c>
      <c r="D30" s="300" t="e">
        <f t="shared" si="3"/>
        <v>#REF!</v>
      </c>
      <c r="E30" s="300" t="e">
        <f t="shared" si="3"/>
        <v>#REF!</v>
      </c>
      <c r="F30" s="300">
        <f t="shared" si="3"/>
        <v>19455.353999999999</v>
      </c>
      <c r="G30" s="300">
        <f t="shared" si="3"/>
        <v>1540.7020400000001</v>
      </c>
      <c r="H30" s="301" t="e">
        <f>+G30-E30</f>
        <v>#REF!</v>
      </c>
      <c r="I30" s="202">
        <f t="shared" si="0"/>
        <v>7.9191673407741652</v>
      </c>
    </row>
    <row r="31" spans="1:9" ht="9" customHeight="1">
      <c r="A31" s="210"/>
      <c r="B31" s="208"/>
      <c r="C31" s="208"/>
      <c r="D31" s="305"/>
      <c r="E31" s="305"/>
      <c r="F31" s="305"/>
      <c r="G31" s="305"/>
      <c r="H31" s="305"/>
      <c r="I31" s="209" t="s">
        <v>6</v>
      </c>
    </row>
    <row r="32" spans="1:9" ht="18" customHeight="1">
      <c r="A32" s="295" t="s">
        <v>26</v>
      </c>
      <c r="B32" s="308"/>
      <c r="C32" s="308"/>
      <c r="D32" s="305"/>
      <c r="E32" s="305"/>
      <c r="F32" s="305"/>
      <c r="G32" s="305"/>
      <c r="H32" s="305"/>
      <c r="I32" s="209" t="s">
        <v>6</v>
      </c>
    </row>
    <row r="33" spans="1:9" ht="9" customHeight="1">
      <c r="A33" s="210"/>
      <c r="B33" s="208"/>
      <c r="C33" s="208"/>
      <c r="D33" s="305"/>
      <c r="E33" s="305"/>
      <c r="F33" s="305"/>
      <c r="G33" s="305"/>
      <c r="H33" s="305"/>
      <c r="I33" s="209" t="s">
        <v>6</v>
      </c>
    </row>
    <row r="34" spans="1:9" ht="15" customHeight="1">
      <c r="A34" s="199" t="s">
        <v>27</v>
      </c>
      <c r="B34" s="300">
        <f>+B36+B43</f>
        <v>294383.179</v>
      </c>
      <c r="C34" s="300">
        <f t="shared" ref="C34" si="4">+C36+C43</f>
        <v>169083.45000000004</v>
      </c>
      <c r="D34" s="300" t="e">
        <f>+D36+D43+#REF!</f>
        <v>#REF!</v>
      </c>
      <c r="E34" s="300" t="e">
        <f>+E36+E43+#REF!</f>
        <v>#REF!</v>
      </c>
      <c r="F34" s="300">
        <f>+F36+F43</f>
        <v>19912.334999999999</v>
      </c>
      <c r="G34" s="300">
        <f>+G36+G43</f>
        <v>7119.8858300000002</v>
      </c>
      <c r="H34" s="300" t="e">
        <f>+E34-G34</f>
        <v>#REF!</v>
      </c>
      <c r="I34" s="202">
        <f t="shared" si="0"/>
        <v>35.75615732660183</v>
      </c>
    </row>
    <row r="35" spans="1:9" ht="15" customHeight="1">
      <c r="A35" s="210"/>
      <c r="B35" s="208"/>
      <c r="C35" s="208"/>
      <c r="D35" s="305"/>
      <c r="E35" s="305"/>
      <c r="F35" s="305"/>
      <c r="G35" s="305"/>
      <c r="H35" s="305"/>
      <c r="I35" s="209"/>
    </row>
    <row r="36" spans="1:9" ht="18" customHeight="1">
      <c r="A36" s="199" t="s">
        <v>444</v>
      </c>
      <c r="B36" s="300">
        <f>SUM(B37:B41)</f>
        <v>292090.53899999999</v>
      </c>
      <c r="C36" s="300">
        <f>SUM(C38:C41)</f>
        <v>166790.81000000003</v>
      </c>
      <c r="D36" s="300">
        <f>SUM(D37:D41)</f>
        <v>138802.166</v>
      </c>
      <c r="E36" s="300">
        <f>SUM(E37:E41)</f>
        <v>138802.166</v>
      </c>
      <c r="F36" s="300">
        <f>SUM(F37:F41)</f>
        <v>18067.778999999999</v>
      </c>
      <c r="G36" s="300">
        <f>SUM(G37:G41)</f>
        <v>7114.9169400000001</v>
      </c>
      <c r="H36" s="300">
        <f t="shared" ref="H36:H41" si="5">+E36-G36</f>
        <v>131687.24906</v>
      </c>
      <c r="I36" s="202">
        <f t="shared" si="0"/>
        <v>39.379034578627511</v>
      </c>
    </row>
    <row r="37" spans="1:9" ht="20.25" customHeight="1">
      <c r="A37" s="210" t="s">
        <v>343</v>
      </c>
      <c r="B37" s="305">
        <f>(+Funcionamiento!C11)/1000</f>
        <v>125299.72900000001</v>
      </c>
      <c r="C37" s="305">
        <f>(+Funcionamiento!C11)/1000</f>
        <v>125299.72900000001</v>
      </c>
      <c r="D37" s="305">
        <f>(+Funcionamiento!D11)/1000</f>
        <v>125299.72900000001</v>
      </c>
      <c r="E37" s="305">
        <f>(+Funcionamiento!D11)/1000</f>
        <v>125299.72900000001</v>
      </c>
      <c r="F37" s="305">
        <f>(+Funcionamiento!E11)/1000</f>
        <v>12008.796</v>
      </c>
      <c r="G37" s="305">
        <f>(+Funcionamiento!G11)/1000</f>
        <v>6955.17983</v>
      </c>
      <c r="H37" s="305">
        <f t="shared" si="5"/>
        <v>118344.54917000001</v>
      </c>
      <c r="I37" s="209">
        <f t="shared" si="0"/>
        <v>57.917378478242107</v>
      </c>
    </row>
    <row r="38" spans="1:9" ht="17.25" customHeight="1">
      <c r="A38" s="210" t="s">
        <v>445</v>
      </c>
      <c r="B38" s="305">
        <f>(+Funcionamiento!C12)/1000</f>
        <v>83395.404999999999</v>
      </c>
      <c r="C38" s="305">
        <f>(+Funcionamiento!C12)/1000</f>
        <v>83395.404999999999</v>
      </c>
      <c r="D38" s="305">
        <f>(+Funcionamiento!D37)/1000</f>
        <v>7951.9620000000004</v>
      </c>
      <c r="E38" s="305">
        <f>(+Funcionamiento!D37)/1000</f>
        <v>7951.9620000000004</v>
      </c>
      <c r="F38" s="305">
        <f>(+Funcionamiento!E37)/1000</f>
        <v>2782.54</v>
      </c>
      <c r="G38" s="305">
        <f>(+Funcionamiento!G37)/1000</f>
        <v>39.586610000000007</v>
      </c>
      <c r="H38" s="305">
        <f t="shared" si="5"/>
        <v>7912.3753900000002</v>
      </c>
      <c r="I38" s="209">
        <f t="shared" si="0"/>
        <v>1.4226789192608196</v>
      </c>
    </row>
    <row r="39" spans="1:9" ht="15.75" customHeight="1">
      <c r="A39" s="210" t="s">
        <v>64</v>
      </c>
      <c r="B39" s="305">
        <f>(+Funcionamiento!C13)/1000</f>
        <v>71073.044999999998</v>
      </c>
      <c r="C39" s="305">
        <f>(+Funcionamiento!C13)/1000</f>
        <v>71073.044999999998</v>
      </c>
      <c r="D39" s="305">
        <f>(+Funcionamiento!D93)/1000</f>
        <v>3342.5610000000001</v>
      </c>
      <c r="E39" s="305">
        <f>(+Funcionamiento!D93)/1000</f>
        <v>3342.5610000000001</v>
      </c>
      <c r="F39" s="305">
        <f>(+Funcionamiento!E93)/1000</f>
        <v>2276.4430000000002</v>
      </c>
      <c r="G39" s="305">
        <f>(+Funcionamiento!G93)/1000</f>
        <v>120.15049999999999</v>
      </c>
      <c r="H39" s="305">
        <f t="shared" si="5"/>
        <v>3222.4105</v>
      </c>
      <c r="I39" s="209">
        <f t="shared" si="0"/>
        <v>5.2779929038416507</v>
      </c>
    </row>
    <row r="40" spans="1:9" ht="15" customHeight="1">
      <c r="A40" s="210" t="s">
        <v>65</v>
      </c>
      <c r="B40" s="305">
        <f>(+Funcionamiento!C14)/1000</f>
        <v>3944.2359999999999</v>
      </c>
      <c r="C40" s="305">
        <f>(+Funcionamiento!C14)/1000</f>
        <v>3944.2359999999999</v>
      </c>
      <c r="D40" s="305">
        <f>(+Funcionamiento!C153)/1000</f>
        <v>0</v>
      </c>
      <c r="E40" s="305">
        <f>(+Funcionamiento!D153)/1000</f>
        <v>0</v>
      </c>
      <c r="F40" s="305">
        <f>(+Funcionamiento!E153)/1000</f>
        <v>0</v>
      </c>
      <c r="G40" s="305">
        <f>(+Funcionamiento!G153)/1000</f>
        <v>0</v>
      </c>
      <c r="H40" s="305">
        <f>+E40-G40</f>
        <v>0</v>
      </c>
      <c r="I40" s="209" t="s">
        <v>6</v>
      </c>
    </row>
    <row r="41" spans="1:9" ht="17.25" customHeight="1">
      <c r="A41" s="210" t="s">
        <v>446</v>
      </c>
      <c r="B41" s="305">
        <f>(+Funcionamiento!C15)/1000</f>
        <v>8378.1239999999998</v>
      </c>
      <c r="C41" s="305">
        <f>(+Funcionamiento!C15)/1000</f>
        <v>8378.1239999999998</v>
      </c>
      <c r="D41" s="305">
        <f>(+Funcionamiento!D181)/1000</f>
        <v>2207.9140000000002</v>
      </c>
      <c r="E41" s="305">
        <f>(+Funcionamiento!D181)/1000</f>
        <v>2207.9140000000002</v>
      </c>
      <c r="F41" s="305">
        <f>(+Funcionamiento!E181)/1000</f>
        <v>1000</v>
      </c>
      <c r="G41" s="305">
        <f>(+Funcionamiento!G181)/1000</f>
        <v>0</v>
      </c>
      <c r="H41" s="305">
        <f t="shared" si="5"/>
        <v>2207.9140000000002</v>
      </c>
      <c r="I41" s="209">
        <f t="shared" si="0"/>
        <v>0</v>
      </c>
    </row>
    <row r="42" spans="1:9" ht="9" customHeight="1">
      <c r="A42" s="210" t="s">
        <v>6</v>
      </c>
      <c r="B42" s="208"/>
      <c r="C42" s="208"/>
      <c r="D42" s="305">
        <v>0</v>
      </c>
      <c r="E42" s="305">
        <v>0</v>
      </c>
      <c r="F42" s="305" t="s">
        <v>6</v>
      </c>
      <c r="G42" s="305" t="s">
        <v>6</v>
      </c>
      <c r="H42" s="305"/>
      <c r="I42" s="209" t="s">
        <v>6</v>
      </c>
    </row>
    <row r="43" spans="1:9" ht="15" customHeight="1">
      <c r="A43" s="199" t="s">
        <v>447</v>
      </c>
      <c r="B43" s="300">
        <f>(+Funcionamiento!C186)/1000</f>
        <v>2292.64</v>
      </c>
      <c r="C43" s="300">
        <f>(+Funcionamiento!C186)/1000</f>
        <v>2292.64</v>
      </c>
      <c r="D43" s="300">
        <f>(+Funcionamiento!D186)/1000</f>
        <v>2292.64</v>
      </c>
      <c r="E43" s="300">
        <f>(+Funcionamiento!D186)/1000</f>
        <v>2292.64</v>
      </c>
      <c r="F43" s="300">
        <f>(+Funcionamiento!E186)/1000</f>
        <v>1844.556</v>
      </c>
      <c r="G43" s="300">
        <f>(+Funcionamiento!G186)/1000</f>
        <v>4.9688899999999991</v>
      </c>
      <c r="H43" s="300">
        <f>+E43-G43</f>
        <v>2287.6711099999998</v>
      </c>
      <c r="I43" s="202">
        <f t="shared" si="0"/>
        <v>0.26938135789859452</v>
      </c>
    </row>
    <row r="44" spans="1:9" ht="8.25" customHeight="1">
      <c r="A44" s="210"/>
      <c r="B44" s="208"/>
      <c r="C44" s="208"/>
      <c r="D44" s="305"/>
      <c r="E44" s="305"/>
      <c r="F44" s="305"/>
      <c r="G44" s="305"/>
      <c r="H44" s="305"/>
      <c r="I44" s="209" t="s">
        <v>6</v>
      </c>
    </row>
    <row r="45" spans="1:9" ht="15" customHeight="1">
      <c r="A45" s="199" t="s">
        <v>28</v>
      </c>
      <c r="B45" s="300">
        <f t="shared" ref="B45:G45" si="6">SUM(B47)</f>
        <v>56905.194000000003</v>
      </c>
      <c r="C45" s="300">
        <f t="shared" si="6"/>
        <v>56905.194000000003</v>
      </c>
      <c r="D45" s="300">
        <f t="shared" si="6"/>
        <v>56905.194000000003</v>
      </c>
      <c r="E45" s="300" t="e">
        <f t="shared" si="6"/>
        <v>#REF!</v>
      </c>
      <c r="F45" s="300">
        <f t="shared" si="6"/>
        <v>12918.472</v>
      </c>
      <c r="G45" s="300">
        <f t="shared" si="6"/>
        <v>2470.3651400000003</v>
      </c>
      <c r="H45" s="300" t="e">
        <f>+E45-G45</f>
        <v>#REF!</v>
      </c>
      <c r="I45" s="202">
        <f t="shared" si="0"/>
        <v>19.122734794022083</v>
      </c>
    </row>
    <row r="46" spans="1:9" ht="15" customHeight="1">
      <c r="A46" s="210"/>
      <c r="B46" s="208"/>
      <c r="C46" s="208"/>
      <c r="D46" s="305"/>
      <c r="E46" s="305"/>
      <c r="F46" s="305"/>
      <c r="G46" s="305"/>
      <c r="H46" s="305"/>
      <c r="I46" s="209" t="s">
        <v>6</v>
      </c>
    </row>
    <row r="47" spans="1:9" ht="15" customHeight="1">
      <c r="A47" s="210" t="s">
        <v>448</v>
      </c>
      <c r="B47" s="305">
        <f>+(Proyectos!B40)/1000</f>
        <v>56905.194000000003</v>
      </c>
      <c r="C47" s="305">
        <f>+(Proyectos!B40)/1000</f>
        <v>56905.194000000003</v>
      </c>
      <c r="D47" s="305">
        <f>+(Proyectos!C40)/1000</f>
        <v>56905.194000000003</v>
      </c>
      <c r="E47" s="305" t="e">
        <f>+(#REF!)/1000</f>
        <v>#REF!</v>
      </c>
      <c r="F47" s="305">
        <f>+(Proyectos!D40)/1000</f>
        <v>12918.472</v>
      </c>
      <c r="G47" s="305">
        <f>+(Proyectos!F40)/1000</f>
        <v>2470.3651400000003</v>
      </c>
      <c r="H47" s="305" t="e">
        <f>+E47-G47</f>
        <v>#REF!</v>
      </c>
      <c r="I47" s="209">
        <f t="shared" si="0"/>
        <v>19.122734794022083</v>
      </c>
    </row>
    <row r="48" spans="1:9" ht="14.25" customHeight="1">
      <c r="A48" s="210" t="s">
        <v>66</v>
      </c>
      <c r="B48" s="208"/>
      <c r="C48" s="305">
        <f>+(Proyectos!B41)/1000</f>
        <v>0</v>
      </c>
      <c r="D48" s="305">
        <v>0</v>
      </c>
      <c r="E48" s="305">
        <v>0</v>
      </c>
      <c r="F48" s="305">
        <v>0</v>
      </c>
      <c r="G48" s="305">
        <v>0</v>
      </c>
      <c r="H48" s="305">
        <f>+E48-G48</f>
        <v>0</v>
      </c>
      <c r="I48" s="209" t="s">
        <v>6</v>
      </c>
    </row>
    <row r="49" spans="1:9" ht="15" customHeight="1">
      <c r="A49" s="210" t="s">
        <v>449</v>
      </c>
      <c r="B49" s="208"/>
      <c r="C49" s="305">
        <f>+(Proyectos!B42)/1000</f>
        <v>0</v>
      </c>
      <c r="D49" s="305" t="s">
        <v>6</v>
      </c>
      <c r="E49" s="305" t="s">
        <v>6</v>
      </c>
      <c r="F49" s="305" t="s">
        <v>6</v>
      </c>
      <c r="G49" s="305" t="s">
        <v>6</v>
      </c>
      <c r="H49" s="305" t="s">
        <v>6</v>
      </c>
      <c r="I49" s="209" t="s">
        <v>6</v>
      </c>
    </row>
    <row r="50" spans="1:9" ht="15" customHeight="1">
      <c r="A50" s="210" t="s">
        <v>67</v>
      </c>
      <c r="B50" s="208"/>
      <c r="C50" s="208"/>
      <c r="D50" s="305">
        <v>0</v>
      </c>
      <c r="E50" s="305">
        <v>0</v>
      </c>
      <c r="F50" s="305">
        <v>0</v>
      </c>
      <c r="G50" s="305">
        <v>0</v>
      </c>
      <c r="H50" s="305">
        <f>+E50-G50</f>
        <v>0</v>
      </c>
      <c r="I50" s="209" t="s">
        <v>6</v>
      </c>
    </row>
    <row r="51" spans="1:9" ht="8.25" customHeight="1">
      <c r="A51" s="210"/>
      <c r="B51" s="208"/>
      <c r="C51" s="208"/>
      <c r="D51" s="305"/>
      <c r="E51" s="305"/>
      <c r="F51" s="305"/>
      <c r="G51" s="305"/>
      <c r="H51" s="305"/>
      <c r="I51" s="209" t="s">
        <v>6</v>
      </c>
    </row>
    <row r="52" spans="1:9" ht="18" customHeight="1">
      <c r="A52" s="199" t="s">
        <v>68</v>
      </c>
      <c r="B52" s="300">
        <f t="shared" ref="B52:H52" si="7">+B34+B45</f>
        <v>351288.37300000002</v>
      </c>
      <c r="C52" s="300">
        <f t="shared" si="7"/>
        <v>225988.64400000003</v>
      </c>
      <c r="D52" s="300" t="e">
        <f t="shared" si="7"/>
        <v>#REF!</v>
      </c>
      <c r="E52" s="300" t="e">
        <f t="shared" si="7"/>
        <v>#REF!</v>
      </c>
      <c r="F52" s="300">
        <f t="shared" si="7"/>
        <v>32830.807000000001</v>
      </c>
      <c r="G52" s="300">
        <f t="shared" si="7"/>
        <v>9590.250970000001</v>
      </c>
      <c r="H52" s="300" t="e">
        <f t="shared" si="7"/>
        <v>#REF!</v>
      </c>
      <c r="I52" s="202">
        <f t="shared" si="0"/>
        <v>29.211133829272001</v>
      </c>
    </row>
    <row r="53" spans="1:9" ht="9" customHeight="1">
      <c r="A53" s="210"/>
      <c r="B53" s="210"/>
      <c r="C53" s="208"/>
      <c r="D53" s="305"/>
      <c r="E53" s="305"/>
      <c r="F53" s="305"/>
      <c r="G53" s="305"/>
      <c r="H53" s="305"/>
      <c r="I53" s="209" t="s">
        <v>6</v>
      </c>
    </row>
    <row r="54" spans="1:9" ht="21.75" customHeight="1">
      <c r="A54" s="309" t="s">
        <v>29</v>
      </c>
      <c r="B54" s="538"/>
      <c r="C54" s="310"/>
      <c r="D54" s="311" t="s">
        <v>6</v>
      </c>
      <c r="E54" s="311" t="e">
        <f>E30-E52</f>
        <v>#REF!</v>
      </c>
      <c r="F54" s="312" t="s">
        <v>6</v>
      </c>
      <c r="G54" s="313">
        <f>G30-G52</f>
        <v>-8049.5489300000008</v>
      </c>
      <c r="H54" s="312" t="s">
        <v>6</v>
      </c>
      <c r="I54" s="314" t="s">
        <v>6</v>
      </c>
    </row>
    <row r="55" spans="1:9" ht="15" customHeight="1">
      <c r="A55" s="36"/>
      <c r="B55" s="36"/>
      <c r="C55" s="36"/>
      <c r="D55" s="36"/>
      <c r="E55" s="41"/>
      <c r="F55" s="41"/>
      <c r="G55" s="41"/>
      <c r="H55" s="42"/>
      <c r="I55" s="35"/>
    </row>
    <row r="56" spans="1:9" ht="15" customHeight="1">
      <c r="A56" s="34"/>
      <c r="B56" s="34"/>
      <c r="C56" s="34"/>
      <c r="D56" s="34"/>
      <c r="E56" s="34"/>
      <c r="F56" s="34"/>
      <c r="H56" s="42"/>
      <c r="I56" s="35"/>
    </row>
    <row r="57" spans="1:9" ht="15" customHeight="1">
      <c r="A57" s="34"/>
      <c r="B57" s="34"/>
      <c r="C57" s="34"/>
      <c r="D57" s="34"/>
      <c r="E57" s="34"/>
      <c r="F57" s="34"/>
      <c r="I57" s="35"/>
    </row>
    <row r="58" spans="1:9" ht="15" customHeight="1">
      <c r="A58" s="34"/>
      <c r="B58" s="34"/>
      <c r="C58" s="34"/>
      <c r="D58" s="34"/>
      <c r="I58" s="35"/>
    </row>
    <row r="59" spans="1:9">
      <c r="A59" s="34"/>
      <c r="B59" s="34"/>
      <c r="C59" s="34"/>
      <c r="D59" s="34"/>
      <c r="I59" s="35"/>
    </row>
    <row r="60" spans="1:9">
      <c r="A60" s="34"/>
      <c r="B60" s="34"/>
      <c r="C60" s="34"/>
      <c r="D60" s="34"/>
      <c r="I60" s="35"/>
    </row>
    <row r="61" spans="1:9">
      <c r="A61" s="34"/>
      <c r="B61" s="34"/>
      <c r="C61" s="34"/>
      <c r="D61" s="34"/>
      <c r="I61" s="35"/>
    </row>
    <row r="62" spans="1:9" ht="15">
      <c r="A62" s="34"/>
      <c r="B62" s="34"/>
      <c r="C62" s="34"/>
      <c r="D62" s="34"/>
      <c r="E62" s="37"/>
      <c r="F62" s="37"/>
      <c r="G62" s="37"/>
      <c r="H62" s="38"/>
      <c r="I62" s="35"/>
    </row>
    <row r="63" spans="1:9" ht="15">
      <c r="A63" s="34"/>
      <c r="B63" s="34"/>
      <c r="C63" s="34"/>
      <c r="D63" s="34"/>
      <c r="E63" s="37"/>
      <c r="F63" s="37"/>
      <c r="G63" s="37"/>
      <c r="H63" s="38"/>
      <c r="I63" s="35"/>
    </row>
    <row r="64" spans="1:9">
      <c r="A64" s="34"/>
      <c r="B64" s="34"/>
      <c r="C64" s="34"/>
      <c r="D64" s="34"/>
      <c r="I64" s="35"/>
    </row>
    <row r="65" spans="9:9">
      <c r="I65" s="35"/>
    </row>
    <row r="66" spans="9:9">
      <c r="I66" s="35"/>
    </row>
    <row r="67" spans="9:9">
      <c r="I67" s="35"/>
    </row>
    <row r="68" spans="9:9">
      <c r="I68" s="35"/>
    </row>
    <row r="69" spans="9:9">
      <c r="I69" s="35"/>
    </row>
    <row r="70" spans="9:9">
      <c r="I70" s="35"/>
    </row>
    <row r="71" spans="9:9">
      <c r="I71" s="35"/>
    </row>
    <row r="72" spans="9:9">
      <c r="I72" s="35"/>
    </row>
    <row r="73" spans="9:9">
      <c r="I73" s="35"/>
    </row>
    <row r="74" spans="9:9">
      <c r="I74" s="35"/>
    </row>
    <row r="75" spans="9:9">
      <c r="I75" s="35"/>
    </row>
    <row r="76" spans="9:9">
      <c r="I76" s="35"/>
    </row>
    <row r="77" spans="9:9">
      <c r="I77" s="35"/>
    </row>
    <row r="78" spans="9:9">
      <c r="I78" s="35"/>
    </row>
    <row r="79" spans="9:9">
      <c r="I79" s="35"/>
    </row>
    <row r="80" spans="9:9">
      <c r="I80" s="35"/>
    </row>
    <row r="81" spans="9:9">
      <c r="I81" s="35"/>
    </row>
    <row r="82" spans="9:9">
      <c r="I82" s="35"/>
    </row>
    <row r="83" spans="9:9">
      <c r="I83" s="35"/>
    </row>
    <row r="84" spans="9:9">
      <c r="I84" s="35"/>
    </row>
  </sheetData>
  <mergeCells count="4">
    <mergeCell ref="A8:A9"/>
    <mergeCell ref="I8:I9"/>
    <mergeCell ref="B8:F8"/>
    <mergeCell ref="G8:G9"/>
  </mergeCells>
  <phoneticPr fontId="3" type="noConversion"/>
  <pageMargins left="1.1417322834645669" right="0.86614173228346458" top="0.6692913385826772" bottom="0.59055118110236227" header="0.51181102362204722" footer="0.51181102362204722"/>
  <pageSetup scale="85" firstPageNumber="0" orientation="portrait" r:id="rId1"/>
  <headerFooter alignWithMargins="0"/>
  <ignoredErrors>
    <ignoredError sqref="C3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6">
    <tabColor theme="6" tint="0.39997558519241921"/>
  </sheetPr>
  <dimension ref="A1:Q192"/>
  <sheetViews>
    <sheetView showGridLines="0" showZeros="0" workbookViewId="0">
      <selection activeCell="A4" sqref="A4:K4"/>
    </sheetView>
  </sheetViews>
  <sheetFormatPr baseColWidth="10" defaultColWidth="11.42578125" defaultRowHeight="12.75"/>
  <cols>
    <col min="1" max="1" width="35.28515625" style="24" customWidth="1"/>
    <col min="2" max="3" width="13" style="24" customWidth="1"/>
    <col min="4" max="4" width="11.140625" style="24" customWidth="1"/>
    <col min="5" max="5" width="11.7109375" style="24" hidden="1" customWidth="1"/>
    <col min="6" max="7" width="13" style="24" customWidth="1"/>
    <col min="8" max="8" width="12.7109375" style="24" customWidth="1"/>
    <col min="9" max="9" width="12.28515625" style="24" customWidth="1"/>
    <col min="10" max="10" width="11.85546875" style="24" hidden="1" customWidth="1"/>
    <col min="11" max="11" width="13.28515625" style="24" customWidth="1"/>
    <col min="12" max="12" width="0.140625" customWidth="1"/>
    <col min="13" max="13" width="13.5703125" customWidth="1"/>
  </cols>
  <sheetData>
    <row r="1" spans="1:14" ht="12" customHeight="1">
      <c r="A1" s="61"/>
      <c r="B1" s="61"/>
      <c r="C1" s="61"/>
      <c r="D1" s="57"/>
      <c r="E1" s="57"/>
      <c r="F1" s="60"/>
      <c r="G1" s="60"/>
      <c r="H1" s="60"/>
      <c r="I1" s="60"/>
      <c r="J1" s="60"/>
      <c r="K1" s="60"/>
    </row>
    <row r="2" spans="1:14" ht="18" customHeight="1">
      <c r="A2" s="606" t="s">
        <v>404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4" ht="15.75" customHeight="1">
      <c r="A3" s="606" t="s">
        <v>405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</row>
    <row r="4" spans="1:14" ht="15">
      <c r="A4" s="607" t="s">
        <v>588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</row>
    <row r="5" spans="1:14" ht="15">
      <c r="A5" s="607" t="s">
        <v>515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</row>
    <row r="6" spans="1:14" ht="13.5" thickBot="1">
      <c r="A6" s="34"/>
      <c r="B6" s="34"/>
      <c r="C6" s="34"/>
      <c r="D6" s="34"/>
      <c r="E6" s="34"/>
      <c r="F6" s="34"/>
      <c r="G6" s="34"/>
      <c r="H6" s="34"/>
      <c r="I6" s="34"/>
      <c r="J6" s="34"/>
      <c r="K6" s="34" t="s">
        <v>6</v>
      </c>
      <c r="L6" t="s">
        <v>6</v>
      </c>
    </row>
    <row r="7" spans="1:14" ht="20.100000000000001" customHeight="1">
      <c r="A7" s="644" t="s">
        <v>0</v>
      </c>
      <c r="B7" s="650" t="s">
        <v>69</v>
      </c>
      <c r="C7" s="651"/>
      <c r="D7" s="652"/>
      <c r="E7" s="653" t="s">
        <v>83</v>
      </c>
      <c r="F7" s="654"/>
      <c r="G7" s="646" t="s">
        <v>540</v>
      </c>
      <c r="H7" s="646" t="s">
        <v>70</v>
      </c>
      <c r="I7" s="648" t="s">
        <v>308</v>
      </c>
      <c r="J7" s="644"/>
      <c r="K7" s="648" t="s">
        <v>396</v>
      </c>
      <c r="L7" t="s">
        <v>6</v>
      </c>
    </row>
    <row r="8" spans="1:14" ht="21.75" customHeight="1">
      <c r="A8" s="645"/>
      <c r="B8" s="571" t="s">
        <v>85</v>
      </c>
      <c r="C8" s="571" t="s">
        <v>11</v>
      </c>
      <c r="D8" s="572" t="s">
        <v>2</v>
      </c>
      <c r="E8" s="573" t="s">
        <v>38</v>
      </c>
      <c r="F8" s="574" t="s">
        <v>43</v>
      </c>
      <c r="G8" s="647"/>
      <c r="H8" s="647"/>
      <c r="I8" s="649"/>
      <c r="J8" s="655"/>
      <c r="K8" s="649"/>
      <c r="L8" t="s">
        <v>3</v>
      </c>
      <c r="M8" t="s">
        <v>6</v>
      </c>
    </row>
    <row r="9" spans="1:14" ht="24.75" customHeight="1">
      <c r="A9" s="286" t="s">
        <v>71</v>
      </c>
      <c r="B9" s="527">
        <f>+C11+C37</f>
        <v>198000000</v>
      </c>
      <c r="C9" s="192">
        <f>+C11+C37</f>
        <v>198000000</v>
      </c>
      <c r="D9" s="192">
        <f>++D11+D37</f>
        <v>32830807</v>
      </c>
      <c r="E9" s="192">
        <f>+E11+E37</f>
        <v>9590250.9700000007</v>
      </c>
      <c r="F9" s="192">
        <f>+F11+F37</f>
        <v>9590250.9700000007</v>
      </c>
      <c r="G9" s="192">
        <f>+G11+G37</f>
        <v>6105446.0500000007</v>
      </c>
      <c r="H9" s="192">
        <f>++H11+H37</f>
        <v>6085582.620000001</v>
      </c>
      <c r="I9" s="192">
        <f>+D9-F9</f>
        <v>23240556.030000001</v>
      </c>
      <c r="J9" s="192" t="e">
        <f>+#REF!-F9</f>
        <v>#REF!</v>
      </c>
      <c r="K9" s="318">
        <f>+F9/D9*100</f>
        <v>29.211133829272001</v>
      </c>
      <c r="L9">
        <v>84817701.783999994</v>
      </c>
    </row>
    <row r="10" spans="1:14" ht="11.1" customHeight="1">
      <c r="A10" s="286"/>
      <c r="B10" s="286"/>
      <c r="C10" s="225"/>
      <c r="D10" s="192"/>
      <c r="E10" s="192"/>
      <c r="F10" s="192" t="s">
        <v>6</v>
      </c>
      <c r="G10" s="192"/>
      <c r="H10" s="192" t="s">
        <v>6</v>
      </c>
      <c r="I10" s="192" t="s">
        <v>6</v>
      </c>
      <c r="J10" s="192" t="s">
        <v>6</v>
      </c>
      <c r="K10" s="318" t="s">
        <v>6</v>
      </c>
      <c r="L10" t="s">
        <v>6</v>
      </c>
    </row>
    <row r="11" spans="1:14" ht="15">
      <c r="A11" s="286" t="s">
        <v>72</v>
      </c>
      <c r="B11" s="527">
        <f>+B13+B21+B35</f>
        <v>141094806</v>
      </c>
      <c r="C11" s="192">
        <f>+C13+C21+C35</f>
        <v>141094806</v>
      </c>
      <c r="D11" s="63">
        <f>+D13+D21</f>
        <v>19912335</v>
      </c>
      <c r="E11" s="63">
        <f>+E21+E13</f>
        <v>7119885.8300000001</v>
      </c>
      <c r="F11" s="63">
        <f>+F21+F13</f>
        <v>7119885.8300000001</v>
      </c>
      <c r="G11" s="63">
        <f>+G21+G13</f>
        <v>6087300.8500000006</v>
      </c>
      <c r="H11" s="63">
        <f>+H21+H13+H35</f>
        <v>6084332.7200000007</v>
      </c>
      <c r="I11" s="63">
        <f>+D11-F11</f>
        <v>12792449.17</v>
      </c>
      <c r="J11" s="63" t="e">
        <f>+#REF!-F11</f>
        <v>#REF!</v>
      </c>
      <c r="K11" s="319">
        <f>+F11/D11*100</f>
        <v>35.75615732660183</v>
      </c>
      <c r="L11">
        <v>71948551.653999999</v>
      </c>
      <c r="N11" t="s">
        <v>6</v>
      </c>
    </row>
    <row r="12" spans="1:14" ht="10.35" customHeight="1">
      <c r="A12" s="286"/>
      <c r="B12" s="286"/>
      <c r="C12" s="225"/>
      <c r="D12" s="192"/>
      <c r="E12" s="192"/>
      <c r="F12" s="192" t="s">
        <v>6</v>
      </c>
      <c r="G12" s="192"/>
      <c r="H12" s="192"/>
      <c r="I12" s="192"/>
      <c r="J12" s="192" t="s">
        <v>6</v>
      </c>
      <c r="K12" s="318"/>
      <c r="L12" t="s">
        <v>6</v>
      </c>
    </row>
    <row r="13" spans="1:14" ht="18" customHeight="1">
      <c r="A13" s="286" t="s">
        <v>73</v>
      </c>
      <c r="B13" s="527">
        <f>SUM(B15:B19)</f>
        <v>138802166</v>
      </c>
      <c r="C13" s="192">
        <f t="shared" ref="C13:H13" si="0">SUM(C15:C19)</f>
        <v>138802166</v>
      </c>
      <c r="D13" s="192">
        <f t="shared" si="0"/>
        <v>18067779</v>
      </c>
      <c r="E13" s="192">
        <f t="shared" si="0"/>
        <v>7114916.9400000004</v>
      </c>
      <c r="F13" s="192">
        <f>SUM(F15:F19)+1</f>
        <v>7114916.9400000004</v>
      </c>
      <c r="G13" s="192">
        <f t="shared" ref="G13" si="1">SUM(G15:G19)</f>
        <v>6083926.9800000004</v>
      </c>
      <c r="H13" s="192">
        <f t="shared" si="0"/>
        <v>6080958.8500000006</v>
      </c>
      <c r="I13" s="192">
        <f>+D13-F13</f>
        <v>10952862.059999999</v>
      </c>
      <c r="J13" s="192" t="e">
        <f>+#REF!-F13</f>
        <v>#REF!</v>
      </c>
      <c r="K13" s="318">
        <f>+F13/D13*100</f>
        <v>39.379034578627511</v>
      </c>
      <c r="L13">
        <v>71049250.593999997</v>
      </c>
      <c r="M13" s="1" t="s">
        <v>6</v>
      </c>
    </row>
    <row r="14" spans="1:14" ht="11.1" customHeight="1">
      <c r="A14" s="286"/>
      <c r="B14" s="286"/>
      <c r="C14" s="225"/>
      <c r="D14" s="192"/>
      <c r="E14" s="192"/>
      <c r="F14" s="192" t="s">
        <v>6</v>
      </c>
      <c r="G14" s="192"/>
      <c r="H14" s="192"/>
      <c r="I14" s="192"/>
      <c r="J14" s="192"/>
      <c r="K14" s="318"/>
      <c r="L14" t="s">
        <v>6</v>
      </c>
    </row>
    <row r="15" spans="1:14" ht="20.100000000000001" customHeight="1">
      <c r="A15" s="288" t="s">
        <v>74</v>
      </c>
      <c r="B15" s="193">
        <f>+Funcionamiento!C11</f>
        <v>125299729</v>
      </c>
      <c r="C15" s="193">
        <f>+Funcionamiento!C11</f>
        <v>125299729</v>
      </c>
      <c r="D15" s="193">
        <f>+Funcionamiento!E11</f>
        <v>12008796</v>
      </c>
      <c r="E15" s="193">
        <f>+Funcionamiento!F11</f>
        <v>6955179.8300000001</v>
      </c>
      <c r="F15" s="193">
        <f>+Funcionamiento!G11-1</f>
        <v>6955178.8300000001</v>
      </c>
      <c r="G15" s="193">
        <f>+Funcionamiento!H11</f>
        <v>6067645.9000000004</v>
      </c>
      <c r="H15" s="193">
        <f>+Funcionamiento!I11</f>
        <v>6067645.9000000004</v>
      </c>
      <c r="I15" s="193">
        <f>+D15-F15</f>
        <v>5053617.17</v>
      </c>
      <c r="J15" s="193" t="e">
        <f>+#REF!-F15</f>
        <v>#REF!</v>
      </c>
      <c r="K15" s="317">
        <f>+F15/D15*100</f>
        <v>57.917370151012634</v>
      </c>
      <c r="L15">
        <v>67328817.609999999</v>
      </c>
    </row>
    <row r="16" spans="1:14" ht="20.100000000000001" customHeight="1">
      <c r="A16" s="288" t="s">
        <v>450</v>
      </c>
      <c r="B16" s="193">
        <f>+Funcionamiento!C37</f>
        <v>7951962</v>
      </c>
      <c r="C16" s="193">
        <f>+Funcionamiento!C37</f>
        <v>7951962</v>
      </c>
      <c r="D16" s="193">
        <f>+Funcionamiento!E37</f>
        <v>2782540</v>
      </c>
      <c r="E16" s="193">
        <f>+Funcionamiento!F37</f>
        <v>39586.610000000008</v>
      </c>
      <c r="F16" s="193">
        <f>+Funcionamiento!G37</f>
        <v>39586.610000000008</v>
      </c>
      <c r="G16" s="193">
        <f>+Funcionamiento!H37</f>
        <v>13603.59</v>
      </c>
      <c r="H16" s="193">
        <f>+Funcionamiento!I37</f>
        <v>13312.95</v>
      </c>
      <c r="I16" s="193">
        <f>+D16-F16</f>
        <v>2742953.39</v>
      </c>
      <c r="J16" s="193" t="e">
        <f>+#REF!-F16</f>
        <v>#REF!</v>
      </c>
      <c r="K16" s="317">
        <f>+F16/D16*100</f>
        <v>1.4226789192608196</v>
      </c>
      <c r="L16">
        <v>2361674.9099999997</v>
      </c>
    </row>
    <row r="17" spans="1:14" ht="20.100000000000001" customHeight="1">
      <c r="A17" s="288" t="s">
        <v>75</v>
      </c>
      <c r="B17" s="193">
        <f>+Funcionamiento!C93</f>
        <v>3342561</v>
      </c>
      <c r="C17" s="193">
        <f>+Funcionamiento!C93</f>
        <v>3342561</v>
      </c>
      <c r="D17" s="193">
        <f>+Funcionamiento!E93</f>
        <v>2276443</v>
      </c>
      <c r="E17" s="193">
        <f>+Funcionamiento!F93</f>
        <v>120150.5</v>
      </c>
      <c r="F17" s="193">
        <f>+Funcionamiento!G93</f>
        <v>120150.5</v>
      </c>
      <c r="G17" s="193">
        <f>+Funcionamiento!H93</f>
        <v>2677.4900000000002</v>
      </c>
      <c r="H17" s="193">
        <f>+Funcionamiento!I93</f>
        <v>0</v>
      </c>
      <c r="I17" s="193">
        <f>+D17-F17</f>
        <v>2156292.5</v>
      </c>
      <c r="J17" s="193" t="e">
        <f>+#REF!-F17</f>
        <v>#REF!</v>
      </c>
      <c r="K17" s="317">
        <f>+F17/D17*100</f>
        <v>5.2779929038416507</v>
      </c>
      <c r="L17">
        <v>1178096.594</v>
      </c>
      <c r="N17" t="s">
        <v>6</v>
      </c>
    </row>
    <row r="18" spans="1:14" ht="20.100000000000001" customHeight="1">
      <c r="A18" s="288" t="s">
        <v>454</v>
      </c>
      <c r="B18" s="193" t="s">
        <v>6</v>
      </c>
      <c r="C18" s="193" t="s">
        <v>6</v>
      </c>
      <c r="D18" s="193">
        <f>+Funcionamiento!E153</f>
        <v>0</v>
      </c>
      <c r="E18" s="193">
        <f>+Funcionamiento!F153</f>
        <v>0</v>
      </c>
      <c r="F18" s="193">
        <f>+Funcionamiento!G153</f>
        <v>0</v>
      </c>
      <c r="G18" s="193">
        <f>+Funcionamiento!H153</f>
        <v>0</v>
      </c>
      <c r="H18" s="193">
        <f>+Funcionamiento!I153</f>
        <v>0</v>
      </c>
      <c r="I18" s="193">
        <f>+D18-F18</f>
        <v>0</v>
      </c>
      <c r="J18" s="193" t="e">
        <f>+#REF!-F18</f>
        <v>#REF!</v>
      </c>
      <c r="K18" s="317" t="s">
        <v>6</v>
      </c>
      <c r="L18">
        <v>74813.11</v>
      </c>
    </row>
    <row r="19" spans="1:14" ht="20.100000000000001" customHeight="1">
      <c r="A19" s="288" t="s">
        <v>455</v>
      </c>
      <c r="B19" s="193">
        <f>+Funcionamiento!C181</f>
        <v>2207914</v>
      </c>
      <c r="C19" s="193">
        <f>+Funcionamiento!C181</f>
        <v>2207914</v>
      </c>
      <c r="D19" s="193">
        <f>+Funcionamiento!E181</f>
        <v>1000000</v>
      </c>
      <c r="E19" s="193">
        <f>+Funcionamiento!F181</f>
        <v>0</v>
      </c>
      <c r="F19" s="193">
        <f>+Funcionamiento!G181</f>
        <v>0</v>
      </c>
      <c r="G19" s="193">
        <f>+Funcionamiento!H181</f>
        <v>0</v>
      </c>
      <c r="H19" s="193">
        <f>+Funcionamiento!I181</f>
        <v>0</v>
      </c>
      <c r="I19" s="193">
        <f>+D19-F19</f>
        <v>1000000</v>
      </c>
      <c r="J19" s="193" t="e">
        <f>+#REF!-F19</f>
        <v>#REF!</v>
      </c>
      <c r="K19" s="317">
        <f>+F19/D19*100</f>
        <v>0</v>
      </c>
      <c r="L19">
        <v>105848.37</v>
      </c>
    </row>
    <row r="20" spans="1:14" ht="9.75" customHeight="1">
      <c r="A20" s="286"/>
      <c r="B20" s="286"/>
      <c r="C20" s="192"/>
      <c r="D20" s="192"/>
      <c r="E20" s="192" t="s">
        <v>6</v>
      </c>
      <c r="F20" s="192" t="s">
        <v>6</v>
      </c>
      <c r="G20" s="192" t="s">
        <v>6</v>
      </c>
      <c r="H20" s="192"/>
      <c r="I20" s="192"/>
      <c r="J20" s="192"/>
      <c r="K20" s="318" t="s">
        <v>6</v>
      </c>
      <c r="L20" t="s">
        <v>6</v>
      </c>
    </row>
    <row r="21" spans="1:14" ht="18" customHeight="1">
      <c r="A21" s="286" t="s">
        <v>76</v>
      </c>
      <c r="B21" s="192">
        <f>+Funcionamiento!C186</f>
        <v>2292640</v>
      </c>
      <c r="C21" s="192">
        <f>+Funcionamiento!C186</f>
        <v>2292640</v>
      </c>
      <c r="D21" s="192">
        <f>+Funcionamiento!E186</f>
        <v>1844556</v>
      </c>
      <c r="E21" s="192">
        <f>+Funcionamiento!F186</f>
        <v>4968.8899999999994</v>
      </c>
      <c r="F21" s="192">
        <f>+Funcionamiento!G186</f>
        <v>4968.8899999999994</v>
      </c>
      <c r="G21" s="192">
        <f>+Funcionamiento!H186</f>
        <v>3373.87</v>
      </c>
      <c r="H21" s="192">
        <f>+Funcionamiento!I186</f>
        <v>3373.87</v>
      </c>
      <c r="I21" s="192">
        <f>+D21-F21</f>
        <v>1839587.11</v>
      </c>
      <c r="J21" s="192" t="e">
        <f>+#REF!-F21</f>
        <v>#REF!</v>
      </c>
      <c r="K21" s="318">
        <f>+F21/D21*100</f>
        <v>0.26938135789859452</v>
      </c>
      <c r="L21">
        <v>899301.06000000017</v>
      </c>
    </row>
    <row r="22" spans="1:14" ht="12.75" customHeight="1">
      <c r="A22" s="286" t="s">
        <v>345</v>
      </c>
      <c r="B22" s="286"/>
      <c r="C22" s="192"/>
      <c r="D22" s="192"/>
      <c r="E22" s="192" t="s">
        <v>6</v>
      </c>
      <c r="F22" s="192" t="s">
        <v>6</v>
      </c>
      <c r="G22" s="192" t="s">
        <v>6</v>
      </c>
      <c r="H22" s="192"/>
      <c r="I22" s="192"/>
      <c r="J22" s="192"/>
      <c r="K22" s="318" t="s">
        <v>6</v>
      </c>
      <c r="L22" t="s">
        <v>6</v>
      </c>
    </row>
    <row r="23" spans="1:14" ht="18" customHeight="1">
      <c r="A23" s="286" t="s">
        <v>457</v>
      </c>
      <c r="B23" s="527">
        <f>+B29</f>
        <v>2005640</v>
      </c>
      <c r="C23" s="192">
        <f>SUM(C29)</f>
        <v>2005640</v>
      </c>
      <c r="D23" s="192">
        <f t="shared" ref="D23:H23" si="2">SUM(D29)</f>
        <v>1531011</v>
      </c>
      <c r="E23" s="192">
        <f t="shared" si="2"/>
        <v>4968.8899999999994</v>
      </c>
      <c r="F23" s="192">
        <f t="shared" si="2"/>
        <v>4968.8899999999994</v>
      </c>
      <c r="G23" s="192">
        <f t="shared" ref="G23" si="3">SUM(G29)</f>
        <v>3373.87</v>
      </c>
      <c r="H23" s="192">
        <f t="shared" si="2"/>
        <v>3373.87</v>
      </c>
      <c r="I23" s="192">
        <f>+D23-F23</f>
        <v>1526042.11</v>
      </c>
      <c r="J23" s="192" t="e">
        <f>+#REF!-F23</f>
        <v>#REF!</v>
      </c>
      <c r="K23" s="318">
        <f>+F23/D23*100</f>
        <v>0.32454959500617564</v>
      </c>
      <c r="L23">
        <v>59671.520000000004</v>
      </c>
    </row>
    <row r="24" spans="1:14" ht="12.75" hidden="1" customHeight="1">
      <c r="A24" s="286" t="s">
        <v>77</v>
      </c>
      <c r="B24" s="286"/>
      <c r="C24" s="192"/>
      <c r="D24" s="192" t="s">
        <v>6</v>
      </c>
      <c r="E24" s="192">
        <f ca="1">+F24-L24</f>
        <v>134579</v>
      </c>
      <c r="F24" s="192">
        <f t="shared" ref="F24:F36" ca="1" si="4">+E24+L24</f>
        <v>1231</v>
      </c>
      <c r="G24" s="192">
        <f>+H24-N24</f>
        <v>0</v>
      </c>
      <c r="H24" s="192"/>
      <c r="I24" s="192"/>
      <c r="J24" s="192"/>
      <c r="K24" s="318" t="s">
        <v>6</v>
      </c>
      <c r="L24">
        <v>1231</v>
      </c>
    </row>
    <row r="25" spans="1:14" ht="12.75" hidden="1" customHeight="1">
      <c r="A25" s="286" t="s">
        <v>451</v>
      </c>
      <c r="B25" s="286"/>
      <c r="C25" s="192"/>
      <c r="D25" s="192"/>
      <c r="E25" s="192">
        <f ca="1">+F25-L25</f>
        <v>134579</v>
      </c>
      <c r="F25" s="192">
        <f t="shared" ca="1" si="4"/>
        <v>1231</v>
      </c>
      <c r="G25" s="192">
        <f>+H25-N25</f>
        <v>0</v>
      </c>
      <c r="H25" s="192"/>
      <c r="I25" s="192"/>
      <c r="J25" s="192"/>
      <c r="K25" s="318" t="s">
        <v>6</v>
      </c>
      <c r="L25">
        <v>1231</v>
      </c>
    </row>
    <row r="26" spans="1:14" ht="12.75" hidden="1" customHeight="1">
      <c r="A26" s="286" t="s">
        <v>452</v>
      </c>
      <c r="B26" s="286"/>
      <c r="C26" s="192"/>
      <c r="D26" s="192"/>
      <c r="E26" s="192">
        <f ca="1">+F26-L26</f>
        <v>134579</v>
      </c>
      <c r="F26" s="192">
        <f t="shared" ca="1" si="4"/>
        <v>1231</v>
      </c>
      <c r="G26" s="192">
        <f>+H26-N26</f>
        <v>0</v>
      </c>
      <c r="H26" s="192"/>
      <c r="I26" s="192"/>
      <c r="J26" s="192"/>
      <c r="K26" s="318" t="s">
        <v>6</v>
      </c>
      <c r="L26">
        <v>1231</v>
      </c>
    </row>
    <row r="27" spans="1:14" ht="12.75" hidden="1" customHeight="1">
      <c r="A27" s="286" t="s">
        <v>78</v>
      </c>
      <c r="B27" s="286"/>
      <c r="C27" s="192"/>
      <c r="D27" s="192"/>
      <c r="E27" s="192">
        <f ca="1">+F27-L27</f>
        <v>134579</v>
      </c>
      <c r="F27" s="192">
        <f t="shared" ca="1" si="4"/>
        <v>1231</v>
      </c>
      <c r="G27" s="192">
        <f>+H27-N27</f>
        <v>0</v>
      </c>
      <c r="H27" s="192"/>
      <c r="I27" s="192"/>
      <c r="J27" s="192"/>
      <c r="K27" s="318" t="s">
        <v>6</v>
      </c>
      <c r="L27">
        <v>1231</v>
      </c>
    </row>
    <row r="28" spans="1:14" ht="12.75" customHeight="1">
      <c r="A28" s="286"/>
      <c r="B28" s="286"/>
      <c r="C28" s="192"/>
      <c r="D28" s="192"/>
      <c r="E28" s="192"/>
      <c r="F28" s="192"/>
      <c r="G28" s="192"/>
      <c r="H28" s="192"/>
      <c r="I28" s="192"/>
      <c r="J28" s="192"/>
      <c r="K28" s="318"/>
    </row>
    <row r="29" spans="1:14" ht="18" customHeight="1">
      <c r="A29" s="288" t="s">
        <v>458</v>
      </c>
      <c r="B29" s="193">
        <f>+Funcionamiento!C187+Funcionamiento!C189++Funcionamiento!C195+Funcionamiento!C199</f>
        <v>2005640</v>
      </c>
      <c r="C29" s="193">
        <f>+Funcionamiento!D187+Funcionamiento!D189+Funcionamiento!D195+Funcionamiento!D199</f>
        <v>2005640</v>
      </c>
      <c r="D29" s="193">
        <f>+Funcionamiento!E187+Funcionamiento!E189++Funcionamiento!E195</f>
        <v>1531011</v>
      </c>
      <c r="E29" s="193">
        <f>+Funcionamiento!F187+Funcionamiento!F189++Funcionamiento!F195</f>
        <v>4968.8899999999994</v>
      </c>
      <c r="F29" s="193">
        <f>+Funcionamiento!F187+Funcionamiento!F189++Funcionamiento!F195</f>
        <v>4968.8899999999994</v>
      </c>
      <c r="G29" s="193">
        <f>+Funcionamiento!H187+Funcionamiento!H189++Funcionamiento!H195</f>
        <v>3373.87</v>
      </c>
      <c r="H29" s="193">
        <f>+Funcionamiento!I187+Funcionamiento!I189++Funcionamiento!I195</f>
        <v>3373.87</v>
      </c>
      <c r="I29" s="193">
        <f>+I23</f>
        <v>1526042.11</v>
      </c>
      <c r="J29" s="193" t="e">
        <f>+J23</f>
        <v>#REF!</v>
      </c>
      <c r="K29" s="317">
        <f>+F29/D29*100</f>
        <v>0.32454959500617564</v>
      </c>
      <c r="L29">
        <v>59671.520000000004</v>
      </c>
    </row>
    <row r="30" spans="1:14" ht="18" customHeight="1">
      <c r="A30" s="288" t="s">
        <v>460</v>
      </c>
      <c r="B30" s="288"/>
      <c r="C30" s="193"/>
      <c r="D30" s="193" t="s">
        <v>6</v>
      </c>
      <c r="E30" s="193" t="s">
        <v>6</v>
      </c>
      <c r="F30" s="193" t="s">
        <v>6</v>
      </c>
      <c r="G30" s="193" t="s">
        <v>6</v>
      </c>
      <c r="H30" s="193"/>
      <c r="I30" s="193"/>
      <c r="J30" s="193"/>
      <c r="K30" s="317" t="s">
        <v>6</v>
      </c>
      <c r="L30" t="s">
        <v>6</v>
      </c>
    </row>
    <row r="31" spans="1:14" ht="18" customHeight="1">
      <c r="A31" s="288" t="s">
        <v>459</v>
      </c>
      <c r="B31" s="288"/>
      <c r="C31" s="193"/>
      <c r="D31" s="193" t="s">
        <v>6</v>
      </c>
      <c r="E31" s="193"/>
      <c r="F31" s="193">
        <f t="shared" si="4"/>
        <v>0</v>
      </c>
      <c r="G31" s="193"/>
      <c r="H31" s="193"/>
      <c r="I31" s="193"/>
      <c r="J31" s="193"/>
      <c r="K31" s="317" t="s">
        <v>6</v>
      </c>
      <c r="L31">
        <v>0</v>
      </c>
    </row>
    <row r="32" spans="1:14" ht="9" customHeight="1">
      <c r="A32" s="288"/>
      <c r="B32" s="288"/>
      <c r="C32" s="193"/>
      <c r="D32" s="193"/>
      <c r="E32" s="193"/>
      <c r="F32" s="193"/>
      <c r="G32" s="193"/>
      <c r="H32" s="193"/>
      <c r="I32" s="193"/>
      <c r="J32" s="193"/>
      <c r="K32" s="317"/>
    </row>
    <row r="33" spans="1:17" ht="22.5" customHeight="1">
      <c r="A33" s="540" t="s">
        <v>456</v>
      </c>
      <c r="B33" s="541">
        <f>+Funcionamiento!C201</f>
        <v>287000</v>
      </c>
      <c r="C33" s="541">
        <f>+Funcionamiento!C201</f>
        <v>287000</v>
      </c>
      <c r="D33" s="541">
        <f>+Funcionamiento!E201</f>
        <v>287000</v>
      </c>
      <c r="E33" s="541">
        <f>+Funcionamiento!F201</f>
        <v>0</v>
      </c>
      <c r="F33" s="541">
        <f>+Funcionamiento!G201</f>
        <v>0</v>
      </c>
      <c r="G33" s="541">
        <f>+Funcionamiento!H201</f>
        <v>0</v>
      </c>
      <c r="H33" s="541">
        <f>+Funcionamiento!I190+Funcionamiento!I192++Funcionamiento!I201</f>
        <v>0</v>
      </c>
      <c r="I33" s="541">
        <f>+D33-F33</f>
        <v>287000</v>
      </c>
      <c r="J33" s="541" t="e">
        <f>+#REF!-F33</f>
        <v>#REF!</v>
      </c>
      <c r="K33" s="542">
        <f>+F33/D33*100</f>
        <v>0</v>
      </c>
      <c r="L33">
        <v>5963.5599999999995</v>
      </c>
    </row>
    <row r="34" spans="1:17" ht="12.6" customHeight="1">
      <c r="A34" s="286"/>
      <c r="B34" s="286"/>
      <c r="C34" s="192"/>
      <c r="D34" s="192"/>
      <c r="E34" s="192"/>
      <c r="F34" s="192"/>
      <c r="G34" s="192"/>
      <c r="H34" s="192"/>
      <c r="I34" s="192"/>
      <c r="J34" s="192"/>
      <c r="K34" s="318"/>
    </row>
    <row r="35" spans="1:17" ht="15.75" customHeight="1">
      <c r="A35" s="286" t="s">
        <v>6</v>
      </c>
      <c r="B35" s="286"/>
      <c r="C35" s="192"/>
      <c r="D35" s="192" t="s">
        <v>6</v>
      </c>
      <c r="E35" s="192" t="s">
        <v>6</v>
      </c>
      <c r="F35" s="192" t="s">
        <v>6</v>
      </c>
      <c r="G35" s="192" t="s">
        <v>6</v>
      </c>
      <c r="H35" s="192">
        <v>0</v>
      </c>
      <c r="I35" s="192" t="s">
        <v>6</v>
      </c>
      <c r="J35" s="192" t="s">
        <v>6</v>
      </c>
      <c r="K35" s="318">
        <v>0</v>
      </c>
      <c r="L35" t="s">
        <v>6</v>
      </c>
    </row>
    <row r="36" spans="1:17" ht="7.9" customHeight="1">
      <c r="A36" s="286" t="s">
        <v>6</v>
      </c>
      <c r="B36" s="286"/>
      <c r="C36" s="192"/>
      <c r="D36" s="192"/>
      <c r="E36" s="192"/>
      <c r="F36" s="192">
        <f t="shared" si="4"/>
        <v>0</v>
      </c>
      <c r="G36" s="192"/>
      <c r="H36" s="192"/>
      <c r="I36" s="192" t="s">
        <v>6</v>
      </c>
      <c r="J36" s="192" t="s">
        <v>6</v>
      </c>
      <c r="K36" s="318" t="s">
        <v>6</v>
      </c>
      <c r="L36">
        <v>0</v>
      </c>
    </row>
    <row r="37" spans="1:17" ht="15">
      <c r="A37" s="320" t="s">
        <v>79</v>
      </c>
      <c r="B37" s="528">
        <f>+B40</f>
        <v>56905194</v>
      </c>
      <c r="C37" s="315">
        <f>+C40+C46</f>
        <v>56905194</v>
      </c>
      <c r="D37" s="315">
        <f>+D59+D46+D40</f>
        <v>12918472</v>
      </c>
      <c r="E37" s="315">
        <f>+E40+E46</f>
        <v>2470365.14</v>
      </c>
      <c r="F37" s="315">
        <f>+F40</f>
        <v>2470365.14</v>
      </c>
      <c r="G37" s="315">
        <f>+G40+G46</f>
        <v>18145.2</v>
      </c>
      <c r="H37" s="315">
        <f>+H46+H40</f>
        <v>1249.9000000000001</v>
      </c>
      <c r="I37" s="315">
        <f>+D37-F37</f>
        <v>10448106.859999999</v>
      </c>
      <c r="J37" s="315" t="e">
        <f>+#REF!-F37</f>
        <v>#REF!</v>
      </c>
      <c r="K37" s="321">
        <f>+F37/D37*100</f>
        <v>19.12273479402208</v>
      </c>
      <c r="L37">
        <v>12869150.130000001</v>
      </c>
    </row>
    <row r="38" spans="1:17" ht="4.5" customHeight="1">
      <c r="A38" s="286"/>
      <c r="B38" s="286"/>
      <c r="C38" s="192"/>
      <c r="D38" s="316" t="s">
        <v>6</v>
      </c>
      <c r="E38" s="192" t="s">
        <v>6</v>
      </c>
      <c r="F38" s="192" t="s">
        <v>6</v>
      </c>
      <c r="G38" s="192" t="s">
        <v>6</v>
      </c>
      <c r="H38" s="192"/>
      <c r="I38" s="192"/>
      <c r="J38" s="192"/>
      <c r="K38" s="318" t="s">
        <v>6</v>
      </c>
      <c r="L38" t="s">
        <v>6</v>
      </c>
    </row>
    <row r="39" spans="1:17" ht="15.75" customHeight="1">
      <c r="A39" s="286"/>
      <c r="B39" s="286"/>
      <c r="C39" s="192"/>
      <c r="D39" s="316"/>
      <c r="E39" s="192"/>
      <c r="F39" s="192"/>
      <c r="G39" s="192"/>
      <c r="H39" s="192"/>
      <c r="I39" s="192"/>
      <c r="J39" s="192"/>
      <c r="K39" s="318"/>
    </row>
    <row r="40" spans="1:17" ht="13.5">
      <c r="A40" s="286" t="s">
        <v>80</v>
      </c>
      <c r="B40" s="527">
        <f t="shared" ref="B40:G40" si="5">+B42+B43+B44</f>
        <v>56905194</v>
      </c>
      <c r="C40" s="192">
        <f t="shared" si="5"/>
        <v>56905194</v>
      </c>
      <c r="D40" s="192">
        <f t="shared" si="5"/>
        <v>12918472</v>
      </c>
      <c r="E40" s="192">
        <f t="shared" si="5"/>
        <v>2470365.14</v>
      </c>
      <c r="F40" s="192">
        <f t="shared" si="5"/>
        <v>2470365.14</v>
      </c>
      <c r="G40" s="192">
        <f t="shared" si="5"/>
        <v>18145.2</v>
      </c>
      <c r="H40" s="192">
        <f>+H42+H43</f>
        <v>1249.9000000000001</v>
      </c>
      <c r="I40" s="192">
        <f>+D40-F40</f>
        <v>10448106.859999999</v>
      </c>
      <c r="J40" s="192" t="e">
        <f>+#REF!-F40</f>
        <v>#REF!</v>
      </c>
      <c r="K40" s="318">
        <f>+F40/D40*100</f>
        <v>19.12273479402208</v>
      </c>
      <c r="L40">
        <v>12869150.130000001</v>
      </c>
      <c r="N40" t="s">
        <v>6</v>
      </c>
    </row>
    <row r="41" spans="1:17" ht="6" customHeight="1">
      <c r="A41" s="286"/>
      <c r="B41" s="286"/>
      <c r="C41" s="192"/>
      <c r="D41" s="192"/>
      <c r="E41" s="192" t="s">
        <v>6</v>
      </c>
      <c r="F41" s="192" t="s">
        <v>6</v>
      </c>
      <c r="G41" s="192" t="s">
        <v>6</v>
      </c>
      <c r="H41" s="192"/>
      <c r="I41" s="192" t="s">
        <v>6</v>
      </c>
      <c r="J41" s="192" t="s">
        <v>6</v>
      </c>
      <c r="K41" s="318"/>
      <c r="L41" t="s">
        <v>6</v>
      </c>
    </row>
    <row r="42" spans="1:17" ht="18" customHeight="1">
      <c r="A42" s="286" t="s">
        <v>453</v>
      </c>
      <c r="B42" s="193">
        <f>+Proyectos!C8</f>
        <v>27799680</v>
      </c>
      <c r="C42" s="193">
        <f>+Proyectos!B8</f>
        <v>27799680</v>
      </c>
      <c r="D42" s="193">
        <f>+Proyectos!D8</f>
        <v>6342271</v>
      </c>
      <c r="E42" s="193">
        <f>+Proyectos!E8</f>
        <v>1953534.77</v>
      </c>
      <c r="F42" s="193">
        <f>+Proyectos!F8</f>
        <v>1953534.77</v>
      </c>
      <c r="G42" s="193">
        <f>+Proyectos!G8</f>
        <v>0</v>
      </c>
      <c r="H42" s="193">
        <f>+Proyectos!H8</f>
        <v>0</v>
      </c>
      <c r="I42" s="193">
        <f>+D42-F42</f>
        <v>4388736.2300000004</v>
      </c>
      <c r="J42" s="193" t="e">
        <f>+#REF!-F42</f>
        <v>#REF!</v>
      </c>
      <c r="K42" s="317">
        <f>+F42/D42*100</f>
        <v>30.801817992324832</v>
      </c>
      <c r="L42" s="62">
        <v>12221531.41</v>
      </c>
      <c r="N42" s="1"/>
      <c r="O42" s="1"/>
      <c r="Q42" s="47"/>
    </row>
    <row r="43" spans="1:17" ht="18" customHeight="1">
      <c r="A43" s="286" t="s">
        <v>461</v>
      </c>
      <c r="B43" s="193">
        <f>+Proyectos!C16</f>
        <v>15761574</v>
      </c>
      <c r="C43" s="193">
        <f>+Proyectos!B16</f>
        <v>15761574</v>
      </c>
      <c r="D43" s="193">
        <f>+Proyectos!D16</f>
        <v>3499069</v>
      </c>
      <c r="E43" s="193">
        <f>+Proyectos!E16</f>
        <v>18852.37</v>
      </c>
      <c r="F43" s="193">
        <f>+Proyectos!F16</f>
        <v>18852.37</v>
      </c>
      <c r="G43" s="193">
        <f>+Proyectos!G16</f>
        <v>18145.2</v>
      </c>
      <c r="H43" s="193">
        <f>+Proyectos!H16</f>
        <v>1249.9000000000001</v>
      </c>
      <c r="I43" s="193">
        <f>+D43-F43</f>
        <v>3480216.63</v>
      </c>
      <c r="J43" s="193" t="e">
        <f>+#REF!-F43</f>
        <v>#REF!</v>
      </c>
      <c r="K43" s="317">
        <f>+F43/D43*100</f>
        <v>0.53878245899123445</v>
      </c>
      <c r="L43" s="62">
        <v>647618.71999999986</v>
      </c>
      <c r="N43" s="1"/>
      <c r="O43" s="1"/>
      <c r="Q43" s="47"/>
    </row>
    <row r="44" spans="1:17" ht="19.5" customHeight="1">
      <c r="A44" s="286" t="s">
        <v>462</v>
      </c>
      <c r="B44" s="193">
        <f>+Proyectos!B31</f>
        <v>13343940</v>
      </c>
      <c r="C44" s="193">
        <f>+Proyectos!B31</f>
        <v>13343940</v>
      </c>
      <c r="D44" s="193">
        <f>+Proyectos!D31</f>
        <v>3077132</v>
      </c>
      <c r="E44" s="193">
        <f>+Proyectos!E31</f>
        <v>497978</v>
      </c>
      <c r="F44" s="193">
        <f>+Proyectos!F31</f>
        <v>497978</v>
      </c>
      <c r="G44" s="193">
        <f>+Proyectos!G31</f>
        <v>0</v>
      </c>
      <c r="H44" s="193">
        <f>+Proyectos!H31</f>
        <v>0</v>
      </c>
      <c r="I44" s="193">
        <f>+D44-F44</f>
        <v>2579154</v>
      </c>
      <c r="J44" s="193" t="e">
        <f>+#REF!-F44</f>
        <v>#REF!</v>
      </c>
      <c r="K44" s="317">
        <f>+F44/D44*100</f>
        <v>16.183186161659624</v>
      </c>
      <c r="L44" s="62">
        <v>0</v>
      </c>
      <c r="N44" s="1"/>
      <c r="O44" s="1"/>
    </row>
    <row r="45" spans="1:17" ht="7.5" customHeight="1">
      <c r="A45" s="286"/>
      <c r="B45" s="286"/>
      <c r="C45" s="192"/>
      <c r="D45" s="192"/>
      <c r="E45" s="192"/>
      <c r="F45" s="192" t="s">
        <v>6</v>
      </c>
      <c r="G45" s="192"/>
      <c r="H45" s="192"/>
      <c r="I45" s="192" t="s">
        <v>6</v>
      </c>
      <c r="J45" s="192" t="s">
        <v>6</v>
      </c>
      <c r="K45" s="318" t="s">
        <v>6</v>
      </c>
      <c r="L45" t="s">
        <v>6</v>
      </c>
    </row>
    <row r="46" spans="1:17" ht="13.5">
      <c r="A46" s="286"/>
      <c r="B46" s="286"/>
      <c r="C46" s="192"/>
      <c r="D46" s="192">
        <v>0</v>
      </c>
      <c r="E46" s="192">
        <v>0</v>
      </c>
      <c r="F46" s="192" t="s">
        <v>6</v>
      </c>
      <c r="G46" s="192"/>
      <c r="H46" s="192">
        <v>0</v>
      </c>
      <c r="I46" s="192" t="s">
        <v>6</v>
      </c>
      <c r="J46" s="192" t="s">
        <v>6</v>
      </c>
      <c r="K46" s="318" t="s">
        <v>6</v>
      </c>
      <c r="L46" t="s">
        <v>6</v>
      </c>
    </row>
    <row r="47" spans="1:17" ht="9" customHeight="1">
      <c r="A47" s="286"/>
      <c r="B47" s="286"/>
      <c r="C47" s="192"/>
      <c r="D47" s="192"/>
      <c r="E47" s="192"/>
      <c r="F47" s="192" t="s">
        <v>6</v>
      </c>
      <c r="G47" s="192"/>
      <c r="H47" s="192" t="s">
        <v>6</v>
      </c>
      <c r="I47" s="192" t="s">
        <v>6</v>
      </c>
      <c r="J47" s="192" t="s">
        <v>6</v>
      </c>
      <c r="K47" s="318" t="s">
        <v>6</v>
      </c>
      <c r="L47" t="s">
        <v>6</v>
      </c>
    </row>
    <row r="48" spans="1:17" ht="13.5">
      <c r="A48" s="286"/>
      <c r="B48" s="286"/>
      <c r="C48" s="192"/>
      <c r="D48" s="192"/>
      <c r="E48" s="192"/>
      <c r="F48" s="192" t="s">
        <v>6</v>
      </c>
      <c r="G48" s="192"/>
      <c r="H48" s="192"/>
      <c r="I48" s="192" t="s">
        <v>6</v>
      </c>
      <c r="J48" s="192" t="s">
        <v>6</v>
      </c>
      <c r="K48" s="318" t="s">
        <v>6</v>
      </c>
      <c r="L48" t="s">
        <v>6</v>
      </c>
    </row>
    <row r="49" spans="1:12" ht="13.5">
      <c r="A49" s="286"/>
      <c r="B49" s="286"/>
      <c r="C49" s="192"/>
      <c r="D49" s="192"/>
      <c r="E49" s="192"/>
      <c r="F49" s="192" t="s">
        <v>6</v>
      </c>
      <c r="G49" s="192"/>
      <c r="H49" s="192"/>
      <c r="I49" s="192" t="s">
        <v>6</v>
      </c>
      <c r="J49" s="192" t="s">
        <v>6</v>
      </c>
      <c r="K49" s="318" t="s">
        <v>6</v>
      </c>
      <c r="L49" t="s">
        <v>6</v>
      </c>
    </row>
    <row r="50" spans="1:12" ht="13.5">
      <c r="A50" s="286"/>
      <c r="B50" s="286"/>
      <c r="C50" s="192"/>
      <c r="D50" s="192"/>
      <c r="E50" s="192"/>
      <c r="F50" s="192" t="s">
        <v>6</v>
      </c>
      <c r="G50" s="192"/>
      <c r="H50" s="192"/>
      <c r="I50" s="192" t="s">
        <v>6</v>
      </c>
      <c r="J50" s="192" t="s">
        <v>6</v>
      </c>
      <c r="K50" s="318" t="s">
        <v>6</v>
      </c>
      <c r="L50" t="s">
        <v>6</v>
      </c>
    </row>
    <row r="51" spans="1:12" ht="13.5">
      <c r="A51" s="286"/>
      <c r="B51" s="286"/>
      <c r="C51" s="192"/>
      <c r="D51" s="192" t="s">
        <v>6</v>
      </c>
      <c r="E51" s="192" t="s">
        <v>6</v>
      </c>
      <c r="F51" s="192" t="s">
        <v>6</v>
      </c>
      <c r="G51" s="192"/>
      <c r="H51" s="192"/>
      <c r="I51" s="192" t="s">
        <v>6</v>
      </c>
      <c r="J51" s="192" t="s">
        <v>6</v>
      </c>
      <c r="K51" s="318" t="s">
        <v>6</v>
      </c>
      <c r="L51" t="s">
        <v>6</v>
      </c>
    </row>
    <row r="52" spans="1:12" ht="13.5">
      <c r="A52" s="286"/>
      <c r="B52" s="286"/>
      <c r="C52" s="192"/>
      <c r="D52" s="192" t="s">
        <v>6</v>
      </c>
      <c r="E52" s="192" t="s">
        <v>6</v>
      </c>
      <c r="F52" s="192" t="s">
        <v>6</v>
      </c>
      <c r="G52" s="192"/>
      <c r="H52" s="192"/>
      <c r="I52" s="192" t="s">
        <v>40</v>
      </c>
      <c r="J52" s="192" t="s">
        <v>6</v>
      </c>
      <c r="K52" s="318" t="s">
        <v>6</v>
      </c>
      <c r="L52" t="s">
        <v>6</v>
      </c>
    </row>
    <row r="53" spans="1:12" ht="6.75" customHeight="1">
      <c r="A53" s="286"/>
      <c r="B53" s="286"/>
      <c r="C53" s="192"/>
      <c r="D53" s="192"/>
      <c r="E53" s="192"/>
      <c r="F53" s="192" t="s">
        <v>6</v>
      </c>
      <c r="G53" s="192"/>
      <c r="H53" s="192"/>
      <c r="I53" s="192" t="s">
        <v>6</v>
      </c>
      <c r="J53" s="192" t="s">
        <v>6</v>
      </c>
      <c r="K53" s="318" t="s">
        <v>6</v>
      </c>
      <c r="L53" t="s">
        <v>6</v>
      </c>
    </row>
    <row r="54" spans="1:12" ht="13.5">
      <c r="A54" s="286"/>
      <c r="B54" s="286"/>
      <c r="C54" s="192"/>
      <c r="D54" s="192">
        <v>0</v>
      </c>
      <c r="E54" s="192">
        <v>0</v>
      </c>
      <c r="F54" s="192" t="s">
        <v>6</v>
      </c>
      <c r="G54" s="192"/>
      <c r="H54" s="192">
        <v>0</v>
      </c>
      <c r="I54" s="192" t="s">
        <v>40</v>
      </c>
      <c r="J54" s="192" t="s">
        <v>6</v>
      </c>
      <c r="K54" s="318" t="s">
        <v>6</v>
      </c>
      <c r="L54" t="s">
        <v>6</v>
      </c>
    </row>
    <row r="55" spans="1:12" ht="7.5" customHeight="1">
      <c r="A55" s="286"/>
      <c r="B55" s="286"/>
      <c r="C55" s="192"/>
      <c r="D55" s="192"/>
      <c r="E55" s="192"/>
      <c r="F55" s="192" t="s">
        <v>6</v>
      </c>
      <c r="G55" s="192"/>
      <c r="H55" s="192"/>
      <c r="I55" s="192" t="s">
        <v>6</v>
      </c>
      <c r="J55" s="192" t="s">
        <v>6</v>
      </c>
      <c r="K55" s="318" t="s">
        <v>6</v>
      </c>
      <c r="L55" t="s">
        <v>6</v>
      </c>
    </row>
    <row r="56" spans="1:12" ht="13.5">
      <c r="A56" s="286"/>
      <c r="B56" s="286"/>
      <c r="C56" s="192"/>
      <c r="D56" s="192"/>
      <c r="E56" s="192"/>
      <c r="F56" s="192" t="s">
        <v>6</v>
      </c>
      <c r="G56" s="192"/>
      <c r="H56" s="192"/>
      <c r="I56" s="192" t="s">
        <v>6</v>
      </c>
      <c r="J56" s="192" t="s">
        <v>6</v>
      </c>
      <c r="K56" s="318" t="s">
        <v>6</v>
      </c>
      <c r="L56" t="s">
        <v>6</v>
      </c>
    </row>
    <row r="57" spans="1:12" ht="13.5">
      <c r="A57" s="286"/>
      <c r="B57" s="286"/>
      <c r="C57" s="192"/>
      <c r="D57" s="192"/>
      <c r="E57" s="192"/>
      <c r="F57" s="192" t="s">
        <v>6</v>
      </c>
      <c r="G57" s="192"/>
      <c r="H57" s="192"/>
      <c r="I57" s="192" t="s">
        <v>6</v>
      </c>
      <c r="J57" s="192" t="s">
        <v>6</v>
      </c>
      <c r="K57" s="318" t="s">
        <v>6</v>
      </c>
      <c r="L57" t="s">
        <v>6</v>
      </c>
    </row>
    <row r="58" spans="1:12" ht="4.5" customHeight="1">
      <c r="A58" s="287"/>
      <c r="B58" s="287"/>
      <c r="C58" s="322"/>
      <c r="D58" s="228"/>
      <c r="E58" s="228"/>
      <c r="F58" s="228" t="s">
        <v>6</v>
      </c>
      <c r="G58" s="228"/>
      <c r="H58" s="228"/>
      <c r="I58" s="228" t="s">
        <v>6</v>
      </c>
      <c r="J58" s="228" t="s">
        <v>6</v>
      </c>
      <c r="K58" s="323" t="s">
        <v>6</v>
      </c>
      <c r="L58" t="s">
        <v>6</v>
      </c>
    </row>
    <row r="59" spans="1:12" ht="15" hidden="1">
      <c r="A59" s="324" t="s">
        <v>368</v>
      </c>
      <c r="B59" s="324"/>
      <c r="C59" s="325"/>
      <c r="D59" s="173">
        <f>SUM(D60)</f>
        <v>0</v>
      </c>
      <c r="E59" s="173">
        <f>SUM(E60)</f>
        <v>0</v>
      </c>
      <c r="F59" s="173" t="e">
        <f>+E59+L58</f>
        <v>#VALUE!</v>
      </c>
      <c r="G59" s="173"/>
      <c r="H59" s="173">
        <f>SUM(H60)</f>
        <v>32083</v>
      </c>
      <c r="I59" s="173" t="e">
        <f>+D59-F59</f>
        <v>#VALUE!</v>
      </c>
      <c r="J59" s="173" t="e">
        <f>+#REF!-F59</f>
        <v>#REF!</v>
      </c>
      <c r="K59" s="326" t="e">
        <f>+F59/D59*100</f>
        <v>#VALUE!</v>
      </c>
    </row>
    <row r="60" spans="1:12" ht="12.75" hidden="1" customHeight="1" thickBot="1">
      <c r="A60" s="327" t="s">
        <v>81</v>
      </c>
      <c r="B60" s="327"/>
      <c r="C60" s="328"/>
      <c r="D60" s="175">
        <v>0</v>
      </c>
      <c r="E60" s="175">
        <v>0</v>
      </c>
      <c r="F60" s="173">
        <f>+E60+L59</f>
        <v>0</v>
      </c>
      <c r="G60" s="173"/>
      <c r="H60" s="175">
        <v>32083</v>
      </c>
      <c r="I60" s="173">
        <f>+D60-F60</f>
        <v>0</v>
      </c>
      <c r="J60" s="173" t="e">
        <f>+#REF!-F60</f>
        <v>#REF!</v>
      </c>
      <c r="K60" s="176" t="e">
        <f>+F60/D60*100</f>
        <v>#DIV/0!</v>
      </c>
    </row>
    <row r="61" spans="1:12" ht="14.25" hidden="1">
      <c r="A61" s="329" t="s">
        <v>82</v>
      </c>
      <c r="B61" s="329"/>
      <c r="C61" s="330"/>
      <c r="D61" s="175">
        <v>0</v>
      </c>
      <c r="E61" s="175">
        <v>0</v>
      </c>
      <c r="F61" s="173">
        <f>+E61+L60</f>
        <v>0</v>
      </c>
      <c r="G61" s="173"/>
      <c r="H61" s="175"/>
      <c r="I61" s="175"/>
      <c r="J61" s="173" t="e">
        <f>+#REF!-F61</f>
        <v>#REF!</v>
      </c>
      <c r="K61" s="176"/>
    </row>
    <row r="62" spans="1:12" ht="6" customHeight="1" thickBot="1">
      <c r="A62" s="331"/>
      <c r="B62" s="331"/>
      <c r="C62" s="332"/>
      <c r="D62" s="333"/>
      <c r="E62" s="333"/>
      <c r="F62" s="334" t="s">
        <v>6</v>
      </c>
      <c r="G62" s="334"/>
      <c r="H62" s="333"/>
      <c r="I62" s="333"/>
      <c r="J62" s="334" t="s">
        <v>6</v>
      </c>
      <c r="K62" s="335"/>
    </row>
    <row r="63" spans="1:12" ht="15.75">
      <c r="A63" s="36"/>
      <c r="B63" s="36"/>
      <c r="C63" s="36"/>
      <c r="D63" s="39"/>
      <c r="E63" s="39"/>
      <c r="F63" s="39"/>
      <c r="G63" s="39"/>
      <c r="H63" s="39"/>
      <c r="I63" s="39"/>
      <c r="J63" s="39"/>
      <c r="K63" s="336"/>
    </row>
    <row r="64" spans="1:12">
      <c r="A64" s="34" t="s">
        <v>40</v>
      </c>
      <c r="B64" s="34"/>
      <c r="C64" s="34"/>
      <c r="D64" s="40"/>
      <c r="E64" s="40"/>
      <c r="F64" s="39"/>
      <c r="G64" s="39"/>
      <c r="H64" s="39"/>
      <c r="I64" s="39"/>
      <c r="J64" s="39"/>
      <c r="K64" s="35"/>
    </row>
    <row r="65" spans="1:11">
      <c r="A65" s="34" t="s">
        <v>6</v>
      </c>
      <c r="B65" s="34"/>
      <c r="C65" s="34"/>
      <c r="D65" s="40"/>
      <c r="E65" s="40"/>
      <c r="F65" s="39"/>
      <c r="G65" s="39"/>
      <c r="H65" s="39"/>
      <c r="I65" s="39"/>
      <c r="J65" s="39"/>
      <c r="K65" s="35"/>
    </row>
    <row r="66" spans="1:11">
      <c r="A66" s="34" t="s">
        <v>6</v>
      </c>
      <c r="B66" s="34"/>
      <c r="C66" s="34"/>
      <c r="D66" s="40"/>
      <c r="E66" s="40"/>
      <c r="F66" s="39"/>
      <c r="G66" s="39"/>
      <c r="H66" s="39"/>
      <c r="I66" s="39"/>
      <c r="J66" s="39"/>
      <c r="K66" s="35"/>
    </row>
    <row r="67" spans="1:11">
      <c r="A67" s="34" t="s">
        <v>6</v>
      </c>
      <c r="B67" s="34"/>
      <c r="C67" s="34"/>
      <c r="D67" s="33"/>
      <c r="E67" s="33"/>
      <c r="F67" s="33"/>
      <c r="G67" s="33"/>
      <c r="H67" s="33"/>
      <c r="I67" s="33"/>
      <c r="J67" s="33"/>
      <c r="K67" s="35"/>
    </row>
    <row r="68" spans="1:11">
      <c r="A68" s="34" t="s">
        <v>6</v>
      </c>
      <c r="B68" s="34"/>
      <c r="C68" s="34"/>
      <c r="D68" s="33"/>
      <c r="E68" s="33"/>
      <c r="F68" s="33"/>
      <c r="G68" s="33"/>
      <c r="H68" s="33"/>
      <c r="I68" s="33"/>
      <c r="J68" s="33"/>
      <c r="K68" s="35"/>
    </row>
    <row r="69" spans="1:11">
      <c r="A69" s="34" t="s">
        <v>6</v>
      </c>
      <c r="B69" s="34"/>
      <c r="C69" s="34"/>
      <c r="D69" s="33"/>
      <c r="E69" s="33"/>
      <c r="F69" s="33"/>
      <c r="G69" s="33"/>
      <c r="H69" s="33"/>
      <c r="I69" s="33"/>
      <c r="J69" s="33"/>
      <c r="K69" s="35"/>
    </row>
    <row r="70" spans="1:11">
      <c r="A70" s="34" t="s">
        <v>6</v>
      </c>
      <c r="B70" s="34"/>
      <c r="C70" s="34"/>
      <c r="D70" s="33"/>
      <c r="E70" s="33"/>
      <c r="F70" s="33"/>
      <c r="G70" s="33"/>
      <c r="H70" s="33"/>
      <c r="I70" s="33"/>
      <c r="J70" s="33"/>
      <c r="K70" s="35"/>
    </row>
    <row r="71" spans="1:11">
      <c r="A71" s="34" t="s">
        <v>6</v>
      </c>
      <c r="B71" s="34"/>
      <c r="C71" s="34"/>
      <c r="D71" s="33"/>
      <c r="E71" s="33"/>
      <c r="F71" s="33"/>
      <c r="G71" s="33"/>
      <c r="H71" s="33"/>
      <c r="I71" s="33"/>
      <c r="J71" s="33"/>
      <c r="K71" s="35"/>
    </row>
    <row r="72" spans="1:11">
      <c r="A72" s="34" t="s">
        <v>6</v>
      </c>
      <c r="B72" s="34"/>
      <c r="C72" s="34"/>
      <c r="D72" s="33"/>
      <c r="E72" s="33"/>
      <c r="F72" s="33"/>
      <c r="G72" s="33"/>
      <c r="H72" s="33"/>
      <c r="I72" s="33"/>
      <c r="J72" s="33"/>
      <c r="K72" s="35"/>
    </row>
    <row r="73" spans="1:11" ht="74.25" customHeight="1">
      <c r="A73" s="34" t="s">
        <v>6</v>
      </c>
      <c r="B73" s="34"/>
      <c r="C73" s="34"/>
      <c r="D73" s="33"/>
      <c r="E73" s="33"/>
      <c r="F73" s="33"/>
      <c r="G73" s="33"/>
      <c r="H73" s="33"/>
      <c r="I73" s="33"/>
      <c r="J73" s="33"/>
      <c r="K73" s="35"/>
    </row>
    <row r="74" spans="1:11">
      <c r="A74" s="24" t="s">
        <v>6</v>
      </c>
      <c r="D74" s="33"/>
      <c r="E74" s="33"/>
      <c r="F74" s="33"/>
      <c r="G74" s="33"/>
      <c r="H74" s="33"/>
      <c r="I74" s="33"/>
      <c r="J74" s="33"/>
      <c r="K74" s="35"/>
    </row>
    <row r="75" spans="1:11">
      <c r="D75" s="33"/>
      <c r="E75" s="33"/>
      <c r="F75" s="33"/>
      <c r="G75" s="33"/>
      <c r="H75" s="33"/>
      <c r="I75" s="33"/>
      <c r="J75" s="33"/>
      <c r="K75" s="35"/>
    </row>
    <row r="76" spans="1:11">
      <c r="A76" s="24" t="s">
        <v>6</v>
      </c>
      <c r="D76" s="33"/>
      <c r="E76" s="33"/>
      <c r="F76" s="33"/>
      <c r="G76" s="33"/>
      <c r="H76" s="33"/>
      <c r="I76" s="33"/>
      <c r="J76" s="33"/>
      <c r="K76" s="35"/>
    </row>
    <row r="77" spans="1:11">
      <c r="A77" s="24" t="s">
        <v>6</v>
      </c>
      <c r="D77" s="33"/>
      <c r="E77" s="33"/>
      <c r="F77" s="33"/>
      <c r="G77" s="33"/>
      <c r="H77" s="33"/>
      <c r="I77" s="33"/>
      <c r="J77" s="33"/>
      <c r="K77" s="35"/>
    </row>
    <row r="78" spans="1:11">
      <c r="D78" s="33"/>
      <c r="E78" s="33"/>
      <c r="F78" s="33"/>
      <c r="G78" s="33"/>
      <c r="H78" s="33"/>
      <c r="I78" s="33"/>
      <c r="J78" s="33"/>
      <c r="K78" s="35"/>
    </row>
    <row r="79" spans="1:11">
      <c r="D79" s="33"/>
      <c r="E79" s="33"/>
      <c r="F79" s="33"/>
      <c r="G79" s="33"/>
      <c r="H79" s="33"/>
      <c r="I79" s="33"/>
      <c r="J79" s="33"/>
      <c r="K79" s="35"/>
    </row>
    <row r="80" spans="1:11">
      <c r="D80" s="33"/>
      <c r="E80" s="33"/>
      <c r="F80" s="33"/>
      <c r="G80" s="33"/>
      <c r="H80" s="33"/>
      <c r="I80" s="33"/>
      <c r="J80" s="33"/>
      <c r="K80" s="35"/>
    </row>
    <row r="81" spans="4:11">
      <c r="D81" s="33"/>
      <c r="E81" s="33"/>
      <c r="F81" s="33"/>
      <c r="G81" s="33"/>
      <c r="H81" s="33"/>
      <c r="I81" s="33"/>
      <c r="J81" s="33"/>
      <c r="K81" s="35"/>
    </row>
    <row r="82" spans="4:11">
      <c r="D82" s="33"/>
      <c r="E82" s="33"/>
      <c r="F82" s="33"/>
      <c r="G82" s="33"/>
      <c r="H82" s="33"/>
      <c r="I82" s="33"/>
      <c r="J82" s="33"/>
      <c r="K82" s="35"/>
    </row>
    <row r="83" spans="4:11">
      <c r="D83" s="33"/>
      <c r="E83" s="33"/>
      <c r="F83" s="33"/>
      <c r="G83" s="33"/>
      <c r="H83" s="33"/>
      <c r="I83" s="33"/>
      <c r="J83" s="33"/>
      <c r="K83" s="35"/>
    </row>
    <row r="84" spans="4:11">
      <c r="D84" s="33"/>
      <c r="E84" s="33"/>
      <c r="F84" s="33"/>
      <c r="G84" s="33"/>
      <c r="H84" s="33"/>
      <c r="I84" s="33"/>
      <c r="J84" s="33"/>
      <c r="K84" s="35"/>
    </row>
    <row r="85" spans="4:11">
      <c r="D85" s="33"/>
      <c r="E85" s="33"/>
      <c r="F85" s="33"/>
      <c r="G85" s="33"/>
      <c r="H85" s="33"/>
      <c r="I85" s="33"/>
      <c r="J85" s="33"/>
      <c r="K85" s="35"/>
    </row>
    <row r="86" spans="4:11">
      <c r="D86" s="33"/>
      <c r="E86" s="33"/>
      <c r="F86" s="33"/>
      <c r="G86" s="33"/>
      <c r="H86" s="33"/>
      <c r="I86" s="33"/>
      <c r="J86" s="33"/>
      <c r="K86" s="35"/>
    </row>
    <row r="87" spans="4:11">
      <c r="D87" s="33"/>
      <c r="E87" s="33"/>
      <c r="F87" s="33"/>
      <c r="G87" s="33"/>
      <c r="H87" s="33"/>
      <c r="I87" s="33"/>
      <c r="J87" s="33"/>
      <c r="K87" s="35"/>
    </row>
    <row r="88" spans="4:11">
      <c r="D88" s="33"/>
      <c r="E88" s="33"/>
      <c r="F88" s="33"/>
      <c r="G88" s="33"/>
      <c r="H88" s="33"/>
      <c r="I88" s="33"/>
      <c r="J88" s="33"/>
      <c r="K88" s="35"/>
    </row>
    <row r="89" spans="4:11">
      <c r="D89" s="33"/>
      <c r="E89" s="33"/>
      <c r="F89" s="33"/>
      <c r="G89" s="33"/>
      <c r="H89" s="33"/>
      <c r="I89" s="33"/>
      <c r="J89" s="33"/>
      <c r="K89" s="35"/>
    </row>
    <row r="90" spans="4:11">
      <c r="D90" s="33"/>
      <c r="E90" s="33"/>
      <c r="F90" s="33"/>
      <c r="G90" s="33"/>
      <c r="H90" s="33"/>
      <c r="I90" s="33"/>
      <c r="J90" s="33"/>
      <c r="K90" s="35"/>
    </row>
    <row r="91" spans="4:11">
      <c r="D91" s="33"/>
      <c r="E91" s="33"/>
      <c r="F91" s="33"/>
      <c r="G91" s="33"/>
      <c r="H91" s="33"/>
      <c r="I91" s="33"/>
      <c r="J91" s="33"/>
      <c r="K91" s="35"/>
    </row>
    <row r="92" spans="4:11">
      <c r="D92" s="33"/>
      <c r="E92" s="33"/>
      <c r="F92" s="33"/>
      <c r="G92" s="33"/>
      <c r="H92" s="33"/>
      <c r="I92" s="33"/>
      <c r="J92" s="33"/>
      <c r="K92" s="35"/>
    </row>
    <row r="93" spans="4:11">
      <c r="D93" s="33"/>
      <c r="E93" s="33"/>
      <c r="F93" s="33"/>
      <c r="G93" s="33"/>
      <c r="H93" s="33"/>
      <c r="I93" s="33"/>
      <c r="J93" s="33"/>
      <c r="K93" s="35"/>
    </row>
    <row r="94" spans="4:11">
      <c r="D94" s="33"/>
      <c r="E94" s="33"/>
      <c r="F94" s="33"/>
      <c r="G94" s="33"/>
      <c r="H94" s="33"/>
      <c r="I94" s="33"/>
      <c r="J94" s="33"/>
      <c r="K94" s="35"/>
    </row>
    <row r="95" spans="4:11">
      <c r="D95" s="33"/>
      <c r="E95" s="33"/>
      <c r="F95" s="33"/>
      <c r="G95" s="33"/>
      <c r="H95" s="33"/>
      <c r="I95" s="33"/>
      <c r="J95" s="33"/>
      <c r="K95" s="35"/>
    </row>
    <row r="96" spans="4:11">
      <c r="D96" s="33"/>
      <c r="E96" s="33"/>
      <c r="F96" s="33"/>
      <c r="G96" s="33"/>
      <c r="H96" s="33"/>
      <c r="I96" s="33"/>
      <c r="J96" s="33"/>
      <c r="K96" s="35"/>
    </row>
    <row r="97" spans="4:11">
      <c r="D97" s="33"/>
      <c r="E97" s="33"/>
      <c r="F97" s="33"/>
      <c r="G97" s="33"/>
      <c r="H97" s="33"/>
      <c r="I97" s="33"/>
      <c r="J97" s="33"/>
      <c r="K97" s="35"/>
    </row>
    <row r="98" spans="4:11">
      <c r="D98" s="33"/>
      <c r="E98" s="33"/>
      <c r="F98" s="33"/>
      <c r="G98" s="33"/>
      <c r="H98" s="33"/>
      <c r="I98" s="33"/>
      <c r="J98" s="33"/>
      <c r="K98" s="35"/>
    </row>
    <row r="99" spans="4:11">
      <c r="D99" s="33"/>
      <c r="E99" s="33"/>
      <c r="F99" s="33"/>
      <c r="G99" s="33"/>
      <c r="H99" s="33"/>
      <c r="I99" s="33"/>
      <c r="J99" s="33"/>
      <c r="K99" s="35"/>
    </row>
    <row r="100" spans="4:11">
      <c r="D100" s="33"/>
      <c r="E100" s="33"/>
      <c r="F100" s="33"/>
      <c r="G100" s="33"/>
      <c r="H100" s="33"/>
      <c r="I100" s="33"/>
      <c r="J100" s="33"/>
      <c r="K100" s="35"/>
    </row>
    <row r="101" spans="4:11">
      <c r="D101" s="33"/>
      <c r="E101" s="33"/>
      <c r="F101" s="33"/>
      <c r="G101" s="33"/>
      <c r="H101" s="33"/>
      <c r="I101" s="33"/>
      <c r="J101" s="33"/>
      <c r="K101" s="35"/>
    </row>
    <row r="102" spans="4:11">
      <c r="D102" s="33"/>
      <c r="E102" s="33"/>
      <c r="F102" s="33"/>
      <c r="G102" s="33"/>
      <c r="H102" s="33"/>
      <c r="I102" s="33"/>
      <c r="J102" s="33"/>
      <c r="K102" s="35"/>
    </row>
    <row r="103" spans="4:11">
      <c r="D103" s="33"/>
      <c r="E103" s="33"/>
      <c r="F103" s="33"/>
      <c r="G103" s="33"/>
      <c r="H103" s="33"/>
      <c r="I103" s="33"/>
      <c r="J103" s="33"/>
      <c r="K103" s="35"/>
    </row>
    <row r="104" spans="4:11">
      <c r="D104" s="33"/>
      <c r="E104" s="33"/>
      <c r="F104" s="33"/>
      <c r="G104" s="33"/>
      <c r="H104" s="33"/>
      <c r="I104" s="33"/>
      <c r="J104" s="33"/>
      <c r="K104" s="35"/>
    </row>
    <row r="105" spans="4:11">
      <c r="D105" s="33"/>
      <c r="E105" s="33"/>
      <c r="F105" s="33"/>
      <c r="G105" s="33"/>
      <c r="H105" s="33"/>
      <c r="I105" s="33"/>
      <c r="J105" s="33"/>
      <c r="K105" s="35"/>
    </row>
    <row r="106" spans="4:11">
      <c r="D106" s="33"/>
      <c r="E106" s="33"/>
      <c r="F106" s="33"/>
      <c r="G106" s="33"/>
      <c r="H106" s="33"/>
      <c r="I106" s="33"/>
      <c r="J106" s="33"/>
      <c r="K106" s="35"/>
    </row>
    <row r="107" spans="4:11">
      <c r="D107" s="33"/>
      <c r="E107" s="33"/>
      <c r="F107" s="33"/>
      <c r="G107" s="33"/>
      <c r="H107" s="33"/>
      <c r="I107" s="33"/>
      <c r="J107" s="33"/>
      <c r="K107" s="35"/>
    </row>
    <row r="108" spans="4:11">
      <c r="D108" s="33"/>
      <c r="E108" s="33"/>
      <c r="F108" s="33"/>
      <c r="G108" s="33"/>
      <c r="H108" s="33"/>
      <c r="I108" s="33"/>
      <c r="J108" s="33"/>
      <c r="K108" s="35"/>
    </row>
    <row r="109" spans="4:11">
      <c r="D109" s="33"/>
      <c r="E109" s="33"/>
      <c r="F109" s="33"/>
      <c r="G109" s="33"/>
      <c r="H109" s="33"/>
      <c r="I109" s="33"/>
      <c r="J109" s="33"/>
      <c r="K109" s="35"/>
    </row>
    <row r="110" spans="4:11">
      <c r="D110" s="33"/>
      <c r="E110" s="33"/>
      <c r="F110" s="33"/>
      <c r="G110" s="33"/>
      <c r="H110" s="33"/>
      <c r="I110" s="33"/>
      <c r="J110" s="33"/>
      <c r="K110" s="35"/>
    </row>
    <row r="111" spans="4:11">
      <c r="D111" s="33"/>
      <c r="E111" s="33"/>
      <c r="F111" s="33"/>
      <c r="G111" s="33"/>
      <c r="H111" s="33"/>
      <c r="I111" s="33"/>
      <c r="J111" s="33"/>
      <c r="K111" s="35"/>
    </row>
    <row r="112" spans="4:11">
      <c r="D112" s="33"/>
      <c r="E112" s="33"/>
      <c r="F112" s="33"/>
      <c r="G112" s="33"/>
      <c r="H112" s="33"/>
      <c r="I112" s="33"/>
      <c r="J112" s="33"/>
      <c r="K112" s="35"/>
    </row>
    <row r="113" spans="4:11">
      <c r="D113" s="33"/>
      <c r="E113" s="33"/>
      <c r="F113" s="33"/>
      <c r="G113" s="33"/>
      <c r="H113" s="33"/>
      <c r="I113" s="33"/>
      <c r="J113" s="33"/>
      <c r="K113" s="35"/>
    </row>
    <row r="114" spans="4:11">
      <c r="D114" s="33"/>
      <c r="E114" s="33"/>
      <c r="F114" s="33"/>
      <c r="G114" s="33"/>
      <c r="H114" s="33"/>
      <c r="I114" s="33"/>
      <c r="J114" s="33"/>
      <c r="K114" s="35"/>
    </row>
    <row r="115" spans="4:11">
      <c r="D115" s="33"/>
      <c r="E115" s="33"/>
      <c r="F115" s="33"/>
      <c r="G115" s="33"/>
      <c r="H115" s="33"/>
      <c r="I115" s="33"/>
      <c r="J115" s="33"/>
      <c r="K115" s="35"/>
    </row>
    <row r="116" spans="4:11">
      <c r="D116" s="33"/>
      <c r="E116" s="33"/>
      <c r="F116" s="33"/>
      <c r="G116" s="33"/>
      <c r="H116" s="33"/>
      <c r="I116" s="33"/>
      <c r="J116" s="33"/>
      <c r="K116" s="35"/>
    </row>
    <row r="117" spans="4:11">
      <c r="D117" s="33"/>
      <c r="E117" s="33"/>
      <c r="F117" s="33"/>
      <c r="G117" s="33"/>
      <c r="H117" s="33"/>
      <c r="I117" s="33"/>
      <c r="J117" s="33"/>
      <c r="K117" s="35"/>
    </row>
    <row r="118" spans="4:11">
      <c r="D118" s="33"/>
      <c r="E118" s="33"/>
      <c r="F118" s="33"/>
      <c r="G118" s="33"/>
      <c r="H118" s="33"/>
      <c r="I118" s="33"/>
      <c r="J118" s="33"/>
      <c r="K118" s="35"/>
    </row>
    <row r="119" spans="4:11">
      <c r="D119" s="33"/>
      <c r="E119" s="33"/>
      <c r="F119" s="33"/>
      <c r="G119" s="33"/>
      <c r="H119" s="33"/>
      <c r="I119" s="33"/>
      <c r="J119" s="33"/>
      <c r="K119" s="35"/>
    </row>
    <row r="120" spans="4:11">
      <c r="D120" s="33"/>
      <c r="E120" s="33"/>
      <c r="F120" s="33"/>
      <c r="G120" s="33"/>
      <c r="H120" s="33"/>
      <c r="I120" s="33"/>
      <c r="J120" s="33"/>
      <c r="K120" s="35"/>
    </row>
    <row r="121" spans="4:11">
      <c r="D121" s="33"/>
      <c r="E121" s="33"/>
      <c r="F121" s="33"/>
      <c r="G121" s="33"/>
      <c r="H121" s="33"/>
      <c r="I121" s="33"/>
      <c r="J121" s="33"/>
      <c r="K121" s="35"/>
    </row>
    <row r="122" spans="4:11">
      <c r="D122" s="33"/>
      <c r="E122" s="33"/>
      <c r="F122" s="33"/>
      <c r="G122" s="33"/>
      <c r="H122" s="33"/>
      <c r="I122" s="33"/>
      <c r="J122" s="33"/>
      <c r="K122" s="35"/>
    </row>
    <row r="123" spans="4:11">
      <c r="D123" s="33"/>
      <c r="E123" s="33"/>
      <c r="F123" s="33"/>
      <c r="G123" s="33"/>
      <c r="H123" s="33"/>
      <c r="I123" s="33"/>
      <c r="J123" s="33"/>
      <c r="K123" s="35"/>
    </row>
    <row r="124" spans="4:11">
      <c r="D124" s="33"/>
      <c r="E124" s="33"/>
      <c r="F124" s="33"/>
      <c r="G124" s="33"/>
      <c r="H124" s="33"/>
      <c r="I124" s="33"/>
      <c r="J124" s="33"/>
      <c r="K124" s="35"/>
    </row>
    <row r="125" spans="4:11">
      <c r="D125" s="33"/>
      <c r="E125" s="33"/>
      <c r="F125" s="33"/>
      <c r="G125" s="33"/>
      <c r="H125" s="33"/>
      <c r="I125" s="33"/>
      <c r="J125" s="33"/>
      <c r="K125" s="35"/>
    </row>
    <row r="126" spans="4:11">
      <c r="D126" s="33"/>
      <c r="E126" s="33"/>
      <c r="F126" s="33"/>
      <c r="G126" s="33"/>
      <c r="H126" s="33"/>
      <c r="I126" s="33"/>
      <c r="J126" s="33"/>
      <c r="K126" s="35"/>
    </row>
    <row r="127" spans="4:11">
      <c r="D127" s="33"/>
      <c r="E127" s="33"/>
      <c r="F127" s="33"/>
      <c r="G127" s="33"/>
      <c r="H127" s="33"/>
      <c r="I127" s="33"/>
      <c r="J127" s="33"/>
      <c r="K127" s="35"/>
    </row>
    <row r="128" spans="4:11">
      <c r="D128" s="33"/>
      <c r="E128" s="33"/>
      <c r="F128" s="33"/>
      <c r="G128" s="33"/>
      <c r="H128" s="33"/>
      <c r="I128" s="33"/>
      <c r="J128" s="33"/>
      <c r="K128" s="35"/>
    </row>
    <row r="129" spans="4:11">
      <c r="D129" s="33"/>
      <c r="E129" s="33"/>
      <c r="F129" s="33"/>
      <c r="G129" s="33"/>
      <c r="H129" s="33"/>
      <c r="I129" s="33"/>
      <c r="J129" s="33"/>
      <c r="K129" s="35"/>
    </row>
    <row r="130" spans="4:11">
      <c r="D130" s="33"/>
      <c r="E130" s="33"/>
      <c r="F130" s="33"/>
      <c r="G130" s="33"/>
      <c r="H130" s="33"/>
      <c r="I130" s="33"/>
      <c r="J130" s="33"/>
      <c r="K130" s="35"/>
    </row>
    <row r="131" spans="4:11">
      <c r="D131" s="33"/>
      <c r="E131" s="33"/>
      <c r="F131" s="33"/>
      <c r="G131" s="33"/>
      <c r="H131" s="33"/>
      <c r="I131" s="33"/>
      <c r="J131" s="33"/>
      <c r="K131" s="35"/>
    </row>
    <row r="132" spans="4:11">
      <c r="D132" s="33"/>
      <c r="E132" s="33"/>
      <c r="F132" s="33"/>
      <c r="G132" s="33"/>
      <c r="H132" s="33"/>
      <c r="I132" s="33"/>
      <c r="J132" s="33"/>
      <c r="K132" s="35"/>
    </row>
    <row r="133" spans="4:11">
      <c r="K133" s="35"/>
    </row>
    <row r="134" spans="4:11">
      <c r="K134" s="35"/>
    </row>
    <row r="135" spans="4:11">
      <c r="K135" s="35"/>
    </row>
    <row r="136" spans="4:11">
      <c r="K136" s="35"/>
    </row>
    <row r="137" spans="4:11">
      <c r="K137" s="35"/>
    </row>
    <row r="138" spans="4:11">
      <c r="K138" s="35"/>
    </row>
    <row r="139" spans="4:11">
      <c r="K139" s="35"/>
    </row>
    <row r="140" spans="4:11">
      <c r="K140" s="35"/>
    </row>
    <row r="141" spans="4:11">
      <c r="K141" s="35"/>
    </row>
    <row r="142" spans="4:11">
      <c r="K142" s="35"/>
    </row>
    <row r="143" spans="4:11">
      <c r="K143" s="35"/>
    </row>
    <row r="144" spans="4:11">
      <c r="K144" s="35"/>
    </row>
    <row r="145" spans="11:11">
      <c r="K145" s="35"/>
    </row>
    <row r="146" spans="11:11">
      <c r="K146" s="35"/>
    </row>
    <row r="147" spans="11:11">
      <c r="K147" s="35"/>
    </row>
    <row r="148" spans="11:11">
      <c r="K148" s="35"/>
    </row>
    <row r="149" spans="11:11">
      <c r="K149" s="35"/>
    </row>
    <row r="150" spans="11:11">
      <c r="K150" s="35"/>
    </row>
    <row r="151" spans="11:11">
      <c r="K151" s="35"/>
    </row>
    <row r="152" spans="11:11">
      <c r="K152" s="35"/>
    </row>
    <row r="153" spans="11:11">
      <c r="K153" s="35"/>
    </row>
    <row r="154" spans="11:11">
      <c r="K154" s="35"/>
    </row>
    <row r="155" spans="11:11">
      <c r="K155" s="35"/>
    </row>
    <row r="156" spans="11:11">
      <c r="K156" s="35"/>
    </row>
    <row r="157" spans="11:11">
      <c r="K157" s="35"/>
    </row>
    <row r="158" spans="11:11">
      <c r="K158" s="35"/>
    </row>
    <row r="159" spans="11:11">
      <c r="K159" s="35"/>
    </row>
    <row r="160" spans="11:11">
      <c r="K160" s="35"/>
    </row>
    <row r="161" spans="11:11">
      <c r="K161" s="35"/>
    </row>
    <row r="162" spans="11:11">
      <c r="K162" s="35"/>
    </row>
    <row r="163" spans="11:11">
      <c r="K163" s="35"/>
    </row>
    <row r="164" spans="11:11">
      <c r="K164" s="35"/>
    </row>
    <row r="165" spans="11:11">
      <c r="K165" s="35"/>
    </row>
    <row r="166" spans="11:11">
      <c r="K166" s="35"/>
    </row>
    <row r="167" spans="11:11">
      <c r="K167" s="35"/>
    </row>
    <row r="168" spans="11:11">
      <c r="K168" s="35"/>
    </row>
    <row r="169" spans="11:11">
      <c r="K169" s="35"/>
    </row>
    <row r="170" spans="11:11">
      <c r="K170" s="35"/>
    </row>
    <row r="171" spans="11:11">
      <c r="K171" s="35"/>
    </row>
    <row r="172" spans="11:11">
      <c r="K172" s="35"/>
    </row>
    <row r="173" spans="11:11">
      <c r="K173" s="35"/>
    </row>
    <row r="174" spans="11:11">
      <c r="K174" s="35"/>
    </row>
    <row r="175" spans="11:11">
      <c r="K175" s="35"/>
    </row>
    <row r="176" spans="11:11">
      <c r="K176" s="35"/>
    </row>
    <row r="177" spans="11:11">
      <c r="K177" s="35"/>
    </row>
    <row r="178" spans="11:11">
      <c r="K178" s="35"/>
    </row>
    <row r="179" spans="11:11">
      <c r="K179" s="35"/>
    </row>
    <row r="180" spans="11:11">
      <c r="K180" s="35"/>
    </row>
    <row r="181" spans="11:11">
      <c r="K181" s="35"/>
    </row>
    <row r="182" spans="11:11">
      <c r="K182" s="35"/>
    </row>
    <row r="183" spans="11:11">
      <c r="K183" s="35"/>
    </row>
    <row r="184" spans="11:11">
      <c r="K184" s="35"/>
    </row>
    <row r="185" spans="11:11">
      <c r="K185" s="35"/>
    </row>
    <row r="186" spans="11:11">
      <c r="K186" s="35"/>
    </row>
    <row r="187" spans="11:11">
      <c r="K187" s="35"/>
    </row>
    <row r="188" spans="11:11">
      <c r="K188" s="35"/>
    </row>
    <row r="189" spans="11:11">
      <c r="K189" s="35"/>
    </row>
    <row r="190" spans="11:11">
      <c r="K190" s="35"/>
    </row>
    <row r="191" spans="11:11">
      <c r="K191" s="35"/>
    </row>
    <row r="192" spans="11:11">
      <c r="K192" s="35"/>
    </row>
  </sheetData>
  <mergeCells count="11">
    <mergeCell ref="A2:K2"/>
    <mergeCell ref="A3:K3"/>
    <mergeCell ref="A7:A8"/>
    <mergeCell ref="A4:K4"/>
    <mergeCell ref="A5:K5"/>
    <mergeCell ref="H7:H8"/>
    <mergeCell ref="K7:K8"/>
    <mergeCell ref="G7:G8"/>
    <mergeCell ref="B7:D7"/>
    <mergeCell ref="E7:F7"/>
    <mergeCell ref="I7:J8"/>
  </mergeCells>
  <phoneticPr fontId="3" type="noConversion"/>
  <pageMargins left="0.19685039370078741" right="7.874015748031496E-2" top="0.98425196850393704" bottom="0.78740157480314965" header="0.51181102362204722" footer="0.51181102362204722"/>
  <pageSetup scale="75" firstPageNumber="0" orientation="portrait" r:id="rId1"/>
  <headerFooter alignWithMargins="0"/>
  <ignoredErrors>
    <ignoredError sqref="D9 F37 D3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7">
    <tabColor theme="6" tint="0.39997558519241921"/>
  </sheetPr>
  <dimension ref="A1:U214"/>
  <sheetViews>
    <sheetView showGridLines="0" showZeros="0" topLeftCell="A2" workbookViewId="0">
      <selection activeCell="A4" sqref="A4:L4"/>
    </sheetView>
  </sheetViews>
  <sheetFormatPr baseColWidth="10" defaultColWidth="11.42578125" defaultRowHeight="12.75"/>
  <cols>
    <col min="1" max="1" width="4.85546875" style="32" customWidth="1"/>
    <col min="2" max="2" width="32.28515625" style="32" customWidth="1"/>
    <col min="3" max="3" width="11" style="32" customWidth="1"/>
    <col min="4" max="4" width="11.7109375" style="32" customWidth="1"/>
    <col min="5" max="5" width="10.85546875" style="32" customWidth="1"/>
    <col min="6" max="6" width="12.7109375" style="32" customWidth="1"/>
    <col min="7" max="7" width="12.140625" style="32" customWidth="1"/>
    <col min="8" max="8" width="12.85546875" style="32" customWidth="1"/>
    <col min="9" max="9" width="11.85546875" style="32" customWidth="1"/>
    <col min="10" max="10" width="10.42578125" style="32" customWidth="1"/>
    <col min="11" max="11" width="9.85546875" style="32" hidden="1" customWidth="1"/>
    <col min="12" max="12" width="12.7109375" style="32" customWidth="1"/>
    <col min="13" max="13" width="14.85546875" customWidth="1"/>
    <col min="14" max="14" width="12.7109375" customWidth="1"/>
  </cols>
  <sheetData>
    <row r="1" spans="1:16" hidden="1"/>
    <row r="2" spans="1:16" ht="15.75">
      <c r="A2" s="656" t="s">
        <v>404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</row>
    <row r="3" spans="1:16" ht="15.75">
      <c r="A3" s="656" t="s">
        <v>405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</row>
    <row r="4" spans="1:16" ht="15">
      <c r="A4" s="657" t="s">
        <v>589</v>
      </c>
      <c r="B4" s="657"/>
      <c r="C4" s="657"/>
      <c r="D4" s="657"/>
      <c r="E4" s="657"/>
      <c r="F4" s="657"/>
      <c r="G4" s="657"/>
      <c r="H4" s="657"/>
      <c r="I4" s="657"/>
      <c r="J4" s="657"/>
      <c r="K4" s="657"/>
      <c r="L4" s="657"/>
      <c r="P4" t="s">
        <v>6</v>
      </c>
    </row>
    <row r="5" spans="1:16" ht="15">
      <c r="A5" s="657" t="s">
        <v>505</v>
      </c>
      <c r="B5" s="657"/>
      <c r="C5" s="657"/>
      <c r="D5" s="657"/>
      <c r="E5" s="657"/>
      <c r="F5" s="657"/>
      <c r="G5" s="657"/>
      <c r="H5" s="657"/>
      <c r="I5" s="657"/>
      <c r="J5" s="657"/>
      <c r="K5" s="657"/>
      <c r="L5" s="657"/>
    </row>
    <row r="6" spans="1:16" ht="6.75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6" ht="0.75" customHeight="1" thickBo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6" ht="12.75" customHeight="1">
      <c r="A8" s="670" t="s">
        <v>393</v>
      </c>
      <c r="B8" s="667" t="s">
        <v>0</v>
      </c>
      <c r="C8" s="658" t="s">
        <v>33</v>
      </c>
      <c r="D8" s="658"/>
      <c r="E8" s="658"/>
      <c r="F8" s="660" t="s">
        <v>83</v>
      </c>
      <c r="G8" s="660"/>
      <c r="H8" s="673" t="s">
        <v>540</v>
      </c>
      <c r="I8" s="660" t="s">
        <v>70</v>
      </c>
      <c r="J8" s="676" t="s">
        <v>308</v>
      </c>
      <c r="K8" s="677"/>
      <c r="L8" s="664" t="s">
        <v>395</v>
      </c>
    </row>
    <row r="9" spans="1:16" ht="4.5" customHeight="1" thickBot="1">
      <c r="A9" s="671"/>
      <c r="B9" s="668"/>
      <c r="C9" s="659"/>
      <c r="D9" s="659"/>
      <c r="E9" s="659"/>
      <c r="F9" s="661"/>
      <c r="G9" s="661"/>
      <c r="H9" s="674"/>
      <c r="I9" s="662"/>
      <c r="J9" s="678"/>
      <c r="K9" s="679"/>
      <c r="L9" s="665"/>
    </row>
    <row r="10" spans="1:16" ht="23.25" customHeight="1">
      <c r="A10" s="672"/>
      <c r="B10" s="669"/>
      <c r="C10" s="589" t="s">
        <v>85</v>
      </c>
      <c r="D10" s="589" t="s">
        <v>11</v>
      </c>
      <c r="E10" s="589" t="s">
        <v>2</v>
      </c>
      <c r="F10" s="590" t="s">
        <v>38</v>
      </c>
      <c r="G10" s="590" t="s">
        <v>43</v>
      </c>
      <c r="H10" s="675"/>
      <c r="I10" s="663"/>
      <c r="J10" s="680"/>
      <c r="K10" s="681"/>
      <c r="L10" s="666"/>
    </row>
    <row r="11" spans="1:16" ht="19.5" customHeight="1">
      <c r="A11" s="129" t="s">
        <v>86</v>
      </c>
      <c r="B11" s="130" t="s">
        <v>87</v>
      </c>
      <c r="C11" s="131">
        <f>SUM(C12+C16+C20+C21+C22+C27+C29)</f>
        <v>125299729</v>
      </c>
      <c r="D11" s="131">
        <f>SUM(C11:C11)</f>
        <v>125299729</v>
      </c>
      <c r="E11" s="131">
        <f>SUM(E12+E16+E20+E21+E22+E27+E29)</f>
        <v>12008796</v>
      </c>
      <c r="F11" s="497">
        <f>SUM(F12+F16+F20+F21+F22+F27+F29)</f>
        <v>6955179.8300000001</v>
      </c>
      <c r="G11" s="497">
        <f>N11+F11</f>
        <v>6955179.8300000001</v>
      </c>
      <c r="H11" s="479">
        <f>+H12+H16+H20+H22+H29</f>
        <v>6067645.9000000004</v>
      </c>
      <c r="I11" s="131">
        <f>SUM(I12+I16+I20+I21+I22+I27+I29)</f>
        <v>6067645.9000000004</v>
      </c>
      <c r="J11" s="131">
        <f t="shared" ref="J11:J33" si="0">+E11-G11</f>
        <v>5053616.17</v>
      </c>
      <c r="K11" s="131">
        <f t="shared" ref="K11:K26" si="1">+D11-G11</f>
        <v>118344549.17</v>
      </c>
      <c r="L11" s="460">
        <f t="shared" ref="L11:L20" si="2">+G11*100/E11</f>
        <v>57.917378478242114</v>
      </c>
      <c r="N11" s="48"/>
    </row>
    <row r="12" spans="1:16" ht="17.25" customHeight="1">
      <c r="A12" s="86" t="s">
        <v>88</v>
      </c>
      <c r="B12" s="87" t="s">
        <v>89</v>
      </c>
      <c r="C12" s="88">
        <f>SUM(C13:C15)</f>
        <v>83395405</v>
      </c>
      <c r="D12" s="88">
        <f>+D13+D14+D15</f>
        <v>83395405</v>
      </c>
      <c r="E12" s="88">
        <f>SUM(E13:E15)</f>
        <v>8618857</v>
      </c>
      <c r="F12" s="498">
        <f>SUM(F13:F15)</f>
        <v>4923367.96</v>
      </c>
      <c r="G12" s="498">
        <f>SUM(G13:G15)</f>
        <v>4923367.96</v>
      </c>
      <c r="H12" s="88">
        <f>SUM(H13:H15)</f>
        <v>4923367.96</v>
      </c>
      <c r="I12" s="88">
        <f>SUM(I13:I15)</f>
        <v>4923367.96</v>
      </c>
      <c r="J12" s="88">
        <f t="shared" si="0"/>
        <v>3695489.04</v>
      </c>
      <c r="K12" s="88">
        <f t="shared" si="1"/>
        <v>78472037.040000007</v>
      </c>
      <c r="L12" s="461">
        <f t="shared" si="2"/>
        <v>57.123212045402305</v>
      </c>
      <c r="N12" s="48"/>
    </row>
    <row r="13" spans="1:16">
      <c r="A13" s="83" t="s">
        <v>90</v>
      </c>
      <c r="B13" s="84" t="s">
        <v>89</v>
      </c>
      <c r="C13" s="85">
        <v>71073045</v>
      </c>
      <c r="D13" s="85">
        <v>71073045</v>
      </c>
      <c r="E13" s="85">
        <v>5807687</v>
      </c>
      <c r="F13" s="499">
        <v>4796501.1399999997</v>
      </c>
      <c r="G13" s="499">
        <v>4796501.1399999997</v>
      </c>
      <c r="H13" s="85">
        <v>4796501.1399999997</v>
      </c>
      <c r="I13" s="85">
        <v>4796501.1399999997</v>
      </c>
      <c r="J13" s="85">
        <f t="shared" si="0"/>
        <v>1011185.8600000003</v>
      </c>
      <c r="K13" s="85">
        <f t="shared" si="1"/>
        <v>66276543.859999999</v>
      </c>
      <c r="L13" s="462">
        <f t="shared" si="2"/>
        <v>82.58883682953298</v>
      </c>
      <c r="N13" s="48"/>
      <c r="O13" t="s">
        <v>6</v>
      </c>
    </row>
    <row r="14" spans="1:16">
      <c r="A14" s="83" t="s">
        <v>91</v>
      </c>
      <c r="B14" s="84" t="s">
        <v>92</v>
      </c>
      <c r="C14" s="85">
        <v>3944236</v>
      </c>
      <c r="D14" s="85">
        <v>3944236</v>
      </c>
      <c r="E14" s="85">
        <v>322143</v>
      </c>
      <c r="F14" s="499">
        <v>111963.38</v>
      </c>
      <c r="G14" s="499">
        <f>+F14+N14</f>
        <v>111963.38</v>
      </c>
      <c r="H14" s="85">
        <v>111963.38</v>
      </c>
      <c r="I14" s="85">
        <v>111963.38</v>
      </c>
      <c r="J14" s="85">
        <f t="shared" si="0"/>
        <v>210179.62</v>
      </c>
      <c r="K14" s="85">
        <f t="shared" si="1"/>
        <v>3832272.62</v>
      </c>
      <c r="L14" s="462">
        <f t="shared" si="2"/>
        <v>34.755800995210201</v>
      </c>
      <c r="N14" s="48"/>
    </row>
    <row r="15" spans="1:16">
      <c r="A15" s="83" t="s">
        <v>93</v>
      </c>
      <c r="B15" s="84" t="s">
        <v>94</v>
      </c>
      <c r="C15" s="85">
        <v>8378124</v>
      </c>
      <c r="D15" s="85">
        <v>8378124</v>
      </c>
      <c r="E15" s="85">
        <v>2489027</v>
      </c>
      <c r="F15" s="499">
        <v>14903.44</v>
      </c>
      <c r="G15" s="499">
        <f>+F15+N15</f>
        <v>14903.44</v>
      </c>
      <c r="H15" s="85">
        <f>+F15+M15</f>
        <v>14903.44</v>
      </c>
      <c r="I15" s="85">
        <f>+G15+O15</f>
        <v>14903.44</v>
      </c>
      <c r="J15" s="85">
        <f t="shared" si="0"/>
        <v>2474123.56</v>
      </c>
      <c r="K15" s="85">
        <f t="shared" si="1"/>
        <v>8363220.5599999996</v>
      </c>
      <c r="L15" s="462">
        <f t="shared" si="2"/>
        <v>0.59876570242106653</v>
      </c>
      <c r="N15" s="48"/>
    </row>
    <row r="16" spans="1:16" ht="15" customHeight="1">
      <c r="A16" s="86" t="s">
        <v>95</v>
      </c>
      <c r="B16" s="87" t="s">
        <v>96</v>
      </c>
      <c r="C16" s="88">
        <f t="shared" ref="C16:I16" si="3">SUM(C17:C19)</f>
        <v>17439165</v>
      </c>
      <c r="D16" s="88">
        <f t="shared" si="3"/>
        <v>17439165</v>
      </c>
      <c r="E16" s="88">
        <f t="shared" si="3"/>
        <v>1315422</v>
      </c>
      <c r="F16" s="498">
        <f t="shared" si="3"/>
        <v>1127577.94</v>
      </c>
      <c r="G16" s="498">
        <f t="shared" si="3"/>
        <v>1127577.94</v>
      </c>
      <c r="H16" s="88">
        <f t="shared" ref="H16" si="4">SUM(H17:H19)</f>
        <v>1127577.94</v>
      </c>
      <c r="I16" s="88">
        <f t="shared" si="3"/>
        <v>1127577.94</v>
      </c>
      <c r="J16" s="88">
        <f t="shared" si="0"/>
        <v>187844.06000000006</v>
      </c>
      <c r="K16" s="88">
        <f t="shared" si="1"/>
        <v>16311587.060000001</v>
      </c>
      <c r="L16" s="461">
        <f t="shared" si="2"/>
        <v>85.719863283417794</v>
      </c>
      <c r="N16" s="48"/>
    </row>
    <row r="17" spans="1:14" ht="13.9" customHeight="1">
      <c r="A17" s="83" t="s">
        <v>97</v>
      </c>
      <c r="B17" s="84" t="s">
        <v>98</v>
      </c>
      <c r="C17" s="85">
        <v>223154</v>
      </c>
      <c r="D17" s="85">
        <v>223154</v>
      </c>
      <c r="E17" s="85">
        <v>8302</v>
      </c>
      <c r="F17" s="499">
        <v>4926.41</v>
      </c>
      <c r="G17" s="499">
        <f>+F17+N17</f>
        <v>4926.41</v>
      </c>
      <c r="H17" s="85">
        <f>+F17+M17</f>
        <v>4926.41</v>
      </c>
      <c r="I17" s="85">
        <f>+G17+O17</f>
        <v>4926.41</v>
      </c>
      <c r="J17" s="85">
        <f t="shared" si="0"/>
        <v>3375.59</v>
      </c>
      <c r="K17" s="85">
        <f t="shared" si="1"/>
        <v>218227.59</v>
      </c>
      <c r="L17" s="462">
        <f t="shared" si="2"/>
        <v>59.34003854492893</v>
      </c>
      <c r="N17" s="48"/>
    </row>
    <row r="18" spans="1:14" ht="13.9" customHeight="1">
      <c r="A18" s="178" t="s">
        <v>463</v>
      </c>
      <c r="B18" s="84" t="s">
        <v>99</v>
      </c>
      <c r="C18" s="85">
        <v>1488300</v>
      </c>
      <c r="D18" s="85">
        <v>1488300</v>
      </c>
      <c r="E18" s="85">
        <v>124025</v>
      </c>
      <c r="F18" s="500">
        <v>98830.82</v>
      </c>
      <c r="G18" s="499">
        <f>+F18+N18</f>
        <v>98830.82</v>
      </c>
      <c r="H18" s="85">
        <f>+F18+M18</f>
        <v>98830.82</v>
      </c>
      <c r="I18" s="85">
        <f>+G18+O18</f>
        <v>98830.82</v>
      </c>
      <c r="J18" s="85">
        <f t="shared" si="0"/>
        <v>25194.179999999993</v>
      </c>
      <c r="K18" s="85">
        <f t="shared" si="1"/>
        <v>1389469.18</v>
      </c>
      <c r="L18" s="462">
        <f t="shared" si="2"/>
        <v>79.686208425720622</v>
      </c>
      <c r="N18" s="48"/>
    </row>
    <row r="19" spans="1:14" ht="15.6" customHeight="1">
      <c r="A19" s="83" t="s">
        <v>100</v>
      </c>
      <c r="B19" s="84" t="s">
        <v>101</v>
      </c>
      <c r="C19" s="85">
        <v>15727711</v>
      </c>
      <c r="D19" s="85">
        <v>15727711</v>
      </c>
      <c r="E19" s="85">
        <v>1183095</v>
      </c>
      <c r="F19" s="500">
        <v>1023820.71</v>
      </c>
      <c r="G19" s="499">
        <f>+F19+N19</f>
        <v>1023820.71</v>
      </c>
      <c r="H19" s="85">
        <f>+F19+M19</f>
        <v>1023820.71</v>
      </c>
      <c r="I19" s="85">
        <f>+G19+O19</f>
        <v>1023820.71</v>
      </c>
      <c r="J19" s="85">
        <f t="shared" si="0"/>
        <v>159274.29000000004</v>
      </c>
      <c r="K19" s="85">
        <f t="shared" si="1"/>
        <v>14703890.289999999</v>
      </c>
      <c r="L19" s="462">
        <f t="shared" si="2"/>
        <v>86.537489381664187</v>
      </c>
      <c r="N19" s="48"/>
    </row>
    <row r="20" spans="1:14">
      <c r="A20" s="86" t="s">
        <v>102</v>
      </c>
      <c r="B20" s="87" t="s">
        <v>103</v>
      </c>
      <c r="C20" s="88">
        <v>228000</v>
      </c>
      <c r="D20" s="88">
        <v>228000</v>
      </c>
      <c r="E20" s="88">
        <v>19000</v>
      </c>
      <c r="F20" s="498">
        <v>16700</v>
      </c>
      <c r="G20" s="498">
        <f>+F20+N20</f>
        <v>16700</v>
      </c>
      <c r="H20" s="88">
        <f>+F20+M20</f>
        <v>16700</v>
      </c>
      <c r="I20" s="88">
        <f>+G20+O20</f>
        <v>16700</v>
      </c>
      <c r="J20" s="88">
        <f t="shared" si="0"/>
        <v>2300</v>
      </c>
      <c r="K20" s="88">
        <f t="shared" si="1"/>
        <v>211300</v>
      </c>
      <c r="L20" s="461">
        <f t="shared" si="2"/>
        <v>87.89473684210526</v>
      </c>
      <c r="N20" s="48"/>
    </row>
    <row r="21" spans="1:14">
      <c r="A21" s="86" t="s">
        <v>104</v>
      </c>
      <c r="B21" s="87" t="s">
        <v>105</v>
      </c>
      <c r="C21" s="88">
        <v>8407425</v>
      </c>
      <c r="D21" s="88">
        <v>8407425</v>
      </c>
      <c r="E21" s="88">
        <v>0</v>
      </c>
      <c r="F21" s="498">
        <v>0</v>
      </c>
      <c r="G21" s="498">
        <f>+F21+N21</f>
        <v>0</v>
      </c>
      <c r="H21" s="88"/>
      <c r="I21" s="88">
        <v>0</v>
      </c>
      <c r="J21" s="88">
        <f t="shared" si="0"/>
        <v>0</v>
      </c>
      <c r="K21" s="88">
        <f t="shared" si="1"/>
        <v>8407425</v>
      </c>
      <c r="L21" s="461" t="s">
        <v>6</v>
      </c>
      <c r="N21" s="48"/>
    </row>
    <row r="22" spans="1:14" ht="14.25" customHeight="1">
      <c r="A22" s="86" t="s">
        <v>106</v>
      </c>
      <c r="B22" s="87" t="s">
        <v>107</v>
      </c>
      <c r="C22" s="88">
        <f t="shared" ref="C22:I22" si="5">SUM(C23:C26)</f>
        <v>15829734</v>
      </c>
      <c r="D22" s="88">
        <f t="shared" si="5"/>
        <v>15829734</v>
      </c>
      <c r="E22" s="88">
        <f t="shared" si="5"/>
        <v>2055517</v>
      </c>
      <c r="F22" s="498">
        <f t="shared" si="5"/>
        <v>887533.93</v>
      </c>
      <c r="G22" s="498">
        <f t="shared" si="5"/>
        <v>887533.93</v>
      </c>
      <c r="H22" s="88"/>
      <c r="I22" s="88">
        <f t="shared" si="5"/>
        <v>0</v>
      </c>
      <c r="J22" s="88">
        <f t="shared" si="0"/>
        <v>1167983.0699999998</v>
      </c>
      <c r="K22" s="88">
        <f t="shared" si="1"/>
        <v>14942200.07</v>
      </c>
      <c r="L22" s="461">
        <f>+G22*100/E22</f>
        <v>43.178136206122353</v>
      </c>
      <c r="M22" s="7"/>
      <c r="N22" s="48"/>
    </row>
    <row r="23" spans="1:14" ht="15" customHeight="1">
      <c r="A23" s="83" t="s">
        <v>108</v>
      </c>
      <c r="B23" s="85" t="s">
        <v>109</v>
      </c>
      <c r="C23" s="85">
        <v>13304646</v>
      </c>
      <c r="D23" s="85">
        <v>13304646</v>
      </c>
      <c r="E23" s="85">
        <v>1793188</v>
      </c>
      <c r="F23" s="499">
        <v>743203.73</v>
      </c>
      <c r="G23" s="499">
        <f t="shared" ref="G23:G33" si="6">+N23+F23</f>
        <v>743203.73</v>
      </c>
      <c r="H23" s="85"/>
      <c r="I23" s="85">
        <v>0</v>
      </c>
      <c r="J23" s="85">
        <f t="shared" si="0"/>
        <v>1049984.27</v>
      </c>
      <c r="K23" s="85">
        <f t="shared" si="1"/>
        <v>12561442.27</v>
      </c>
      <c r="L23" s="462">
        <f>+G23*100/E23</f>
        <v>41.445945991162112</v>
      </c>
      <c r="N23" s="48"/>
    </row>
    <row r="24" spans="1:14" ht="13.5" customHeight="1">
      <c r="A24" s="83" t="s">
        <v>110</v>
      </c>
      <c r="B24" s="84" t="s">
        <v>111</v>
      </c>
      <c r="C24" s="85">
        <v>1515055</v>
      </c>
      <c r="D24" s="85">
        <v>1515055</v>
      </c>
      <c r="E24" s="85">
        <v>157249</v>
      </c>
      <c r="F24" s="499">
        <v>90755.67</v>
      </c>
      <c r="G24" s="499">
        <f t="shared" si="6"/>
        <v>90755.67</v>
      </c>
      <c r="H24" s="85"/>
      <c r="I24" s="85">
        <v>0</v>
      </c>
      <c r="J24" s="85">
        <f t="shared" si="0"/>
        <v>66493.33</v>
      </c>
      <c r="K24" s="85">
        <f t="shared" si="1"/>
        <v>1424299.33</v>
      </c>
      <c r="L24" s="462">
        <f>+G24*100/E24</f>
        <v>57.714624576308914</v>
      </c>
      <c r="N24" s="48"/>
    </row>
    <row r="25" spans="1:14" ht="13.5" customHeight="1">
      <c r="A25" s="83" t="s">
        <v>112</v>
      </c>
      <c r="B25" s="84" t="s">
        <v>113</v>
      </c>
      <c r="C25" s="85">
        <v>707023</v>
      </c>
      <c r="D25" s="85">
        <v>707023</v>
      </c>
      <c r="E25" s="85">
        <v>73364</v>
      </c>
      <c r="F25" s="499">
        <v>42469.75</v>
      </c>
      <c r="G25" s="499">
        <f t="shared" si="6"/>
        <v>42469.75</v>
      </c>
      <c r="H25" s="85"/>
      <c r="I25" s="85">
        <v>0</v>
      </c>
      <c r="J25" s="85">
        <f t="shared" si="0"/>
        <v>30894.25</v>
      </c>
      <c r="K25" s="85">
        <f t="shared" si="1"/>
        <v>664553.25</v>
      </c>
      <c r="L25" s="462">
        <f>+G25*100/E25</f>
        <v>57.889087290769318</v>
      </c>
      <c r="N25" s="48"/>
    </row>
    <row r="26" spans="1:14" ht="12" customHeight="1">
      <c r="A26" s="83" t="s">
        <v>114</v>
      </c>
      <c r="B26" s="84" t="s">
        <v>115</v>
      </c>
      <c r="C26" s="85">
        <v>303010</v>
      </c>
      <c r="D26" s="85">
        <v>303010</v>
      </c>
      <c r="E26" s="85">
        <v>31716</v>
      </c>
      <c r="F26" s="499">
        <v>11104.78</v>
      </c>
      <c r="G26" s="499">
        <f t="shared" si="6"/>
        <v>11104.78</v>
      </c>
      <c r="H26" s="85"/>
      <c r="I26" s="85">
        <v>0</v>
      </c>
      <c r="J26" s="85">
        <f t="shared" si="0"/>
        <v>20611.22</v>
      </c>
      <c r="K26" s="85">
        <f t="shared" si="1"/>
        <v>291905.21999999997</v>
      </c>
      <c r="L26" s="462">
        <f>+G26*100/E26</f>
        <v>35.013179467776517</v>
      </c>
      <c r="N26" s="48"/>
    </row>
    <row r="27" spans="1:14" ht="1.5" customHeight="1">
      <c r="A27" s="86" t="s">
        <v>116</v>
      </c>
      <c r="B27" s="87" t="s">
        <v>117</v>
      </c>
      <c r="C27" s="88">
        <f>SUM(C28:C28)</f>
        <v>0</v>
      </c>
      <c r="D27" s="88" t="e">
        <f>SUM(D28:D28)</f>
        <v>#REF!</v>
      </c>
      <c r="E27" s="88">
        <v>0</v>
      </c>
      <c r="F27" s="88">
        <v>0</v>
      </c>
      <c r="G27" s="88">
        <f t="shared" si="6"/>
        <v>0</v>
      </c>
      <c r="H27" s="88"/>
      <c r="I27" s="88">
        <f>SUM(I28)</f>
        <v>0</v>
      </c>
      <c r="J27" s="88">
        <f t="shared" si="0"/>
        <v>0</v>
      </c>
      <c r="K27" s="88" t="e">
        <f>SUM(K28:K28)</f>
        <v>#REF!</v>
      </c>
      <c r="L27" s="462"/>
      <c r="N27" s="48"/>
    </row>
    <row r="28" spans="1:14" ht="13.15" hidden="1" customHeight="1">
      <c r="A28" s="83" t="s">
        <v>380</v>
      </c>
      <c r="B28" s="84" t="s">
        <v>381</v>
      </c>
      <c r="C28" s="85">
        <v>0</v>
      </c>
      <c r="D28" s="85" t="e">
        <f>+C28+#REF!</f>
        <v>#REF!</v>
      </c>
      <c r="E28" s="85">
        <v>0</v>
      </c>
      <c r="F28" s="85">
        <v>0</v>
      </c>
      <c r="G28" s="85">
        <f t="shared" si="6"/>
        <v>0</v>
      </c>
      <c r="H28" s="85"/>
      <c r="I28" s="85">
        <v>0</v>
      </c>
      <c r="J28" s="85">
        <f t="shared" si="0"/>
        <v>0</v>
      </c>
      <c r="K28" s="85" t="e">
        <f t="shared" ref="K28:K33" si="7">+D28-G28</f>
        <v>#REF!</v>
      </c>
      <c r="L28" s="462"/>
      <c r="N28" s="48"/>
    </row>
    <row r="29" spans="1:14" ht="15.75" hidden="1" customHeight="1">
      <c r="A29" s="86" t="s">
        <v>118</v>
      </c>
      <c r="B29" s="87" t="s">
        <v>119</v>
      </c>
      <c r="C29" s="85">
        <v>0</v>
      </c>
      <c r="D29" s="88">
        <f>SUM(D30:D35)</f>
        <v>0</v>
      </c>
      <c r="E29" s="88">
        <f>SUM(E30:E35)</f>
        <v>0</v>
      </c>
      <c r="F29" s="88">
        <f>SUM(F30:F35)</f>
        <v>0</v>
      </c>
      <c r="G29" s="88">
        <f t="shared" si="6"/>
        <v>0</v>
      </c>
      <c r="H29" s="88"/>
      <c r="I29" s="88">
        <f>SUM(I30:I35)</f>
        <v>0</v>
      </c>
      <c r="J29" s="88">
        <f t="shared" si="0"/>
        <v>0</v>
      </c>
      <c r="K29" s="88">
        <f t="shared" si="7"/>
        <v>0</v>
      </c>
      <c r="L29" s="461"/>
      <c r="N29" s="48"/>
    </row>
    <row r="30" spans="1:14" ht="15.75" hidden="1" customHeight="1">
      <c r="A30" s="83" t="s">
        <v>120</v>
      </c>
      <c r="B30" s="84" t="s">
        <v>121</v>
      </c>
      <c r="C30" s="85">
        <v>0</v>
      </c>
      <c r="D30" s="85"/>
      <c r="E30" s="85"/>
      <c r="F30" s="85"/>
      <c r="G30" s="85">
        <f t="shared" si="6"/>
        <v>0</v>
      </c>
      <c r="H30" s="85"/>
      <c r="I30" s="85"/>
      <c r="J30" s="85">
        <f t="shared" si="0"/>
        <v>0</v>
      </c>
      <c r="K30" s="85">
        <f t="shared" si="7"/>
        <v>0</v>
      </c>
      <c r="L30" s="462"/>
      <c r="N30" s="48"/>
    </row>
    <row r="31" spans="1:14" ht="18" hidden="1" customHeight="1">
      <c r="A31" s="83" t="s">
        <v>122</v>
      </c>
      <c r="B31" s="84" t="s">
        <v>433</v>
      </c>
      <c r="C31" s="85">
        <v>0</v>
      </c>
      <c r="D31" s="85"/>
      <c r="E31" s="85"/>
      <c r="F31" s="85"/>
      <c r="G31" s="85">
        <f t="shared" si="6"/>
        <v>0</v>
      </c>
      <c r="H31" s="85"/>
      <c r="I31" s="85"/>
      <c r="J31" s="85">
        <f t="shared" si="0"/>
        <v>0</v>
      </c>
      <c r="K31" s="85">
        <f t="shared" si="7"/>
        <v>0</v>
      </c>
      <c r="L31" s="462"/>
      <c r="N31" s="48"/>
    </row>
    <row r="32" spans="1:14" ht="16.5" hidden="1" customHeight="1">
      <c r="A32" s="83" t="s">
        <v>355</v>
      </c>
      <c r="B32" s="84" t="s">
        <v>356</v>
      </c>
      <c r="C32" s="85">
        <v>0</v>
      </c>
      <c r="D32" s="85"/>
      <c r="E32" s="85"/>
      <c r="F32" s="85"/>
      <c r="G32" s="85">
        <f t="shared" si="6"/>
        <v>0</v>
      </c>
      <c r="H32" s="85"/>
      <c r="I32" s="85"/>
      <c r="J32" s="85">
        <f t="shared" si="0"/>
        <v>0</v>
      </c>
      <c r="K32" s="85">
        <f t="shared" si="7"/>
        <v>0</v>
      </c>
      <c r="L32" s="462"/>
      <c r="N32" s="48"/>
    </row>
    <row r="33" spans="1:14" ht="15.75" hidden="1" customHeight="1">
      <c r="A33" s="83" t="s">
        <v>339</v>
      </c>
      <c r="B33" s="84" t="s">
        <v>340</v>
      </c>
      <c r="C33" s="85">
        <v>0</v>
      </c>
      <c r="D33" s="85"/>
      <c r="E33" s="85"/>
      <c r="F33" s="85"/>
      <c r="G33" s="85">
        <f t="shared" si="6"/>
        <v>0</v>
      </c>
      <c r="H33" s="85"/>
      <c r="I33" s="85"/>
      <c r="J33" s="85">
        <f t="shared" si="0"/>
        <v>0</v>
      </c>
      <c r="K33" s="85">
        <f t="shared" si="7"/>
        <v>0</v>
      </c>
      <c r="L33" s="462"/>
      <c r="N33" s="48"/>
    </row>
    <row r="34" spans="1:14" ht="15.75" hidden="1" customHeight="1">
      <c r="A34" s="83">
        <v>98</v>
      </c>
      <c r="B34" s="84" t="s">
        <v>501</v>
      </c>
      <c r="C34" s="85">
        <v>0</v>
      </c>
      <c r="D34" s="85"/>
      <c r="E34" s="85"/>
      <c r="F34" s="85"/>
      <c r="G34" s="85"/>
      <c r="H34" s="85"/>
      <c r="I34" s="85"/>
      <c r="J34" s="85"/>
      <c r="K34" s="85"/>
      <c r="L34" s="462"/>
      <c r="N34" s="48"/>
    </row>
    <row r="35" spans="1:14" ht="14.25" hidden="1" customHeight="1">
      <c r="A35" s="83" t="s">
        <v>329</v>
      </c>
      <c r="B35" s="84" t="s">
        <v>500</v>
      </c>
      <c r="C35" s="85">
        <v>0</v>
      </c>
      <c r="D35" s="85"/>
      <c r="E35" s="85"/>
      <c r="F35" s="85"/>
      <c r="G35" s="85">
        <f>+N35+F35</f>
        <v>0</v>
      </c>
      <c r="H35" s="85"/>
      <c r="I35" s="89"/>
      <c r="J35" s="85">
        <f>+E35-G35</f>
        <v>0</v>
      </c>
      <c r="K35" s="85">
        <f>+D35-G35</f>
        <v>0</v>
      </c>
      <c r="L35" s="462"/>
      <c r="N35" s="48"/>
    </row>
    <row r="36" spans="1:14" ht="5.25" customHeight="1">
      <c r="A36" s="83"/>
      <c r="B36" s="84"/>
      <c r="C36" s="85"/>
      <c r="D36" s="85"/>
      <c r="E36" s="85"/>
      <c r="F36" s="85">
        <v>0</v>
      </c>
      <c r="G36" s="85"/>
      <c r="H36" s="85"/>
      <c r="I36" s="85"/>
      <c r="J36" s="85"/>
      <c r="K36" s="85"/>
      <c r="L36" s="462"/>
      <c r="N36" s="48"/>
    </row>
    <row r="37" spans="1:14" ht="20.25" customHeight="1">
      <c r="A37" s="132" t="s">
        <v>123</v>
      </c>
      <c r="B37" s="142" t="s">
        <v>124</v>
      </c>
      <c r="C37" s="143">
        <f>C38+C45+C54++C55+C58+C67+C73+C76+C62+C83</f>
        <v>7951962</v>
      </c>
      <c r="D37" s="143">
        <f>D38+D45+D54++D55+D58+D67+D73+D76+D62+D83</f>
        <v>7951962</v>
      </c>
      <c r="E37" s="143">
        <f>E38+E45+E54++E55+E58+E67+E73+E76+E62+E83</f>
        <v>2782540</v>
      </c>
      <c r="F37" s="143">
        <f>F38+F45+F54++F55+F58+F67+F73+F76+F62+F83</f>
        <v>39586.610000000008</v>
      </c>
      <c r="G37" s="143">
        <f>N37+F37</f>
        <v>39586.610000000008</v>
      </c>
      <c r="H37" s="143">
        <f t="shared" ref="H37" si="8">H38+H45+H54++H55+H58+H67+H73+H76+H62+H83</f>
        <v>13603.59</v>
      </c>
      <c r="I37" s="143">
        <f t="shared" ref="I37" si="9">I38+I45+I54++I55+I58+I67+I73+I76+I62+I83</f>
        <v>13312.95</v>
      </c>
      <c r="J37" s="143">
        <f>J38+J45+J54++J55+J58+J67+J73+J76+J62+J83</f>
        <v>2742953.3899999997</v>
      </c>
      <c r="K37" s="143">
        <f>K38+K45+K54++K55+K58+K67+K73+K76+K62+K83</f>
        <v>7912375.3899999997</v>
      </c>
      <c r="L37" s="463">
        <f>+G37*100/E37</f>
        <v>1.4226789192608196</v>
      </c>
      <c r="N37" s="48"/>
    </row>
    <row r="38" spans="1:14" ht="15.75" customHeight="1">
      <c r="A38" s="86">
        <v>100</v>
      </c>
      <c r="B38" s="87" t="s">
        <v>125</v>
      </c>
      <c r="C38" s="88">
        <f>SUM(C39:C44)</f>
        <v>151437</v>
      </c>
      <c r="D38" s="88">
        <f>+C38</f>
        <v>151437</v>
      </c>
      <c r="E38" s="88">
        <f>SUM(E39:E44)</f>
        <v>39625</v>
      </c>
      <c r="F38" s="88">
        <f>SUM(F39:F44)</f>
        <v>126.26</v>
      </c>
      <c r="G38" s="88">
        <f t="shared" ref="G38:G44" si="10">+N38+F38</f>
        <v>126.26</v>
      </c>
      <c r="H38" s="88"/>
      <c r="I38" s="88">
        <f>SUM(I39:I44)</f>
        <v>0</v>
      </c>
      <c r="J38" s="88">
        <f t="shared" ref="J38:J52" si="11">+E38-G38</f>
        <v>39498.74</v>
      </c>
      <c r="K38" s="88">
        <f t="shared" ref="K38:K51" si="12">+D38-G38</f>
        <v>151310.74</v>
      </c>
      <c r="L38" s="462">
        <f>+G38*100/E38</f>
        <v>0.31863722397476341</v>
      </c>
      <c r="N38" s="48"/>
    </row>
    <row r="39" spans="1:14" ht="15" customHeight="1">
      <c r="A39" s="90" t="s">
        <v>126</v>
      </c>
      <c r="B39" s="85" t="s">
        <v>127</v>
      </c>
      <c r="C39" s="85">
        <v>3000</v>
      </c>
      <c r="D39" s="85">
        <v>3000</v>
      </c>
      <c r="E39" s="85">
        <v>3000</v>
      </c>
      <c r="F39" s="85">
        <v>0</v>
      </c>
      <c r="G39" s="85">
        <f t="shared" si="10"/>
        <v>0</v>
      </c>
      <c r="H39" s="85"/>
      <c r="I39" s="85">
        <v>0</v>
      </c>
      <c r="J39" s="85">
        <f t="shared" si="11"/>
        <v>3000</v>
      </c>
      <c r="K39" s="85">
        <f t="shared" si="12"/>
        <v>3000</v>
      </c>
      <c r="L39" s="462">
        <f>+G39*100/E39</f>
        <v>0</v>
      </c>
      <c r="N39" s="48"/>
    </row>
    <row r="40" spans="1:14" ht="13.5" customHeight="1">
      <c r="A40" s="83" t="s">
        <v>128</v>
      </c>
      <c r="B40" s="84" t="s">
        <v>129</v>
      </c>
      <c r="C40" s="85">
        <v>2000</v>
      </c>
      <c r="D40" s="85">
        <v>2000</v>
      </c>
      <c r="E40" s="85">
        <v>2000</v>
      </c>
      <c r="F40" s="85"/>
      <c r="G40" s="85">
        <f t="shared" si="10"/>
        <v>0</v>
      </c>
      <c r="H40" s="85"/>
      <c r="I40" s="85"/>
      <c r="J40" s="85">
        <f t="shared" si="11"/>
        <v>2000</v>
      </c>
      <c r="K40" s="85">
        <f t="shared" si="12"/>
        <v>2000</v>
      </c>
      <c r="L40" s="462">
        <f>+G40*100/E40</f>
        <v>0</v>
      </c>
      <c r="N40" s="48"/>
    </row>
    <row r="41" spans="1:14" ht="11.25" customHeight="1">
      <c r="A41" s="83" t="s">
        <v>130</v>
      </c>
      <c r="B41" s="84" t="s">
        <v>131</v>
      </c>
      <c r="C41" s="85">
        <v>79362</v>
      </c>
      <c r="D41" s="85">
        <v>789362</v>
      </c>
      <c r="E41" s="85">
        <v>25000</v>
      </c>
      <c r="F41" s="85"/>
      <c r="G41" s="85">
        <f t="shared" si="10"/>
        <v>0</v>
      </c>
      <c r="H41" s="85"/>
      <c r="I41" s="85">
        <v>0</v>
      </c>
      <c r="J41" s="85">
        <f t="shared" si="11"/>
        <v>25000</v>
      </c>
      <c r="K41" s="85">
        <f t="shared" si="12"/>
        <v>789362</v>
      </c>
      <c r="L41" s="462">
        <f>+G41*100/E41</f>
        <v>0</v>
      </c>
      <c r="N41" s="48"/>
    </row>
    <row r="42" spans="1:14" ht="15" customHeight="1">
      <c r="A42" s="83" t="s">
        <v>132</v>
      </c>
      <c r="B42" s="84" t="s">
        <v>133</v>
      </c>
      <c r="C42" s="85">
        <v>7450</v>
      </c>
      <c r="D42" s="85">
        <f>+C42</f>
        <v>7450</v>
      </c>
      <c r="E42" s="85">
        <v>0</v>
      </c>
      <c r="F42" s="85">
        <v>0</v>
      </c>
      <c r="G42" s="85">
        <f t="shared" si="10"/>
        <v>0</v>
      </c>
      <c r="H42" s="85"/>
      <c r="I42" s="85">
        <v>0</v>
      </c>
      <c r="J42" s="85">
        <f t="shared" si="11"/>
        <v>0</v>
      </c>
      <c r="K42" s="85">
        <f t="shared" si="12"/>
        <v>7450</v>
      </c>
      <c r="L42" s="462"/>
      <c r="N42" s="48"/>
    </row>
    <row r="43" spans="1:14" ht="15" customHeight="1">
      <c r="A43" s="83" t="s">
        <v>134</v>
      </c>
      <c r="B43" s="84" t="s">
        <v>135</v>
      </c>
      <c r="C43" s="85">
        <v>12400</v>
      </c>
      <c r="D43" s="85">
        <f>+C43</f>
        <v>12400</v>
      </c>
      <c r="E43" s="85">
        <v>6000</v>
      </c>
      <c r="F43" s="85">
        <v>0</v>
      </c>
      <c r="G43" s="85">
        <f t="shared" si="10"/>
        <v>0</v>
      </c>
      <c r="H43" s="85"/>
      <c r="I43" s="85">
        <v>0</v>
      </c>
      <c r="J43" s="85">
        <f t="shared" si="11"/>
        <v>6000</v>
      </c>
      <c r="K43" s="85">
        <f t="shared" si="12"/>
        <v>12400</v>
      </c>
      <c r="L43" s="462"/>
      <c r="N43" s="48"/>
    </row>
    <row r="44" spans="1:14" ht="15.6" customHeight="1">
      <c r="A44" s="83" t="s">
        <v>136</v>
      </c>
      <c r="B44" s="84" t="s">
        <v>137</v>
      </c>
      <c r="C44" s="85">
        <v>47225</v>
      </c>
      <c r="D44" s="85">
        <v>47225</v>
      </c>
      <c r="E44" s="85">
        <v>3625</v>
      </c>
      <c r="F44" s="85">
        <v>126.26</v>
      </c>
      <c r="G44" s="85">
        <f t="shared" si="10"/>
        <v>126.26</v>
      </c>
      <c r="H44" s="85"/>
      <c r="I44" s="85">
        <v>0</v>
      </c>
      <c r="J44" s="85">
        <f t="shared" si="11"/>
        <v>3498.74</v>
      </c>
      <c r="K44" s="85">
        <f t="shared" si="12"/>
        <v>47098.74</v>
      </c>
      <c r="L44" s="462">
        <f t="shared" ref="L44:L51" si="13">+G44*100/E44</f>
        <v>3.4830344827586206</v>
      </c>
      <c r="N44" s="48"/>
    </row>
    <row r="45" spans="1:14">
      <c r="A45" s="91" t="s">
        <v>138</v>
      </c>
      <c r="B45" s="88" t="s">
        <v>139</v>
      </c>
      <c r="C45" s="88">
        <f>SUM(C46:C53)</f>
        <v>3352943</v>
      </c>
      <c r="D45" s="88">
        <f>+C45</f>
        <v>3352943</v>
      </c>
      <c r="E45" s="88">
        <f>SUM(E46:E53)</f>
        <v>463243</v>
      </c>
      <c r="F45" s="88">
        <f>SUM(F46:F52)</f>
        <v>3504.08</v>
      </c>
      <c r="G45" s="88">
        <f>N45+F45</f>
        <v>3504.08</v>
      </c>
      <c r="H45" s="88">
        <f t="shared" ref="H45" si="14">SUM(H46:H53)</f>
        <v>50</v>
      </c>
      <c r="I45" s="88">
        <f t="shared" ref="I45" si="15">SUM(I46:I53)</f>
        <v>0</v>
      </c>
      <c r="J45" s="88">
        <f t="shared" si="11"/>
        <v>459738.92</v>
      </c>
      <c r="K45" s="88">
        <f t="shared" si="12"/>
        <v>3349438.92</v>
      </c>
      <c r="L45" s="461">
        <f t="shared" si="13"/>
        <v>0.7564237344115291</v>
      </c>
      <c r="N45" s="48"/>
    </row>
    <row r="46" spans="1:14" ht="12" customHeight="1">
      <c r="A46" s="90" t="s">
        <v>140</v>
      </c>
      <c r="B46" s="85" t="s">
        <v>141</v>
      </c>
      <c r="C46" s="85">
        <v>109200</v>
      </c>
      <c r="D46" s="85">
        <v>109200</v>
      </c>
      <c r="E46" s="85">
        <v>10200</v>
      </c>
      <c r="F46" s="85">
        <v>0</v>
      </c>
      <c r="G46" s="85">
        <f t="shared" ref="G46:G52" si="16">+N46+F46</f>
        <v>0</v>
      </c>
      <c r="H46" s="85"/>
      <c r="I46" s="85">
        <v>0</v>
      </c>
      <c r="J46" s="85">
        <f t="shared" si="11"/>
        <v>10200</v>
      </c>
      <c r="K46" s="85">
        <f t="shared" si="12"/>
        <v>109200</v>
      </c>
      <c r="L46" s="462">
        <f t="shared" si="13"/>
        <v>0</v>
      </c>
      <c r="N46" s="48"/>
    </row>
    <row r="47" spans="1:14" ht="14.25" customHeight="1">
      <c r="A47" s="83" t="s">
        <v>142</v>
      </c>
      <c r="B47" s="84" t="s">
        <v>143</v>
      </c>
      <c r="C47" s="85">
        <v>43100</v>
      </c>
      <c r="D47" s="85">
        <v>43100</v>
      </c>
      <c r="E47" s="85">
        <v>5100</v>
      </c>
      <c r="F47" s="85">
        <v>0</v>
      </c>
      <c r="G47" s="85">
        <f t="shared" si="16"/>
        <v>0</v>
      </c>
      <c r="H47" s="85"/>
      <c r="I47" s="85">
        <v>0</v>
      </c>
      <c r="J47" s="85">
        <f t="shared" si="11"/>
        <v>5100</v>
      </c>
      <c r="K47" s="85">
        <f t="shared" si="12"/>
        <v>43100</v>
      </c>
      <c r="L47" s="462">
        <f t="shared" si="13"/>
        <v>0</v>
      </c>
      <c r="N47" s="48"/>
    </row>
    <row r="48" spans="1:14" ht="13.5" customHeight="1">
      <c r="A48" s="83" t="s">
        <v>144</v>
      </c>
      <c r="B48" s="84" t="s">
        <v>145</v>
      </c>
      <c r="C48" s="85">
        <v>4500</v>
      </c>
      <c r="D48" s="85">
        <v>4500</v>
      </c>
      <c r="E48" s="85">
        <v>4500</v>
      </c>
      <c r="F48" s="85">
        <v>50</v>
      </c>
      <c r="G48" s="85">
        <f t="shared" si="16"/>
        <v>50</v>
      </c>
      <c r="H48" s="85">
        <v>50</v>
      </c>
      <c r="I48" s="85">
        <v>0</v>
      </c>
      <c r="J48" s="85">
        <f t="shared" si="11"/>
        <v>4450</v>
      </c>
      <c r="K48" s="85">
        <f t="shared" si="12"/>
        <v>4450</v>
      </c>
      <c r="L48" s="462">
        <f t="shared" si="13"/>
        <v>1.1111111111111112</v>
      </c>
      <c r="N48" s="48"/>
    </row>
    <row r="49" spans="1:21" ht="13.5" customHeight="1">
      <c r="A49" s="83" t="s">
        <v>146</v>
      </c>
      <c r="B49" s="84" t="s">
        <v>147</v>
      </c>
      <c r="C49" s="85">
        <v>2717526</v>
      </c>
      <c r="D49" s="85">
        <v>2717526</v>
      </c>
      <c r="E49" s="85">
        <v>247076</v>
      </c>
      <c r="F49" s="85">
        <v>0</v>
      </c>
      <c r="G49" s="85">
        <f t="shared" si="16"/>
        <v>0</v>
      </c>
      <c r="H49" s="85"/>
      <c r="I49" s="85">
        <v>0</v>
      </c>
      <c r="J49" s="85">
        <f t="shared" si="11"/>
        <v>247076</v>
      </c>
      <c r="K49" s="85">
        <f t="shared" si="12"/>
        <v>2717526</v>
      </c>
      <c r="L49" s="462">
        <f t="shared" si="13"/>
        <v>0</v>
      </c>
      <c r="N49" s="48"/>
    </row>
    <row r="50" spans="1:21" ht="15" customHeight="1">
      <c r="A50" s="83" t="s">
        <v>148</v>
      </c>
      <c r="B50" s="84" t="s">
        <v>149</v>
      </c>
      <c r="C50" s="85">
        <v>243600</v>
      </c>
      <c r="D50" s="85">
        <v>243600</v>
      </c>
      <c r="E50" s="85">
        <v>22150</v>
      </c>
      <c r="F50" s="85">
        <v>0</v>
      </c>
      <c r="G50" s="85">
        <f t="shared" si="16"/>
        <v>0</v>
      </c>
      <c r="H50" s="85"/>
      <c r="I50" s="85">
        <v>0</v>
      </c>
      <c r="J50" s="85">
        <f t="shared" si="11"/>
        <v>22150</v>
      </c>
      <c r="K50" s="85">
        <f t="shared" si="12"/>
        <v>243600</v>
      </c>
      <c r="L50" s="462">
        <f t="shared" si="13"/>
        <v>0</v>
      </c>
      <c r="N50" s="48"/>
    </row>
    <row r="51" spans="1:21" ht="13.15" customHeight="1">
      <c r="A51" s="83">
        <v>116</v>
      </c>
      <c r="B51" s="84" t="s">
        <v>424</v>
      </c>
      <c r="C51" s="85">
        <v>204417</v>
      </c>
      <c r="D51" s="85">
        <v>204417</v>
      </c>
      <c r="E51" s="85">
        <v>163617</v>
      </c>
      <c r="F51" s="85">
        <v>3454.08</v>
      </c>
      <c r="G51" s="85">
        <f t="shared" si="16"/>
        <v>3454.08</v>
      </c>
      <c r="H51" s="85"/>
      <c r="I51" s="85">
        <v>0</v>
      </c>
      <c r="J51" s="85">
        <f t="shared" si="11"/>
        <v>160162.92000000001</v>
      </c>
      <c r="K51" s="85">
        <f t="shared" si="12"/>
        <v>200962.92</v>
      </c>
      <c r="L51" s="462">
        <f t="shared" si="13"/>
        <v>2.1110764773831572</v>
      </c>
      <c r="N51" s="48"/>
    </row>
    <row r="52" spans="1:21" ht="13.5" customHeight="1">
      <c r="A52" s="83">
        <v>117</v>
      </c>
      <c r="B52" s="84" t="s">
        <v>434</v>
      </c>
      <c r="C52" s="85">
        <v>30000</v>
      </c>
      <c r="D52" s="85">
        <v>30000</v>
      </c>
      <c r="E52" s="85">
        <v>10000</v>
      </c>
      <c r="F52" s="85">
        <v>0</v>
      </c>
      <c r="G52" s="85">
        <f t="shared" si="16"/>
        <v>0</v>
      </c>
      <c r="H52" s="85"/>
      <c r="I52" s="85"/>
      <c r="J52" s="85">
        <f t="shared" si="11"/>
        <v>10000</v>
      </c>
      <c r="K52" s="85"/>
      <c r="L52" s="462" t="s">
        <v>6</v>
      </c>
      <c r="N52" s="48"/>
    </row>
    <row r="53" spans="1:21" ht="13.5" customHeight="1">
      <c r="A53" s="83">
        <v>119</v>
      </c>
      <c r="B53" s="84" t="s">
        <v>506</v>
      </c>
      <c r="C53" s="85">
        <v>600</v>
      </c>
      <c r="D53" s="85">
        <v>600</v>
      </c>
      <c r="E53" s="85">
        <v>600</v>
      </c>
      <c r="F53" s="85"/>
      <c r="G53" s="85"/>
      <c r="H53" s="85"/>
      <c r="I53" s="85"/>
      <c r="J53" s="85"/>
      <c r="K53" s="85"/>
      <c r="L53" s="462"/>
      <c r="N53" s="48"/>
    </row>
    <row r="54" spans="1:21" ht="12.75" customHeight="1">
      <c r="A54" s="86">
        <v>120</v>
      </c>
      <c r="B54" s="88" t="s">
        <v>151</v>
      </c>
      <c r="C54" s="88">
        <v>87500</v>
      </c>
      <c r="D54" s="88">
        <f>SUM(C54:C54)</f>
        <v>87500</v>
      </c>
      <c r="E54" s="88">
        <v>87500</v>
      </c>
      <c r="F54" s="88">
        <v>274.73</v>
      </c>
      <c r="G54" s="88">
        <f t="shared" ref="G54:G63" si="17">+N54+F54</f>
        <v>274.73</v>
      </c>
      <c r="H54" s="88">
        <v>58.85</v>
      </c>
      <c r="I54" s="88">
        <v>0</v>
      </c>
      <c r="J54" s="88">
        <f t="shared" ref="J54:J64" si="18">+E54-G54</f>
        <v>87225.27</v>
      </c>
      <c r="K54" s="88">
        <f t="shared" ref="K54:K67" si="19">+D54-G54</f>
        <v>87225.27</v>
      </c>
      <c r="L54" s="461">
        <f t="shared" ref="L54:L63" si="20">+G54*100/E54</f>
        <v>0.31397714285714284</v>
      </c>
      <c r="M54" s="7"/>
      <c r="N54" s="48"/>
      <c r="U54">
        <f ca="1">U54</f>
        <v>0</v>
      </c>
    </row>
    <row r="55" spans="1:21" ht="13.5" customHeight="1">
      <c r="A55" s="91" t="s">
        <v>152</v>
      </c>
      <c r="B55" s="88" t="s">
        <v>153</v>
      </c>
      <c r="C55" s="88">
        <f>SUM(C56:C57)</f>
        <v>163284</v>
      </c>
      <c r="D55" s="88">
        <f>SUM(D56:D57)</f>
        <v>163284</v>
      </c>
      <c r="E55" s="88">
        <f>SUM(E56:E57)</f>
        <v>122840</v>
      </c>
      <c r="F55" s="88">
        <f>F56</f>
        <v>327.42</v>
      </c>
      <c r="G55" s="88">
        <f t="shared" si="17"/>
        <v>327.42</v>
      </c>
      <c r="H55" s="85"/>
      <c r="I55" s="88">
        <f>SUM(I56:I57)</f>
        <v>0</v>
      </c>
      <c r="J55" s="88">
        <f t="shared" si="18"/>
        <v>122512.58</v>
      </c>
      <c r="K55" s="88">
        <f t="shared" si="19"/>
        <v>162956.57999999999</v>
      </c>
      <c r="L55" s="461">
        <f t="shared" si="20"/>
        <v>0.26654184304786716</v>
      </c>
      <c r="M55" s="7"/>
      <c r="N55" s="48"/>
    </row>
    <row r="56" spans="1:21" ht="14.25" customHeight="1">
      <c r="A56" s="83" t="s">
        <v>154</v>
      </c>
      <c r="B56" s="85" t="s">
        <v>155</v>
      </c>
      <c r="C56" s="85">
        <v>81769</v>
      </c>
      <c r="D56" s="85">
        <v>81769</v>
      </c>
      <c r="E56" s="85">
        <v>59745</v>
      </c>
      <c r="F56" s="85">
        <v>327.42</v>
      </c>
      <c r="G56" s="85">
        <f t="shared" si="17"/>
        <v>327.42</v>
      </c>
      <c r="H56" s="85"/>
      <c r="I56" s="85">
        <v>0</v>
      </c>
      <c r="J56" s="85">
        <f t="shared" si="18"/>
        <v>59417.58</v>
      </c>
      <c r="K56" s="85">
        <f t="shared" si="19"/>
        <v>81441.58</v>
      </c>
      <c r="L56" s="462">
        <f t="shared" si="20"/>
        <v>0.54802912377604818</v>
      </c>
      <c r="M56" s="7"/>
      <c r="N56" s="48"/>
    </row>
    <row r="57" spans="1:21" ht="15" customHeight="1">
      <c r="A57" s="83" t="s">
        <v>330</v>
      </c>
      <c r="B57" s="85" t="s">
        <v>331</v>
      </c>
      <c r="C57" s="85">
        <v>81515</v>
      </c>
      <c r="D57" s="85">
        <v>81515</v>
      </c>
      <c r="E57" s="85">
        <v>63095</v>
      </c>
      <c r="F57" s="85">
        <v>0</v>
      </c>
      <c r="G57" s="85">
        <f t="shared" si="17"/>
        <v>0</v>
      </c>
      <c r="H57" s="85"/>
      <c r="I57" s="85">
        <v>0</v>
      </c>
      <c r="J57" s="85">
        <f t="shared" si="18"/>
        <v>63095</v>
      </c>
      <c r="K57" s="85">
        <f t="shared" si="19"/>
        <v>81515</v>
      </c>
      <c r="L57" s="462">
        <f t="shared" si="20"/>
        <v>0</v>
      </c>
      <c r="M57" s="7"/>
      <c r="N57" s="48"/>
    </row>
    <row r="58" spans="1:21">
      <c r="A58" s="91" t="s">
        <v>156</v>
      </c>
      <c r="B58" s="88" t="s">
        <v>157</v>
      </c>
      <c r="C58" s="88">
        <f>SUM(C59:C61)</f>
        <v>981486</v>
      </c>
      <c r="D58" s="88">
        <f>SUM(D59:D61)</f>
        <v>981486</v>
      </c>
      <c r="E58" s="88">
        <f>SUM(E59:E61)</f>
        <v>553066</v>
      </c>
      <c r="F58" s="88">
        <f>SUM(F59:F61)</f>
        <v>10820</v>
      </c>
      <c r="G58" s="88">
        <f t="shared" si="17"/>
        <v>10820</v>
      </c>
      <c r="H58" s="88">
        <f>SUM(H59:H61)</f>
        <v>10820</v>
      </c>
      <c r="I58" s="88">
        <f>SUM(I59:I61)</f>
        <v>10770</v>
      </c>
      <c r="J58" s="88">
        <f t="shared" si="18"/>
        <v>542246</v>
      </c>
      <c r="K58" s="88">
        <f t="shared" si="19"/>
        <v>970666</v>
      </c>
      <c r="L58" s="461">
        <f t="shared" si="20"/>
        <v>1.956366871223326</v>
      </c>
      <c r="M58" s="7"/>
      <c r="N58" s="48"/>
    </row>
    <row r="59" spans="1:21" ht="15.75" customHeight="1">
      <c r="A59" s="90" t="s">
        <v>158</v>
      </c>
      <c r="B59" s="85" t="s">
        <v>159</v>
      </c>
      <c r="C59" s="85">
        <v>621226</v>
      </c>
      <c r="D59" s="85">
        <v>621226</v>
      </c>
      <c r="E59" s="85">
        <v>315500</v>
      </c>
      <c r="F59" s="85">
        <v>10820</v>
      </c>
      <c r="G59" s="85">
        <f t="shared" si="17"/>
        <v>10820</v>
      </c>
      <c r="H59" s="85">
        <v>10820</v>
      </c>
      <c r="I59" s="85">
        <v>10770</v>
      </c>
      <c r="J59" s="85">
        <f t="shared" si="18"/>
        <v>304680</v>
      </c>
      <c r="K59" s="85">
        <f t="shared" si="19"/>
        <v>610406</v>
      </c>
      <c r="L59" s="462">
        <f t="shared" si="20"/>
        <v>3.4294770206022185</v>
      </c>
      <c r="N59" s="48"/>
    </row>
    <row r="60" spans="1:21" ht="13.5" customHeight="1">
      <c r="A60" s="83" t="s">
        <v>160</v>
      </c>
      <c r="B60" s="84" t="s">
        <v>161</v>
      </c>
      <c r="C60" s="85">
        <v>227583</v>
      </c>
      <c r="D60" s="85">
        <v>227583</v>
      </c>
      <c r="E60" s="85">
        <v>147566</v>
      </c>
      <c r="F60" s="85">
        <v>0</v>
      </c>
      <c r="G60" s="85">
        <f t="shared" si="17"/>
        <v>0</v>
      </c>
      <c r="H60" s="85"/>
      <c r="I60" s="85">
        <v>0</v>
      </c>
      <c r="J60" s="85">
        <f t="shared" si="18"/>
        <v>147566</v>
      </c>
      <c r="K60" s="85">
        <f t="shared" si="19"/>
        <v>227583</v>
      </c>
      <c r="L60" s="462">
        <f t="shared" si="20"/>
        <v>0</v>
      </c>
      <c r="N60" s="48"/>
    </row>
    <row r="61" spans="1:21" ht="12" customHeight="1">
      <c r="A61" s="83">
        <v>143</v>
      </c>
      <c r="B61" s="84" t="s">
        <v>162</v>
      </c>
      <c r="C61" s="85">
        <v>132677</v>
      </c>
      <c r="D61" s="85">
        <v>132677</v>
      </c>
      <c r="E61" s="85">
        <v>90000</v>
      </c>
      <c r="F61" s="85">
        <v>0</v>
      </c>
      <c r="G61" s="85">
        <f t="shared" si="17"/>
        <v>0</v>
      </c>
      <c r="H61" s="85"/>
      <c r="I61" s="85">
        <v>0</v>
      </c>
      <c r="J61" s="85">
        <f t="shared" si="18"/>
        <v>90000</v>
      </c>
      <c r="K61" s="85">
        <f t="shared" si="19"/>
        <v>132677</v>
      </c>
      <c r="L61" s="462">
        <f t="shared" si="20"/>
        <v>0</v>
      </c>
      <c r="N61" s="48"/>
    </row>
    <row r="62" spans="1:21">
      <c r="A62" s="91" t="s">
        <v>163</v>
      </c>
      <c r="B62" s="88" t="s">
        <v>164</v>
      </c>
      <c r="C62" s="88">
        <f>SUM(C63:C65)</f>
        <v>448811</v>
      </c>
      <c r="D62" s="88">
        <f>SUM(D63:D65)</f>
        <v>448811</v>
      </c>
      <c r="E62" s="88">
        <f>+E63+E64+E65+E66</f>
        <v>154980</v>
      </c>
      <c r="F62" s="88">
        <f>SUM(F63:F66)</f>
        <v>2526.65</v>
      </c>
      <c r="G62" s="88">
        <f t="shared" si="17"/>
        <v>2526.65</v>
      </c>
      <c r="H62" s="88">
        <f>+H63+H64+H65+H66</f>
        <v>1349.71</v>
      </c>
      <c r="I62" s="88">
        <f>SUM(I63:I66)</f>
        <v>1312.95</v>
      </c>
      <c r="J62" s="88">
        <f t="shared" si="18"/>
        <v>152453.35</v>
      </c>
      <c r="K62" s="88">
        <f t="shared" si="19"/>
        <v>446284.35</v>
      </c>
      <c r="L62" s="461">
        <f t="shared" si="20"/>
        <v>1.6303071364046975</v>
      </c>
      <c r="M62" s="7"/>
      <c r="N62" s="48"/>
    </row>
    <row r="63" spans="1:21" ht="15" customHeight="1">
      <c r="A63" s="90" t="s">
        <v>165</v>
      </c>
      <c r="B63" s="85" t="s">
        <v>159</v>
      </c>
      <c r="C63" s="85">
        <v>251809</v>
      </c>
      <c r="D63" s="85">
        <v>251809</v>
      </c>
      <c r="E63" s="85">
        <v>102700</v>
      </c>
      <c r="F63" s="85">
        <v>2526.65</v>
      </c>
      <c r="G63" s="85">
        <f t="shared" si="17"/>
        <v>2526.65</v>
      </c>
      <c r="H63" s="85">
        <v>1349.71</v>
      </c>
      <c r="I63" s="85">
        <v>1312.95</v>
      </c>
      <c r="J63" s="85">
        <f t="shared" si="18"/>
        <v>100173.35</v>
      </c>
      <c r="K63" s="85">
        <f t="shared" si="19"/>
        <v>249282.35</v>
      </c>
      <c r="L63" s="462">
        <f t="shared" si="20"/>
        <v>2.4602239532619281</v>
      </c>
      <c r="N63" s="48"/>
    </row>
    <row r="64" spans="1:21" ht="12.75" customHeight="1">
      <c r="A64" s="83" t="s">
        <v>166</v>
      </c>
      <c r="B64" s="84" t="s">
        <v>161</v>
      </c>
      <c r="C64" s="85">
        <v>158402</v>
      </c>
      <c r="D64" s="85">
        <v>158402</v>
      </c>
      <c r="E64" s="85">
        <v>33500</v>
      </c>
      <c r="F64" s="85" t="s">
        <v>6</v>
      </c>
      <c r="G64" s="85">
        <v>0</v>
      </c>
      <c r="H64" s="85"/>
      <c r="I64" s="85">
        <v>0</v>
      </c>
      <c r="J64" s="85">
        <f t="shared" si="18"/>
        <v>33500</v>
      </c>
      <c r="K64" s="85">
        <f t="shared" si="19"/>
        <v>158402</v>
      </c>
      <c r="L64" s="462"/>
      <c r="N64" s="48"/>
    </row>
    <row r="65" spans="1:14" ht="12.75" customHeight="1">
      <c r="A65" s="83">
        <v>153</v>
      </c>
      <c r="B65" s="84" t="s">
        <v>167</v>
      </c>
      <c r="C65" s="85">
        <v>38600</v>
      </c>
      <c r="D65" s="85">
        <v>38600</v>
      </c>
      <c r="E65" s="85">
        <v>18780</v>
      </c>
      <c r="F65" s="85">
        <v>0</v>
      </c>
      <c r="G65" s="85">
        <f>+N65+F65</f>
        <v>0</v>
      </c>
      <c r="H65" s="495"/>
      <c r="I65" s="85">
        <v>0</v>
      </c>
      <c r="J65" s="127" t="s">
        <v>497</v>
      </c>
      <c r="K65" s="97">
        <f t="shared" si="19"/>
        <v>38600</v>
      </c>
      <c r="L65" s="493"/>
      <c r="N65" s="48"/>
    </row>
    <row r="66" spans="1:14" ht="15" hidden="1" customHeight="1">
      <c r="A66" s="83">
        <v>154</v>
      </c>
      <c r="B66" s="84" t="s">
        <v>385</v>
      </c>
      <c r="C66" s="85"/>
      <c r="D66" s="85"/>
      <c r="E66" s="85">
        <v>0</v>
      </c>
      <c r="F66" s="85">
        <v>0</v>
      </c>
      <c r="G66" s="85">
        <f>+N66+F66</f>
        <v>0</v>
      </c>
      <c r="H66" s="85"/>
      <c r="I66" s="85">
        <v>0</v>
      </c>
      <c r="J66" s="85">
        <f>+E66-G66</f>
        <v>0</v>
      </c>
      <c r="K66" s="85">
        <f t="shared" si="19"/>
        <v>0</v>
      </c>
      <c r="L66" s="462"/>
      <c r="N66" s="48"/>
    </row>
    <row r="67" spans="1:14" ht="15.75" customHeight="1">
      <c r="A67" s="91" t="s">
        <v>168</v>
      </c>
      <c r="B67" s="88" t="s">
        <v>169</v>
      </c>
      <c r="C67" s="88">
        <f>SUM(C68:C72)</f>
        <v>1451047</v>
      </c>
      <c r="D67" s="88">
        <f>SUM(D68:D72)</f>
        <v>1451047</v>
      </c>
      <c r="E67" s="88">
        <f>SUM(E68:E72)</f>
        <v>693025</v>
      </c>
      <c r="F67" s="88">
        <f>+F68+F69+F70+F72+F71</f>
        <v>4845.37</v>
      </c>
      <c r="G67" s="88">
        <f>+N67+F67</f>
        <v>4845.37</v>
      </c>
      <c r="H67" s="88">
        <f>+H68+H69+H70+H72+H71</f>
        <v>1260.01</v>
      </c>
      <c r="I67" s="88">
        <f>+I68+I69+I70+I72+I71</f>
        <v>1230</v>
      </c>
      <c r="J67" s="88">
        <f>+E67-G67</f>
        <v>688179.63</v>
      </c>
      <c r="K67" s="88">
        <f t="shared" si="19"/>
        <v>1446201.63</v>
      </c>
      <c r="L67" s="461">
        <f>+G67*100/E67</f>
        <v>0.69916236787994657</v>
      </c>
      <c r="N67" s="48"/>
    </row>
    <row r="68" spans="1:14" ht="13.15" customHeight="1">
      <c r="A68" s="83">
        <v>162</v>
      </c>
      <c r="B68" s="85" t="s">
        <v>498</v>
      </c>
      <c r="C68" s="85">
        <v>0</v>
      </c>
      <c r="D68" s="85">
        <v>0</v>
      </c>
      <c r="E68" s="85">
        <v>0</v>
      </c>
      <c r="F68" s="85"/>
      <c r="G68" s="85"/>
      <c r="H68" s="85"/>
      <c r="I68" s="85"/>
      <c r="J68" s="85"/>
      <c r="K68" s="88"/>
      <c r="L68" s="461"/>
      <c r="N68" s="48"/>
    </row>
    <row r="69" spans="1:14" ht="11.25" customHeight="1">
      <c r="A69" s="90" t="s">
        <v>317</v>
      </c>
      <c r="B69" s="85" t="s">
        <v>318</v>
      </c>
      <c r="C69" s="85">
        <v>3400</v>
      </c>
      <c r="D69" s="85">
        <v>3400</v>
      </c>
      <c r="E69" s="85">
        <v>3400</v>
      </c>
      <c r="F69" s="85"/>
      <c r="G69" s="85">
        <f>+N69+F69</f>
        <v>0</v>
      </c>
      <c r="H69" s="85"/>
      <c r="I69" s="85"/>
      <c r="J69" s="85">
        <f>+E69-G69</f>
        <v>3400</v>
      </c>
      <c r="K69" s="85">
        <f>+D69-G69</f>
        <v>3400</v>
      </c>
      <c r="L69" s="462" t="s">
        <v>6</v>
      </c>
      <c r="N69" s="48"/>
    </row>
    <row r="70" spans="1:14" ht="13.5" customHeight="1">
      <c r="A70" s="90" t="s">
        <v>170</v>
      </c>
      <c r="B70" s="85" t="s">
        <v>171</v>
      </c>
      <c r="C70" s="85">
        <v>106950</v>
      </c>
      <c r="D70" s="85">
        <v>106950</v>
      </c>
      <c r="E70" s="85">
        <v>106950</v>
      </c>
      <c r="F70" s="85">
        <v>0</v>
      </c>
      <c r="G70" s="85">
        <f>+N70+F70</f>
        <v>0</v>
      </c>
      <c r="H70" s="85"/>
      <c r="I70" s="85">
        <v>0</v>
      </c>
      <c r="J70" s="85">
        <f>+E70-G70</f>
        <v>106950</v>
      </c>
      <c r="K70" s="85">
        <f>+D70-G70</f>
        <v>106950</v>
      </c>
      <c r="L70" s="462">
        <f>+G70*100/E70</f>
        <v>0</v>
      </c>
      <c r="N70" s="48"/>
    </row>
    <row r="71" spans="1:14" ht="15" customHeight="1">
      <c r="A71" s="83">
        <v>165</v>
      </c>
      <c r="B71" s="85" t="s">
        <v>172</v>
      </c>
      <c r="C71" s="85">
        <v>737884</v>
      </c>
      <c r="D71" s="85">
        <v>737884</v>
      </c>
      <c r="E71" s="85">
        <v>390375</v>
      </c>
      <c r="F71" s="85">
        <v>2254.9899999999998</v>
      </c>
      <c r="G71" s="85">
        <f>+N71+F71</f>
        <v>2254.9899999999998</v>
      </c>
      <c r="H71" s="85">
        <v>14.99</v>
      </c>
      <c r="I71" s="85">
        <v>0</v>
      </c>
      <c r="J71" s="85">
        <f>+E71-G71</f>
        <v>388120.01</v>
      </c>
      <c r="K71" s="85">
        <f>+D71-G71</f>
        <v>735629.01</v>
      </c>
      <c r="L71" s="462">
        <f>+G71*100/E71</f>
        <v>0.57764713416586611</v>
      </c>
      <c r="N71" s="48"/>
    </row>
    <row r="72" spans="1:14" ht="12.75" customHeight="1">
      <c r="A72" s="83" t="s">
        <v>173</v>
      </c>
      <c r="B72" s="84" t="s">
        <v>174</v>
      </c>
      <c r="C72" s="85">
        <v>602813</v>
      </c>
      <c r="D72" s="85">
        <v>602813</v>
      </c>
      <c r="E72" s="85">
        <v>192300</v>
      </c>
      <c r="F72" s="85">
        <v>2590.38</v>
      </c>
      <c r="G72" s="85">
        <f>+N72+F72</f>
        <v>2590.38</v>
      </c>
      <c r="H72" s="85">
        <v>1245.02</v>
      </c>
      <c r="I72" s="85">
        <v>1230</v>
      </c>
      <c r="J72" s="85">
        <f>+E72-G72</f>
        <v>189709.62</v>
      </c>
      <c r="K72" s="85">
        <f>+D72-G72</f>
        <v>600222.62</v>
      </c>
      <c r="L72" s="462">
        <f>+G72*100/E72</f>
        <v>1.3470514820592823</v>
      </c>
      <c r="N72" s="48"/>
    </row>
    <row r="73" spans="1:14">
      <c r="A73" s="92">
        <v>170</v>
      </c>
      <c r="B73" s="101" t="s">
        <v>347</v>
      </c>
      <c r="C73" s="88">
        <f>SUM(C74:C75)</f>
        <v>305833</v>
      </c>
      <c r="D73" s="88">
        <f>SUM(D74:D75)</f>
        <v>305833</v>
      </c>
      <c r="E73" s="88">
        <f>SUM(E74:E75)</f>
        <v>81142</v>
      </c>
      <c r="F73" s="88">
        <f>SUM(F75:F75)</f>
        <v>4849.76</v>
      </c>
      <c r="G73" s="88">
        <f>+N73+F73</f>
        <v>4849.76</v>
      </c>
      <c r="H73" s="88"/>
      <c r="I73" s="88"/>
      <c r="J73" s="88">
        <f>+E73-G73</f>
        <v>76292.240000000005</v>
      </c>
      <c r="K73" s="88">
        <f>+D73-G73</f>
        <v>300983.24</v>
      </c>
      <c r="L73" s="461">
        <f>+G73*100/E73</f>
        <v>5.9768800374651843</v>
      </c>
      <c r="N73" s="48"/>
    </row>
    <row r="74" spans="1:14">
      <c r="A74" s="501">
        <v>171</v>
      </c>
      <c r="B74" s="502" t="s">
        <v>507</v>
      </c>
      <c r="C74" s="85">
        <v>137125</v>
      </c>
      <c r="D74" s="85">
        <v>137125</v>
      </c>
      <c r="E74" s="85">
        <v>67125</v>
      </c>
      <c r="F74" s="88"/>
      <c r="G74" s="88"/>
      <c r="H74" s="88"/>
      <c r="I74" s="88"/>
      <c r="J74" s="88"/>
      <c r="K74" s="88"/>
      <c r="L74" s="461"/>
      <c r="N74" s="48"/>
    </row>
    <row r="75" spans="1:14" ht="15" customHeight="1">
      <c r="A75" s="83" t="s">
        <v>175</v>
      </c>
      <c r="B75" s="84" t="s">
        <v>176</v>
      </c>
      <c r="C75" s="85">
        <v>168708</v>
      </c>
      <c r="D75" s="85">
        <v>168708</v>
      </c>
      <c r="E75" s="85">
        <v>14017</v>
      </c>
      <c r="F75" s="85">
        <v>4849.76</v>
      </c>
      <c r="G75" s="85">
        <f t="shared" ref="G75:G82" si="21">+N75+F75</f>
        <v>4849.76</v>
      </c>
      <c r="H75" s="85"/>
      <c r="I75" s="85">
        <v>0</v>
      </c>
      <c r="J75" s="85">
        <f t="shared" ref="J75:J83" si="22">+E75-G75</f>
        <v>9167.24</v>
      </c>
      <c r="K75" s="85">
        <f t="shared" ref="K75:K83" si="23">+D75-G75</f>
        <v>163858.23999999999</v>
      </c>
      <c r="L75" s="462">
        <f>+G75*100/E75</f>
        <v>34.599129628308482</v>
      </c>
      <c r="N75" s="48"/>
    </row>
    <row r="76" spans="1:14">
      <c r="A76" s="91" t="s">
        <v>177</v>
      </c>
      <c r="B76" s="88" t="s">
        <v>178</v>
      </c>
      <c r="C76" s="88">
        <f>SUM(C77:C82)</f>
        <v>1009621</v>
      </c>
      <c r="D76" s="88">
        <f>SUM(D77:D82)</f>
        <v>1009621</v>
      </c>
      <c r="E76" s="88">
        <f>SUM(E77:E82)</f>
        <v>587119</v>
      </c>
      <c r="F76" s="88">
        <f>SUM(F77:F82)</f>
        <v>12312.34</v>
      </c>
      <c r="G76" s="88">
        <f t="shared" si="21"/>
        <v>12312.34</v>
      </c>
      <c r="H76" s="88">
        <f t="shared" ref="H76" si="24">SUM(H77:H82)</f>
        <v>65.02</v>
      </c>
      <c r="I76" s="88">
        <f t="shared" ref="I76" si="25">SUM(I77:I82)</f>
        <v>0</v>
      </c>
      <c r="J76" s="88">
        <f t="shared" si="22"/>
        <v>574806.66</v>
      </c>
      <c r="K76" s="88">
        <f t="shared" si="23"/>
        <v>997308.66</v>
      </c>
      <c r="L76" s="461">
        <f>+G76*100/E76</f>
        <v>2.097077423827197</v>
      </c>
      <c r="M76" s="7"/>
      <c r="N76" s="48"/>
    </row>
    <row r="77" spans="1:14" ht="14.25" customHeight="1">
      <c r="A77" s="83">
        <v>181</v>
      </c>
      <c r="B77" s="85" t="s">
        <v>179</v>
      </c>
      <c r="C77" s="85">
        <v>150000</v>
      </c>
      <c r="D77" s="85">
        <v>150000</v>
      </c>
      <c r="E77" s="85">
        <v>96160</v>
      </c>
      <c r="F77" s="85">
        <v>0</v>
      </c>
      <c r="G77" s="85">
        <f t="shared" si="21"/>
        <v>0</v>
      </c>
      <c r="H77" s="85"/>
      <c r="I77" s="85">
        <v>0</v>
      </c>
      <c r="J77" s="85">
        <f t="shared" si="22"/>
        <v>96160</v>
      </c>
      <c r="K77" s="85">
        <f t="shared" si="23"/>
        <v>150000</v>
      </c>
      <c r="L77" s="462" t="s">
        <v>6</v>
      </c>
      <c r="N77" s="48"/>
    </row>
    <row r="78" spans="1:14" ht="14.25" customHeight="1">
      <c r="A78" s="90" t="s">
        <v>180</v>
      </c>
      <c r="B78" s="85" t="s">
        <v>332</v>
      </c>
      <c r="C78" s="85">
        <v>370682</v>
      </c>
      <c r="D78" s="85">
        <v>370682</v>
      </c>
      <c r="E78" s="85">
        <v>254300</v>
      </c>
      <c r="F78" s="85">
        <v>6188.73</v>
      </c>
      <c r="G78" s="85">
        <f t="shared" si="21"/>
        <v>6188.73</v>
      </c>
      <c r="H78" s="85">
        <v>65.02</v>
      </c>
      <c r="I78" s="85">
        <v>0</v>
      </c>
      <c r="J78" s="85">
        <f t="shared" si="22"/>
        <v>248111.27</v>
      </c>
      <c r="K78" s="85">
        <f t="shared" si="23"/>
        <v>364493.27</v>
      </c>
      <c r="L78" s="462">
        <f>+G78*100/E78</f>
        <v>2.4336335037357451</v>
      </c>
      <c r="N78" s="48"/>
    </row>
    <row r="79" spans="1:14" ht="12.75" customHeight="1">
      <c r="A79" s="83">
        <v>183</v>
      </c>
      <c r="B79" s="85" t="s">
        <v>333</v>
      </c>
      <c r="C79" s="85">
        <v>25883</v>
      </c>
      <c r="D79" s="85">
        <v>25883</v>
      </c>
      <c r="E79" s="85">
        <v>25883</v>
      </c>
      <c r="F79" s="85">
        <v>0</v>
      </c>
      <c r="G79" s="85">
        <f t="shared" si="21"/>
        <v>0</v>
      </c>
      <c r="H79" s="85"/>
      <c r="I79" s="85">
        <v>0</v>
      </c>
      <c r="J79" s="85">
        <f t="shared" si="22"/>
        <v>25883</v>
      </c>
      <c r="K79" s="85">
        <f t="shared" si="23"/>
        <v>25883</v>
      </c>
      <c r="L79" s="462"/>
      <c r="N79" s="48"/>
    </row>
    <row r="80" spans="1:14" ht="12" customHeight="1">
      <c r="A80" s="83">
        <v>184</v>
      </c>
      <c r="B80" s="85" t="s">
        <v>334</v>
      </c>
      <c r="C80" s="85">
        <v>58665</v>
      </c>
      <c r="D80" s="85">
        <v>58665</v>
      </c>
      <c r="E80" s="85">
        <v>53665</v>
      </c>
      <c r="F80" s="85">
        <v>0</v>
      </c>
      <c r="G80" s="85">
        <f t="shared" si="21"/>
        <v>0</v>
      </c>
      <c r="H80" s="85"/>
      <c r="I80" s="85">
        <v>0</v>
      </c>
      <c r="J80" s="85">
        <f t="shared" si="22"/>
        <v>53665</v>
      </c>
      <c r="K80" s="85">
        <f t="shared" si="23"/>
        <v>58665</v>
      </c>
      <c r="L80" s="462"/>
      <c r="N80" s="48"/>
    </row>
    <row r="81" spans="1:14" ht="12.75" customHeight="1">
      <c r="A81" s="83">
        <v>185</v>
      </c>
      <c r="B81" s="85" t="s">
        <v>342</v>
      </c>
      <c r="C81" s="85">
        <v>24831</v>
      </c>
      <c r="D81" s="85">
        <v>24831</v>
      </c>
      <c r="E81" s="85">
        <v>24831</v>
      </c>
      <c r="F81" s="85">
        <v>882.75</v>
      </c>
      <c r="G81" s="85">
        <f t="shared" si="21"/>
        <v>882.75</v>
      </c>
      <c r="H81" s="85"/>
      <c r="I81" s="85">
        <v>0</v>
      </c>
      <c r="J81" s="85">
        <f t="shared" si="22"/>
        <v>23948.25</v>
      </c>
      <c r="K81" s="85">
        <f t="shared" si="23"/>
        <v>23948.25</v>
      </c>
      <c r="L81" s="462"/>
      <c r="N81" s="48"/>
    </row>
    <row r="82" spans="1:14" ht="13.5" customHeight="1">
      <c r="A82" s="83" t="s">
        <v>181</v>
      </c>
      <c r="B82" s="84" t="s">
        <v>182</v>
      </c>
      <c r="C82" s="85">
        <v>379560</v>
      </c>
      <c r="D82" s="85">
        <v>379560</v>
      </c>
      <c r="E82" s="85">
        <v>132280</v>
      </c>
      <c r="F82" s="85">
        <v>5240.8599999999997</v>
      </c>
      <c r="G82" s="85">
        <f t="shared" si="21"/>
        <v>5240.8599999999997</v>
      </c>
      <c r="H82" s="85"/>
      <c r="I82" s="85">
        <v>0</v>
      </c>
      <c r="J82" s="85">
        <f t="shared" si="22"/>
        <v>127039.14</v>
      </c>
      <c r="K82" s="85">
        <f t="shared" si="23"/>
        <v>374319.14</v>
      </c>
      <c r="L82" s="462"/>
      <c r="N82" s="48"/>
    </row>
    <row r="83" spans="1:14" ht="13.5" hidden="1" customHeight="1">
      <c r="A83" s="93">
        <v>190</v>
      </c>
      <c r="B83" s="87" t="s">
        <v>401</v>
      </c>
      <c r="C83" s="88">
        <f>+C85+C88</f>
        <v>0</v>
      </c>
      <c r="D83" s="88">
        <f>+C83</f>
        <v>0</v>
      </c>
      <c r="E83" s="88">
        <f>SUM(E84:E91)</f>
        <v>0</v>
      </c>
      <c r="F83" s="88">
        <f>SUM(F84:F92)</f>
        <v>0</v>
      </c>
      <c r="G83" s="88">
        <f>N83+F83</f>
        <v>0</v>
      </c>
      <c r="H83" s="88"/>
      <c r="I83" s="88">
        <f>SUM(I84:I91)</f>
        <v>0</v>
      </c>
      <c r="J83" s="88">
        <f t="shared" si="22"/>
        <v>0</v>
      </c>
      <c r="K83" s="88">
        <f t="shared" si="23"/>
        <v>0</v>
      </c>
      <c r="L83" s="461" t="e">
        <f>+G83*100/E83</f>
        <v>#DIV/0!</v>
      </c>
      <c r="N83" s="48"/>
    </row>
    <row r="84" spans="1:14" ht="13.5" hidden="1" customHeight="1" thickBot="1">
      <c r="A84" s="94">
        <v>191</v>
      </c>
      <c r="B84" s="84" t="s">
        <v>410</v>
      </c>
      <c r="C84" s="88"/>
      <c r="D84" s="85">
        <f>SUM(C84:C84)</f>
        <v>0</v>
      </c>
      <c r="E84" s="85">
        <v>0</v>
      </c>
      <c r="F84" s="88">
        <v>0</v>
      </c>
      <c r="G84" s="85">
        <f>+N84+F84</f>
        <v>0</v>
      </c>
      <c r="H84" s="85"/>
      <c r="I84" s="85"/>
      <c r="J84" s="88"/>
      <c r="K84" s="88"/>
      <c r="L84" s="462"/>
      <c r="N84" s="48"/>
    </row>
    <row r="85" spans="1:14" ht="12" hidden="1" customHeight="1" thickBot="1">
      <c r="A85" s="94">
        <v>192</v>
      </c>
      <c r="B85" s="84" t="s">
        <v>402</v>
      </c>
      <c r="C85" s="85"/>
      <c r="D85" s="85"/>
      <c r="E85" s="85">
        <v>0</v>
      </c>
      <c r="F85" s="85"/>
      <c r="G85" s="85"/>
      <c r="H85" s="85"/>
      <c r="I85" s="85"/>
      <c r="J85" s="85">
        <f>+E85-G85</f>
        <v>0</v>
      </c>
      <c r="K85" s="85">
        <f>+D85-G85</f>
        <v>0</v>
      </c>
      <c r="L85" s="462" t="e">
        <f>+G85*100/E85</f>
        <v>#DIV/0!</v>
      </c>
      <c r="N85" s="48"/>
    </row>
    <row r="86" spans="1:14" ht="12" hidden="1" customHeight="1" thickBot="1">
      <c r="A86" s="94">
        <v>193</v>
      </c>
      <c r="B86" s="84" t="s">
        <v>411</v>
      </c>
      <c r="C86" s="85"/>
      <c r="D86" s="85"/>
      <c r="E86" s="85">
        <v>0</v>
      </c>
      <c r="F86" s="85"/>
      <c r="G86" s="85"/>
      <c r="H86" s="85"/>
      <c r="I86" s="85"/>
      <c r="J86" s="85">
        <f>+E86-G86</f>
        <v>0</v>
      </c>
      <c r="K86" s="85">
        <f>+D86-G86</f>
        <v>0</v>
      </c>
      <c r="L86" s="462" t="s">
        <v>6</v>
      </c>
      <c r="N86" s="48"/>
    </row>
    <row r="87" spans="1:14" ht="12" hidden="1" customHeight="1" thickBot="1">
      <c r="A87" s="94">
        <v>195</v>
      </c>
      <c r="B87" s="84" t="s">
        <v>412</v>
      </c>
      <c r="C87" s="85"/>
      <c r="D87" s="85"/>
      <c r="E87" s="85">
        <v>0</v>
      </c>
      <c r="F87" s="85"/>
      <c r="G87" s="85"/>
      <c r="H87" s="85"/>
      <c r="I87" s="85"/>
      <c r="J87" s="85"/>
      <c r="K87" s="85"/>
      <c r="L87" s="462" t="e">
        <f>+G87*100/E87</f>
        <v>#DIV/0!</v>
      </c>
      <c r="N87" s="48"/>
    </row>
    <row r="88" spans="1:14" ht="12" hidden="1" customHeight="1" thickBot="1">
      <c r="A88" s="94">
        <v>196</v>
      </c>
      <c r="B88" s="84" t="s">
        <v>403</v>
      </c>
      <c r="C88" s="85"/>
      <c r="D88" s="85"/>
      <c r="E88" s="85">
        <v>0</v>
      </c>
      <c r="F88" s="85"/>
      <c r="G88" s="85"/>
      <c r="H88" s="85"/>
      <c r="I88" s="85"/>
      <c r="J88" s="85">
        <f>+E88-G88</f>
        <v>0</v>
      </c>
      <c r="K88" s="85">
        <f>+D88-G88</f>
        <v>0</v>
      </c>
      <c r="L88" s="462" t="e">
        <f>+G88*100/E88</f>
        <v>#DIV/0!</v>
      </c>
      <c r="N88" s="48"/>
    </row>
    <row r="89" spans="1:14" ht="12" hidden="1" customHeight="1" thickBot="1">
      <c r="A89" s="94">
        <v>197</v>
      </c>
      <c r="B89" s="84" t="s">
        <v>413</v>
      </c>
      <c r="C89" s="85"/>
      <c r="D89" s="85"/>
      <c r="E89" s="85"/>
      <c r="F89" s="85"/>
      <c r="G89" s="85">
        <f>N89+F89</f>
        <v>0</v>
      </c>
      <c r="H89" s="85"/>
      <c r="I89" s="85"/>
      <c r="J89" s="85">
        <f>+E89-G89</f>
        <v>0</v>
      </c>
      <c r="K89" s="85">
        <f>+D89-G89</f>
        <v>0</v>
      </c>
      <c r="L89" s="462"/>
      <c r="N89" s="48"/>
    </row>
    <row r="90" spans="1:14" ht="12" hidden="1" customHeight="1" thickBot="1">
      <c r="A90" s="94">
        <v>198</v>
      </c>
      <c r="B90" s="84" t="s">
        <v>494</v>
      </c>
      <c r="C90" s="97"/>
      <c r="D90" s="85"/>
      <c r="E90" s="85"/>
      <c r="F90" s="85"/>
      <c r="G90" s="85"/>
      <c r="H90" s="85"/>
      <c r="I90" s="85"/>
      <c r="J90" s="85">
        <f>+E90-G90</f>
        <v>0</v>
      </c>
      <c r="K90" s="85"/>
      <c r="L90" s="462"/>
      <c r="N90" s="48"/>
    </row>
    <row r="91" spans="1:14" ht="13.5" hidden="1" customHeight="1" thickBot="1">
      <c r="A91" s="95">
        <v>199</v>
      </c>
      <c r="B91" s="102" t="s">
        <v>414</v>
      </c>
      <c r="C91" s="103"/>
      <c r="D91" s="85"/>
      <c r="E91" s="85"/>
      <c r="F91" s="85"/>
      <c r="G91" s="85">
        <f>N91+F91</f>
        <v>0</v>
      </c>
      <c r="H91" s="85"/>
      <c r="I91" s="85" t="s">
        <v>6</v>
      </c>
      <c r="J91" s="85">
        <f>+E91-G91</f>
        <v>0</v>
      </c>
      <c r="K91" s="85">
        <f>+D91-G91</f>
        <v>0</v>
      </c>
      <c r="L91" s="462"/>
      <c r="N91" s="48"/>
    </row>
    <row r="92" spans="1:14" ht="15" customHeight="1" thickBot="1">
      <c r="A92" s="94"/>
      <c r="B92" s="104"/>
      <c r="C92" s="105"/>
      <c r="D92" s="105"/>
      <c r="E92" s="105"/>
      <c r="F92" s="105"/>
      <c r="G92" s="105"/>
      <c r="H92" s="105"/>
      <c r="I92" s="105"/>
      <c r="J92" s="105"/>
      <c r="K92" s="105"/>
      <c r="L92" s="462"/>
      <c r="N92" s="48"/>
    </row>
    <row r="93" spans="1:14" ht="15.75" customHeight="1" thickBot="1">
      <c r="A93" s="133" t="s">
        <v>184</v>
      </c>
      <c r="B93" s="133" t="s">
        <v>185</v>
      </c>
      <c r="C93" s="134">
        <f>+C94+C97+C103+C109+C113+C119+C127+C133+C142+C143</f>
        <v>3342561</v>
      </c>
      <c r="D93" s="134">
        <f>+C93</f>
        <v>3342561</v>
      </c>
      <c r="E93" s="134">
        <f>+E94+E97+E103+E109+E113+E119+E127+E133+E142+E143</f>
        <v>2276443</v>
      </c>
      <c r="F93" s="135">
        <f>+F94+F97+F103+F109+F113+F119+F127+F133+F142+F143</f>
        <v>120150.5</v>
      </c>
      <c r="G93" s="135">
        <f>N93+F93</f>
        <v>120150.5</v>
      </c>
      <c r="H93" s="134">
        <f>+H94+H97+H103+H109+H113+H119+H127+H133+H142+H143</f>
        <v>2677.4900000000002</v>
      </c>
      <c r="I93" s="134">
        <f>+I94+I97+I103+I109+I113+I119+I127+I133+I142+I143</f>
        <v>0</v>
      </c>
      <c r="J93" s="136">
        <f>+E93-G93+1</f>
        <v>2156293.5</v>
      </c>
      <c r="K93" s="134">
        <f t="shared" ref="K93:K124" si="26">+D93-G93</f>
        <v>3222410.5</v>
      </c>
      <c r="L93" s="464">
        <f t="shared" ref="L93:L113" si="27">+G93*100/E93</f>
        <v>5.2779929038416515</v>
      </c>
      <c r="N93" s="48"/>
    </row>
    <row r="94" spans="1:14" ht="16.5" customHeight="1">
      <c r="A94" s="96" t="s">
        <v>186</v>
      </c>
      <c r="B94" s="144" t="s">
        <v>187</v>
      </c>
      <c r="C94" s="145">
        <f>SUM(C95:C96)</f>
        <v>185018</v>
      </c>
      <c r="D94" s="145">
        <f>SUM(D95:D96)</f>
        <v>185018</v>
      </c>
      <c r="E94" s="145">
        <f>SUM(E95:E96)</f>
        <v>72954</v>
      </c>
      <c r="F94" s="106">
        <f>SUM(F95:F96)</f>
        <v>743.5</v>
      </c>
      <c r="G94" s="107">
        <f>N94+F94</f>
        <v>743.5</v>
      </c>
      <c r="H94" s="145">
        <f t="shared" ref="H94" si="28">SUM(H95:H96)</f>
        <v>0</v>
      </c>
      <c r="I94" s="145">
        <f t="shared" ref="I94" si="29">SUM(I95:I96)</f>
        <v>0</v>
      </c>
      <c r="J94" s="107">
        <f t="shared" ref="J94:J101" si="30">+E94-G94</f>
        <v>72210.5</v>
      </c>
      <c r="K94" s="145">
        <f t="shared" si="26"/>
        <v>184274.5</v>
      </c>
      <c r="L94" s="465">
        <f t="shared" si="27"/>
        <v>1.0191353455602161</v>
      </c>
      <c r="N94" s="48"/>
    </row>
    <row r="95" spans="1:14" ht="13.5" customHeight="1">
      <c r="A95" s="97" t="s">
        <v>188</v>
      </c>
      <c r="B95" s="110" t="s">
        <v>189</v>
      </c>
      <c r="C95" s="110">
        <v>168849</v>
      </c>
      <c r="D95" s="110">
        <v>168849</v>
      </c>
      <c r="E95" s="146">
        <v>61845</v>
      </c>
      <c r="F95" s="108">
        <v>0</v>
      </c>
      <c r="G95" s="85">
        <f t="shared" ref="G95:G126" si="31">+N95+F95</f>
        <v>0</v>
      </c>
      <c r="H95" s="85"/>
      <c r="I95" s="110">
        <v>0</v>
      </c>
      <c r="J95" s="85">
        <f t="shared" si="30"/>
        <v>61845</v>
      </c>
      <c r="K95" s="110">
        <f t="shared" si="26"/>
        <v>168849</v>
      </c>
      <c r="L95" s="466">
        <f t="shared" si="27"/>
        <v>0</v>
      </c>
      <c r="N95" s="48"/>
    </row>
    <row r="96" spans="1:14" ht="13.5" customHeight="1">
      <c r="A96" s="94" t="s">
        <v>190</v>
      </c>
      <c r="B96" s="147" t="s">
        <v>191</v>
      </c>
      <c r="C96" s="110">
        <v>16169</v>
      </c>
      <c r="D96" s="110">
        <v>16169</v>
      </c>
      <c r="E96" s="97">
        <v>11109</v>
      </c>
      <c r="F96" s="108">
        <v>743.5</v>
      </c>
      <c r="G96" s="85">
        <f t="shared" si="31"/>
        <v>743.5</v>
      </c>
      <c r="H96" s="85"/>
      <c r="I96" s="110">
        <v>0</v>
      </c>
      <c r="J96" s="85">
        <f t="shared" si="30"/>
        <v>10365.5</v>
      </c>
      <c r="K96" s="110">
        <f t="shared" si="26"/>
        <v>15425.5</v>
      </c>
      <c r="L96" s="466">
        <f t="shared" si="27"/>
        <v>6.6927716266090558</v>
      </c>
      <c r="N96" s="48"/>
    </row>
    <row r="97" spans="1:14">
      <c r="A97" s="98" t="s">
        <v>192</v>
      </c>
      <c r="B97" s="123" t="s">
        <v>193</v>
      </c>
      <c r="C97" s="123">
        <f>SUM(C98:C102)</f>
        <v>196410</v>
      </c>
      <c r="D97" s="123">
        <f>SUM(D98:D102)</f>
        <v>196410</v>
      </c>
      <c r="E97" s="109">
        <f>SUM(E98:E102)</f>
        <v>123508</v>
      </c>
      <c r="F97" s="109">
        <f>SUM(F98:F102)</f>
        <v>417.3</v>
      </c>
      <c r="G97" s="88">
        <f t="shared" si="31"/>
        <v>417.3</v>
      </c>
      <c r="H97" s="109">
        <f t="shared" ref="H97" si="32">SUM(H98:H102)</f>
        <v>417.3</v>
      </c>
      <c r="I97" s="109">
        <f t="shared" ref="I97" si="33">SUM(I98:I102)</f>
        <v>0</v>
      </c>
      <c r="J97" s="88">
        <f t="shared" si="30"/>
        <v>123090.7</v>
      </c>
      <c r="K97" s="123">
        <f t="shared" si="26"/>
        <v>195992.7</v>
      </c>
      <c r="L97" s="466">
        <f t="shared" si="27"/>
        <v>0.3378728503416783</v>
      </c>
      <c r="N97" s="48"/>
    </row>
    <row r="98" spans="1:14" ht="12" customHeight="1">
      <c r="A98" s="97" t="s">
        <v>194</v>
      </c>
      <c r="B98" s="110" t="s">
        <v>195</v>
      </c>
      <c r="C98" s="110">
        <v>32960</v>
      </c>
      <c r="D98" s="110">
        <v>32960</v>
      </c>
      <c r="E98" s="97">
        <v>26960</v>
      </c>
      <c r="F98" s="108">
        <v>0</v>
      </c>
      <c r="G98" s="85">
        <f t="shared" si="31"/>
        <v>0</v>
      </c>
      <c r="H98" s="85"/>
      <c r="I98" s="110">
        <v>0</v>
      </c>
      <c r="J98" s="85">
        <f t="shared" si="30"/>
        <v>26960</v>
      </c>
      <c r="K98" s="110">
        <f t="shared" si="26"/>
        <v>32960</v>
      </c>
      <c r="L98" s="466">
        <f t="shared" si="27"/>
        <v>0</v>
      </c>
      <c r="N98" s="48"/>
    </row>
    <row r="99" spans="1:14" ht="12" customHeight="1">
      <c r="A99" s="94" t="s">
        <v>196</v>
      </c>
      <c r="B99" s="147" t="s">
        <v>197</v>
      </c>
      <c r="C99" s="110">
        <v>37749</v>
      </c>
      <c r="D99" s="110">
        <v>37749</v>
      </c>
      <c r="E99" s="97">
        <v>19782</v>
      </c>
      <c r="F99" s="108">
        <v>0</v>
      </c>
      <c r="G99" s="85">
        <f t="shared" si="31"/>
        <v>0</v>
      </c>
      <c r="H99" s="85"/>
      <c r="I99" s="110">
        <v>0</v>
      </c>
      <c r="J99" s="85">
        <f t="shared" si="30"/>
        <v>19782</v>
      </c>
      <c r="K99" s="110">
        <f t="shared" si="26"/>
        <v>37749</v>
      </c>
      <c r="L99" s="466">
        <f t="shared" si="27"/>
        <v>0</v>
      </c>
      <c r="N99" s="48"/>
    </row>
    <row r="100" spans="1:14" ht="12" customHeight="1">
      <c r="A100" s="94" t="s">
        <v>198</v>
      </c>
      <c r="B100" s="147" t="s">
        <v>199</v>
      </c>
      <c r="C100" s="110">
        <v>40776</v>
      </c>
      <c r="D100" s="110">
        <v>40776</v>
      </c>
      <c r="E100" s="97">
        <v>27453</v>
      </c>
      <c r="F100" s="108">
        <v>417.3</v>
      </c>
      <c r="G100" s="85">
        <f t="shared" si="31"/>
        <v>417.3</v>
      </c>
      <c r="H100" s="85">
        <v>417.3</v>
      </c>
      <c r="I100" s="110">
        <v>0</v>
      </c>
      <c r="J100" s="85">
        <f t="shared" si="30"/>
        <v>27035.7</v>
      </c>
      <c r="K100" s="110">
        <f t="shared" si="26"/>
        <v>40358.699999999997</v>
      </c>
      <c r="L100" s="466">
        <f t="shared" si="27"/>
        <v>1.520052453283794</v>
      </c>
      <c r="N100" s="48"/>
    </row>
    <row r="101" spans="1:14" ht="13.5" customHeight="1">
      <c r="A101" s="94" t="s">
        <v>200</v>
      </c>
      <c r="B101" s="147" t="s">
        <v>201</v>
      </c>
      <c r="C101" s="110">
        <v>81833</v>
      </c>
      <c r="D101" s="110">
        <v>81833</v>
      </c>
      <c r="E101" s="97">
        <v>46221</v>
      </c>
      <c r="F101" s="108">
        <v>0</v>
      </c>
      <c r="G101" s="85">
        <f t="shared" si="31"/>
        <v>0</v>
      </c>
      <c r="H101" s="85"/>
      <c r="I101" s="110">
        <v>0</v>
      </c>
      <c r="J101" s="85">
        <f t="shared" si="30"/>
        <v>46221</v>
      </c>
      <c r="K101" s="110">
        <f t="shared" si="26"/>
        <v>81833</v>
      </c>
      <c r="L101" s="466">
        <f t="shared" si="27"/>
        <v>0</v>
      </c>
      <c r="N101" s="48"/>
    </row>
    <row r="102" spans="1:14" ht="13.5" customHeight="1">
      <c r="A102" s="94" t="s">
        <v>202</v>
      </c>
      <c r="B102" s="147" t="s">
        <v>203</v>
      </c>
      <c r="C102" s="85">
        <v>3092</v>
      </c>
      <c r="D102" s="85">
        <v>3092</v>
      </c>
      <c r="E102" s="97">
        <v>3092</v>
      </c>
      <c r="F102" s="108">
        <v>0</v>
      </c>
      <c r="G102" s="85">
        <f t="shared" si="31"/>
        <v>0</v>
      </c>
      <c r="H102" s="85"/>
      <c r="I102" s="110" t="s">
        <v>6</v>
      </c>
      <c r="J102" s="85" t="s">
        <v>6</v>
      </c>
      <c r="K102" s="110">
        <f t="shared" si="26"/>
        <v>3092</v>
      </c>
      <c r="L102" s="466">
        <f t="shared" si="27"/>
        <v>0</v>
      </c>
      <c r="N102" s="48"/>
    </row>
    <row r="103" spans="1:14" ht="20.25" customHeight="1">
      <c r="A103" s="99" t="s">
        <v>204</v>
      </c>
      <c r="B103" s="145" t="s">
        <v>205</v>
      </c>
      <c r="C103" s="145">
        <f>SUM(C104:C108)</f>
        <v>661282</v>
      </c>
      <c r="D103" s="145">
        <f>SUM(D104:D108)</f>
        <v>661282</v>
      </c>
      <c r="E103" s="106">
        <f>SUM(E104:E108)</f>
        <v>606235</v>
      </c>
      <c r="F103" s="106">
        <f>SUM(F104:F108)</f>
        <v>50377.49</v>
      </c>
      <c r="G103" s="106">
        <f t="shared" si="31"/>
        <v>50377.49</v>
      </c>
      <c r="H103" s="106">
        <f t="shared" ref="H103" si="34">SUM(H104:H108)</f>
        <v>380.74</v>
      </c>
      <c r="I103" s="106">
        <f t="shared" ref="I103" si="35">SUM(I104:I108)</f>
        <v>0</v>
      </c>
      <c r="J103" s="107">
        <f>+E103-G103</f>
        <v>555857.51</v>
      </c>
      <c r="K103" s="145">
        <f t="shared" si="26"/>
        <v>610904.51</v>
      </c>
      <c r="L103" s="466">
        <f t="shared" si="27"/>
        <v>8.3098946778064615</v>
      </c>
      <c r="M103" s="7"/>
      <c r="N103" s="48"/>
    </row>
    <row r="104" spans="1:14" ht="12" customHeight="1">
      <c r="A104" s="97" t="s">
        <v>206</v>
      </c>
      <c r="B104" s="110" t="s">
        <v>207</v>
      </c>
      <c r="C104" s="110">
        <v>359850</v>
      </c>
      <c r="D104" s="110">
        <v>359850</v>
      </c>
      <c r="E104" s="97">
        <v>359850</v>
      </c>
      <c r="F104" s="108">
        <v>39868</v>
      </c>
      <c r="G104" s="85">
        <f t="shared" si="31"/>
        <v>39868</v>
      </c>
      <c r="H104" s="85"/>
      <c r="I104" s="110">
        <v>0</v>
      </c>
      <c r="J104" s="85">
        <f>+E104-G104</f>
        <v>319982</v>
      </c>
      <c r="K104" s="110">
        <f t="shared" si="26"/>
        <v>319982</v>
      </c>
      <c r="L104" s="466">
        <f t="shared" si="27"/>
        <v>11.079060719744337</v>
      </c>
      <c r="N104" s="48"/>
    </row>
    <row r="105" spans="1:14" ht="12" customHeight="1">
      <c r="A105" s="94">
        <v>222</v>
      </c>
      <c r="B105" s="110" t="s">
        <v>319</v>
      </c>
      <c r="C105" s="110">
        <v>71432</v>
      </c>
      <c r="D105" s="110">
        <v>71432</v>
      </c>
      <c r="E105" s="146">
        <v>51232</v>
      </c>
      <c r="F105" s="108">
        <v>349.14</v>
      </c>
      <c r="G105" s="85">
        <f t="shared" si="31"/>
        <v>349.14</v>
      </c>
      <c r="H105" s="85">
        <v>349.14</v>
      </c>
      <c r="I105" s="110">
        <v>0</v>
      </c>
      <c r="J105" s="85">
        <v>11127.96</v>
      </c>
      <c r="K105" s="110">
        <f t="shared" si="26"/>
        <v>71082.86</v>
      </c>
      <c r="L105" s="466">
        <f t="shared" si="27"/>
        <v>0.68148813241723927</v>
      </c>
      <c r="N105" s="48"/>
    </row>
    <row r="106" spans="1:14" ht="16.149999999999999" customHeight="1">
      <c r="A106" s="94" t="s">
        <v>208</v>
      </c>
      <c r="B106" s="147" t="s">
        <v>209</v>
      </c>
      <c r="C106" s="110">
        <v>150000</v>
      </c>
      <c r="D106" s="110">
        <v>150000</v>
      </c>
      <c r="E106" s="97">
        <v>150000</v>
      </c>
      <c r="F106" s="108">
        <v>10128.75</v>
      </c>
      <c r="G106" s="85">
        <f t="shared" si="31"/>
        <v>10128.75</v>
      </c>
      <c r="H106" s="85"/>
      <c r="I106" s="110">
        <v>0</v>
      </c>
      <c r="J106" s="85">
        <f t="shared" ref="J106:J124" si="36">+E106-G106</f>
        <v>139871.25</v>
      </c>
      <c r="K106" s="110">
        <f t="shared" si="26"/>
        <v>139871.25</v>
      </c>
      <c r="L106" s="466">
        <f t="shared" si="27"/>
        <v>6.7525000000000004</v>
      </c>
      <c r="N106" s="48"/>
    </row>
    <row r="107" spans="1:14" ht="14.25" customHeight="1">
      <c r="A107" s="94" t="s">
        <v>210</v>
      </c>
      <c r="B107" s="147" t="s">
        <v>211</v>
      </c>
      <c r="C107" s="110">
        <v>50000</v>
      </c>
      <c r="D107" s="110">
        <v>50000</v>
      </c>
      <c r="E107" s="97">
        <v>25153</v>
      </c>
      <c r="F107" s="108">
        <v>31.6</v>
      </c>
      <c r="G107" s="85">
        <f t="shared" si="31"/>
        <v>31.6</v>
      </c>
      <c r="H107" s="85">
        <v>31.6</v>
      </c>
      <c r="I107" s="110">
        <v>0</v>
      </c>
      <c r="J107" s="85">
        <f t="shared" si="36"/>
        <v>25121.4</v>
      </c>
      <c r="K107" s="110">
        <f t="shared" si="26"/>
        <v>49968.4</v>
      </c>
      <c r="L107" s="466">
        <f t="shared" si="27"/>
        <v>0.12563113743887408</v>
      </c>
      <c r="N107" s="48"/>
    </row>
    <row r="108" spans="1:14" ht="14.45" customHeight="1">
      <c r="A108" s="94">
        <v>229</v>
      </c>
      <c r="B108" s="147" t="s">
        <v>212</v>
      </c>
      <c r="C108" s="110">
        <v>30000</v>
      </c>
      <c r="D108" s="110">
        <v>30000</v>
      </c>
      <c r="E108" s="97">
        <v>20000</v>
      </c>
      <c r="F108" s="108">
        <v>0</v>
      </c>
      <c r="G108" s="85">
        <f t="shared" si="31"/>
        <v>0</v>
      </c>
      <c r="H108" s="85"/>
      <c r="I108" s="110">
        <v>0</v>
      </c>
      <c r="J108" s="85">
        <f t="shared" si="36"/>
        <v>20000</v>
      </c>
      <c r="K108" s="110">
        <f t="shared" si="26"/>
        <v>30000</v>
      </c>
      <c r="L108" s="466">
        <f t="shared" si="27"/>
        <v>0</v>
      </c>
      <c r="N108" s="48"/>
    </row>
    <row r="109" spans="1:14" ht="16.5" customHeight="1">
      <c r="A109" s="99" t="s">
        <v>213</v>
      </c>
      <c r="B109" s="145" t="s">
        <v>214</v>
      </c>
      <c r="C109" s="145">
        <f>SUM(C110:C112)</f>
        <v>249812</v>
      </c>
      <c r="D109" s="145">
        <f>SUM(D110:D112)</f>
        <v>249812</v>
      </c>
      <c r="E109" s="106">
        <f>SUM(E110:E112)</f>
        <v>159430</v>
      </c>
      <c r="F109" s="106">
        <f>SUM(F110:F112)</f>
        <v>164.57</v>
      </c>
      <c r="G109" s="88">
        <f t="shared" si="31"/>
        <v>164.57</v>
      </c>
      <c r="H109" s="106">
        <f t="shared" ref="H109" si="37">SUM(H110:H112)</f>
        <v>57.57</v>
      </c>
      <c r="I109" s="106">
        <f t="shared" ref="I109" si="38">SUM(I110:I112)</f>
        <v>0</v>
      </c>
      <c r="J109" s="107">
        <f t="shared" si="36"/>
        <v>159265.43</v>
      </c>
      <c r="K109" s="145">
        <f t="shared" si="26"/>
        <v>249647.43</v>
      </c>
      <c r="L109" s="465">
        <f t="shared" si="27"/>
        <v>0.10322398544815907</v>
      </c>
      <c r="N109" s="48"/>
    </row>
    <row r="110" spans="1:14" ht="12.75" customHeight="1">
      <c r="A110" s="97" t="s">
        <v>215</v>
      </c>
      <c r="B110" s="110" t="s">
        <v>216</v>
      </c>
      <c r="C110" s="110">
        <v>47890</v>
      </c>
      <c r="D110" s="110">
        <v>47890</v>
      </c>
      <c r="E110" s="97">
        <v>47890</v>
      </c>
      <c r="F110" s="108">
        <v>0</v>
      </c>
      <c r="G110" s="85">
        <f t="shared" si="31"/>
        <v>0</v>
      </c>
      <c r="H110" s="85"/>
      <c r="I110" s="110">
        <v>0</v>
      </c>
      <c r="J110" s="85">
        <f t="shared" si="36"/>
        <v>47890</v>
      </c>
      <c r="K110" s="110">
        <f t="shared" si="26"/>
        <v>47890</v>
      </c>
      <c r="L110" s="466">
        <f t="shared" si="27"/>
        <v>0</v>
      </c>
      <c r="N110" s="48"/>
    </row>
    <row r="111" spans="1:14" ht="12.75" customHeight="1">
      <c r="A111" s="94" t="s">
        <v>217</v>
      </c>
      <c r="B111" s="147" t="s">
        <v>218</v>
      </c>
      <c r="C111" s="110">
        <v>137050</v>
      </c>
      <c r="D111" s="110">
        <v>137050</v>
      </c>
      <c r="E111" s="97">
        <v>79553</v>
      </c>
      <c r="F111" s="108">
        <v>57.57</v>
      </c>
      <c r="G111" s="85">
        <f t="shared" si="31"/>
        <v>57.57</v>
      </c>
      <c r="H111" s="85">
        <v>57.57</v>
      </c>
      <c r="I111" s="110">
        <v>0</v>
      </c>
      <c r="J111" s="85">
        <f t="shared" si="36"/>
        <v>79495.429999999993</v>
      </c>
      <c r="K111" s="110">
        <f t="shared" si="26"/>
        <v>136992.43</v>
      </c>
      <c r="L111" s="466">
        <f t="shared" si="27"/>
        <v>7.2366849773107242E-2</v>
      </c>
      <c r="N111" s="48"/>
    </row>
    <row r="112" spans="1:14" ht="15" customHeight="1">
      <c r="A112" s="94" t="s">
        <v>219</v>
      </c>
      <c r="B112" s="147" t="s">
        <v>220</v>
      </c>
      <c r="C112" s="110">
        <v>64872</v>
      </c>
      <c r="D112" s="110">
        <v>64872</v>
      </c>
      <c r="E112" s="97">
        <v>31987</v>
      </c>
      <c r="F112" s="108">
        <v>107</v>
      </c>
      <c r="G112" s="85">
        <f t="shared" si="31"/>
        <v>107</v>
      </c>
      <c r="H112" s="85"/>
      <c r="I112" s="110">
        <v>0</v>
      </c>
      <c r="J112" s="85">
        <f t="shared" si="36"/>
        <v>31880</v>
      </c>
      <c r="K112" s="110">
        <f t="shared" si="26"/>
        <v>64765</v>
      </c>
      <c r="L112" s="466">
        <f t="shared" si="27"/>
        <v>0.33451089505111453</v>
      </c>
      <c r="N112" s="48"/>
    </row>
    <row r="113" spans="1:14" ht="15" customHeight="1">
      <c r="A113" s="99" t="s">
        <v>221</v>
      </c>
      <c r="B113" s="145" t="s">
        <v>222</v>
      </c>
      <c r="C113" s="145">
        <f>SUM(C114:C118)</f>
        <v>258848</v>
      </c>
      <c r="D113" s="145">
        <f>SUM(D114:D118)</f>
        <v>258848</v>
      </c>
      <c r="E113" s="106">
        <f>SUM(E114:E118)</f>
        <v>161855</v>
      </c>
      <c r="F113" s="106">
        <f>SUM(F114:F118)</f>
        <v>583.15</v>
      </c>
      <c r="G113" s="107">
        <f t="shared" si="31"/>
        <v>583.15</v>
      </c>
      <c r="H113" s="145">
        <f t="shared" ref="H113" si="39">SUM(H114:H118)</f>
        <v>228.07</v>
      </c>
      <c r="I113" s="145">
        <f t="shared" ref="I113" si="40">SUM(I114:I118)</f>
        <v>0</v>
      </c>
      <c r="J113" s="107">
        <f t="shared" si="36"/>
        <v>161271.85</v>
      </c>
      <c r="K113" s="145">
        <f t="shared" si="26"/>
        <v>258264.85</v>
      </c>
      <c r="L113" s="465">
        <f t="shared" si="27"/>
        <v>0.3602916190417349</v>
      </c>
      <c r="N113" s="48"/>
    </row>
    <row r="114" spans="1:14" ht="15.75" customHeight="1">
      <c r="A114" s="94" t="s">
        <v>223</v>
      </c>
      <c r="B114" s="110" t="s">
        <v>224</v>
      </c>
      <c r="C114" s="110">
        <v>3167</v>
      </c>
      <c r="D114" s="110">
        <v>3167</v>
      </c>
      <c r="E114" s="97">
        <v>3167</v>
      </c>
      <c r="F114" s="108">
        <v>0</v>
      </c>
      <c r="G114" s="85">
        <f t="shared" si="31"/>
        <v>0</v>
      </c>
      <c r="H114" s="85"/>
      <c r="I114" s="110">
        <v>0</v>
      </c>
      <c r="J114" s="85">
        <f t="shared" si="36"/>
        <v>3167</v>
      </c>
      <c r="K114" s="110">
        <f t="shared" si="26"/>
        <v>3167</v>
      </c>
      <c r="L114" s="466" t="s">
        <v>6</v>
      </c>
      <c r="N114" s="48"/>
    </row>
    <row r="115" spans="1:14" ht="14.25" customHeight="1">
      <c r="A115" s="94" t="s">
        <v>225</v>
      </c>
      <c r="B115" s="147" t="s">
        <v>226</v>
      </c>
      <c r="C115" s="110">
        <v>15000</v>
      </c>
      <c r="D115" s="110">
        <v>15000</v>
      </c>
      <c r="E115" s="97">
        <v>13880</v>
      </c>
      <c r="F115" s="108">
        <v>0</v>
      </c>
      <c r="G115" s="85">
        <f t="shared" si="31"/>
        <v>0</v>
      </c>
      <c r="H115" s="85"/>
      <c r="I115" s="110">
        <v>0</v>
      </c>
      <c r="J115" s="85">
        <f t="shared" si="36"/>
        <v>13880</v>
      </c>
      <c r="K115" s="110">
        <f t="shared" si="26"/>
        <v>15000</v>
      </c>
      <c r="L115" s="466">
        <v>0</v>
      </c>
      <c r="N115" s="48"/>
    </row>
    <row r="116" spans="1:14" ht="17.25" customHeight="1">
      <c r="A116" s="94" t="s">
        <v>227</v>
      </c>
      <c r="B116" s="147" t="s">
        <v>228</v>
      </c>
      <c r="C116" s="110">
        <v>91798</v>
      </c>
      <c r="D116" s="110">
        <v>91798</v>
      </c>
      <c r="E116" s="97">
        <v>69785</v>
      </c>
      <c r="F116" s="108">
        <v>331.45</v>
      </c>
      <c r="G116" s="85">
        <f t="shared" si="31"/>
        <v>331.45</v>
      </c>
      <c r="H116" s="85">
        <v>88.83</v>
      </c>
      <c r="I116" s="110">
        <v>0</v>
      </c>
      <c r="J116" s="85">
        <f t="shared" si="36"/>
        <v>69453.55</v>
      </c>
      <c r="K116" s="110">
        <f t="shared" si="26"/>
        <v>91466.55</v>
      </c>
      <c r="L116" s="466">
        <f>+G116*100/E116</f>
        <v>0.47495880203482121</v>
      </c>
      <c r="N116" s="48"/>
    </row>
    <row r="117" spans="1:14" ht="16.5" customHeight="1">
      <c r="A117" s="94" t="s">
        <v>229</v>
      </c>
      <c r="B117" s="147" t="s">
        <v>230</v>
      </c>
      <c r="C117" s="110">
        <v>27414</v>
      </c>
      <c r="D117" s="110">
        <v>27414</v>
      </c>
      <c r="E117" s="97">
        <v>21393</v>
      </c>
      <c r="F117" s="108">
        <v>0</v>
      </c>
      <c r="G117" s="85">
        <f t="shared" si="31"/>
        <v>0</v>
      </c>
      <c r="H117" s="85"/>
      <c r="I117" s="110">
        <v>0</v>
      </c>
      <c r="J117" s="85">
        <f t="shared" si="36"/>
        <v>21393</v>
      </c>
      <c r="K117" s="110">
        <f t="shared" si="26"/>
        <v>27414</v>
      </c>
      <c r="L117" s="466" t="s">
        <v>6</v>
      </c>
      <c r="N117" s="48"/>
    </row>
    <row r="118" spans="1:14" ht="16.5" customHeight="1">
      <c r="A118" s="94" t="s">
        <v>231</v>
      </c>
      <c r="B118" s="147" t="s">
        <v>232</v>
      </c>
      <c r="C118" s="110">
        <v>121469</v>
      </c>
      <c r="D118" s="110">
        <v>121469</v>
      </c>
      <c r="E118" s="146">
        <v>53630</v>
      </c>
      <c r="F118" s="108">
        <v>251.7</v>
      </c>
      <c r="G118" s="85">
        <f t="shared" si="31"/>
        <v>251.7</v>
      </c>
      <c r="H118" s="85">
        <v>139.24</v>
      </c>
      <c r="I118" s="110">
        <v>0</v>
      </c>
      <c r="J118" s="85">
        <f t="shared" si="36"/>
        <v>53378.3</v>
      </c>
      <c r="K118" s="110">
        <f t="shared" si="26"/>
        <v>121217.3</v>
      </c>
      <c r="L118" s="466">
        <f t="shared" ref="L118:L127" si="41">+G118*100/E118</f>
        <v>0.46932686928957673</v>
      </c>
      <c r="N118" s="48"/>
    </row>
    <row r="119" spans="1:14" ht="20.25" customHeight="1">
      <c r="A119" s="99" t="s">
        <v>233</v>
      </c>
      <c r="B119" s="145" t="s">
        <v>234</v>
      </c>
      <c r="C119" s="145">
        <f>SUM(C120:C126)</f>
        <v>277892</v>
      </c>
      <c r="D119" s="145">
        <f>+C119</f>
        <v>277892</v>
      </c>
      <c r="E119" s="106">
        <f>SUM(E120:E126)</f>
        <v>202980</v>
      </c>
      <c r="F119" s="106">
        <f>SUM(F120:F126)</f>
        <v>7812.2400000000007</v>
      </c>
      <c r="G119" s="145">
        <f t="shared" si="31"/>
        <v>7812.2400000000007</v>
      </c>
      <c r="H119" s="106">
        <f t="shared" ref="H119" si="42">SUM(H120:H126)</f>
        <v>122.15999999999998</v>
      </c>
      <c r="I119" s="106">
        <f t="shared" ref="I119" si="43">SUM(I120:I126)</f>
        <v>0</v>
      </c>
      <c r="J119" s="107">
        <f t="shared" si="36"/>
        <v>195167.76</v>
      </c>
      <c r="K119" s="145">
        <f t="shared" si="26"/>
        <v>270079.76</v>
      </c>
      <c r="L119" s="465">
        <f t="shared" si="41"/>
        <v>3.848773278155484</v>
      </c>
      <c r="N119" s="48"/>
    </row>
    <row r="120" spans="1:14" ht="14.25" customHeight="1">
      <c r="A120" s="94" t="s">
        <v>235</v>
      </c>
      <c r="B120" s="147" t="s">
        <v>236</v>
      </c>
      <c r="C120" s="110">
        <v>23493</v>
      </c>
      <c r="D120" s="110">
        <v>23493</v>
      </c>
      <c r="E120" s="146">
        <v>23493</v>
      </c>
      <c r="F120" s="108">
        <v>0</v>
      </c>
      <c r="G120" s="85">
        <f t="shared" si="31"/>
        <v>0</v>
      </c>
      <c r="H120" s="85"/>
      <c r="I120" s="110">
        <v>0</v>
      </c>
      <c r="J120" s="85">
        <f t="shared" si="36"/>
        <v>23493</v>
      </c>
      <c r="K120" s="110">
        <f t="shared" si="26"/>
        <v>23493</v>
      </c>
      <c r="L120" s="466">
        <f t="shared" si="41"/>
        <v>0</v>
      </c>
      <c r="N120" s="48"/>
    </row>
    <row r="121" spans="1:14" ht="16.5" customHeight="1">
      <c r="A121" s="94" t="s">
        <v>237</v>
      </c>
      <c r="B121" s="147" t="s">
        <v>238</v>
      </c>
      <c r="C121" s="110">
        <v>31236</v>
      </c>
      <c r="D121" s="110">
        <v>31236</v>
      </c>
      <c r="E121" s="146">
        <v>24476</v>
      </c>
      <c r="F121" s="108">
        <v>0</v>
      </c>
      <c r="G121" s="85">
        <f t="shared" si="31"/>
        <v>0</v>
      </c>
      <c r="H121" s="85"/>
      <c r="I121" s="110">
        <v>0</v>
      </c>
      <c r="J121" s="85">
        <f t="shared" si="36"/>
        <v>24476</v>
      </c>
      <c r="K121" s="110">
        <f t="shared" si="26"/>
        <v>31236</v>
      </c>
      <c r="L121" s="466">
        <f t="shared" si="41"/>
        <v>0</v>
      </c>
      <c r="N121" s="48"/>
    </row>
    <row r="122" spans="1:14" ht="12.75" customHeight="1">
      <c r="A122" s="94">
        <v>254</v>
      </c>
      <c r="B122" s="147" t="s">
        <v>239</v>
      </c>
      <c r="C122" s="110">
        <v>42838</v>
      </c>
      <c r="D122" s="110">
        <v>42838</v>
      </c>
      <c r="E122" s="110">
        <v>20238</v>
      </c>
      <c r="F122" s="146">
        <v>192.39</v>
      </c>
      <c r="G122" s="85">
        <f t="shared" si="31"/>
        <v>192.39</v>
      </c>
      <c r="H122" s="85">
        <v>74.69</v>
      </c>
      <c r="I122" s="110">
        <v>0</v>
      </c>
      <c r="J122" s="85">
        <f t="shared" si="36"/>
        <v>20045.61</v>
      </c>
      <c r="K122" s="110">
        <f t="shared" si="26"/>
        <v>42645.61</v>
      </c>
      <c r="L122" s="466">
        <f t="shared" si="41"/>
        <v>0.95063741476430474</v>
      </c>
      <c r="N122" s="48"/>
    </row>
    <row r="123" spans="1:14" ht="18" customHeight="1">
      <c r="A123" s="94" t="s">
        <v>240</v>
      </c>
      <c r="B123" s="147" t="s">
        <v>241</v>
      </c>
      <c r="C123" s="110">
        <v>60539</v>
      </c>
      <c r="D123" s="110">
        <v>60539</v>
      </c>
      <c r="E123" s="110">
        <v>60539</v>
      </c>
      <c r="F123" s="97">
        <v>8.24</v>
      </c>
      <c r="G123" s="85">
        <f t="shared" si="31"/>
        <v>8.24</v>
      </c>
      <c r="H123" s="85">
        <v>8.24</v>
      </c>
      <c r="I123" s="110">
        <v>0</v>
      </c>
      <c r="J123" s="85">
        <f t="shared" si="36"/>
        <v>60530.76</v>
      </c>
      <c r="K123" s="110">
        <f t="shared" si="26"/>
        <v>60530.76</v>
      </c>
      <c r="L123" s="466">
        <f t="shared" si="41"/>
        <v>1.3611060638596607E-2</v>
      </c>
      <c r="N123" s="48"/>
    </row>
    <row r="124" spans="1:14" ht="17.25" customHeight="1">
      <c r="A124" s="94" t="s">
        <v>242</v>
      </c>
      <c r="B124" s="147" t="s">
        <v>243</v>
      </c>
      <c r="C124" s="110">
        <v>63786</v>
      </c>
      <c r="D124" s="110">
        <v>63786</v>
      </c>
      <c r="E124" s="110">
        <v>44780</v>
      </c>
      <c r="F124" s="97">
        <v>7423.18</v>
      </c>
      <c r="G124" s="85">
        <f t="shared" si="31"/>
        <v>7423.18</v>
      </c>
      <c r="H124" s="85">
        <v>17.68</v>
      </c>
      <c r="I124" s="110">
        <v>0</v>
      </c>
      <c r="J124" s="85">
        <f t="shared" si="36"/>
        <v>37356.82</v>
      </c>
      <c r="K124" s="110">
        <f t="shared" si="26"/>
        <v>56362.82</v>
      </c>
      <c r="L124" s="466">
        <f t="shared" si="41"/>
        <v>16.576998660116125</v>
      </c>
      <c r="N124" s="48"/>
    </row>
    <row r="125" spans="1:14" ht="17.25" customHeight="1">
      <c r="A125" s="94">
        <v>257</v>
      </c>
      <c r="B125" s="147" t="s">
        <v>244</v>
      </c>
      <c r="C125" s="110">
        <v>50835</v>
      </c>
      <c r="D125" s="110">
        <v>50835</v>
      </c>
      <c r="E125" s="110">
        <v>24289</v>
      </c>
      <c r="F125" s="97">
        <v>0</v>
      </c>
      <c r="G125" s="85">
        <f t="shared" si="31"/>
        <v>0</v>
      </c>
      <c r="H125" s="85"/>
      <c r="I125" s="110">
        <v>0</v>
      </c>
      <c r="J125" s="85">
        <v>0</v>
      </c>
      <c r="K125" s="110">
        <f t="shared" ref="K125:K156" si="44">+D125-G125</f>
        <v>50835</v>
      </c>
      <c r="L125" s="466">
        <f t="shared" si="41"/>
        <v>0</v>
      </c>
      <c r="N125" s="48"/>
    </row>
    <row r="126" spans="1:14" ht="17.25" customHeight="1">
      <c r="A126" s="94" t="s">
        <v>245</v>
      </c>
      <c r="B126" s="147" t="s">
        <v>246</v>
      </c>
      <c r="C126" s="110">
        <v>5165</v>
      </c>
      <c r="D126" s="110">
        <v>5165</v>
      </c>
      <c r="E126" s="110">
        <v>5165</v>
      </c>
      <c r="F126" s="110">
        <v>188.43</v>
      </c>
      <c r="G126" s="85">
        <f t="shared" si="31"/>
        <v>188.43</v>
      </c>
      <c r="H126" s="85">
        <v>21.55</v>
      </c>
      <c r="I126" s="110">
        <v>0</v>
      </c>
      <c r="J126" s="85">
        <f t="shared" ref="J126:J162" si="45">+E126-G126</f>
        <v>4976.57</v>
      </c>
      <c r="K126" s="110">
        <f t="shared" si="44"/>
        <v>4976.57</v>
      </c>
      <c r="L126" s="466">
        <f t="shared" si="41"/>
        <v>3.6482090997095837</v>
      </c>
      <c r="N126" s="48"/>
    </row>
    <row r="127" spans="1:14" ht="15" customHeight="1">
      <c r="A127" s="99" t="s">
        <v>247</v>
      </c>
      <c r="B127" s="145" t="s">
        <v>248</v>
      </c>
      <c r="C127" s="145">
        <f>SUM(C128:C132)</f>
        <v>475695</v>
      </c>
      <c r="D127" s="145">
        <f>SUM(D128:D132)</f>
        <v>475695</v>
      </c>
      <c r="E127" s="111">
        <f>SUM(E128:E132)</f>
        <v>250416</v>
      </c>
      <c r="F127" s="112">
        <f>SUM(F128:F132)</f>
        <v>3223.09</v>
      </c>
      <c r="G127" s="88">
        <f t="shared" ref="G127:G143" si="46">+N127+F127</f>
        <v>3223.09</v>
      </c>
      <c r="H127" s="111">
        <f t="shared" ref="H127" si="47">SUM(H128:H132)</f>
        <v>37.99</v>
      </c>
      <c r="I127" s="111">
        <f t="shared" ref="I127" si="48">SUM(I128:I132)</f>
        <v>0</v>
      </c>
      <c r="J127" s="107">
        <f t="shared" si="45"/>
        <v>247192.91</v>
      </c>
      <c r="K127" s="145">
        <f t="shared" si="44"/>
        <v>472471.91</v>
      </c>
      <c r="L127" s="465">
        <f t="shared" si="41"/>
        <v>1.28709427512619</v>
      </c>
      <c r="N127" s="48"/>
    </row>
    <row r="128" spans="1:14" ht="13.5" customHeight="1">
      <c r="A128" s="94">
        <v>261</v>
      </c>
      <c r="B128" s="110" t="s">
        <v>249</v>
      </c>
      <c r="C128" s="110">
        <v>21865</v>
      </c>
      <c r="D128" s="110">
        <v>21865</v>
      </c>
      <c r="E128" s="113">
        <v>14214</v>
      </c>
      <c r="F128" s="114">
        <v>0</v>
      </c>
      <c r="G128" s="85">
        <f t="shared" si="46"/>
        <v>0</v>
      </c>
      <c r="H128" s="85"/>
      <c r="I128" s="110">
        <v>0</v>
      </c>
      <c r="J128" s="85">
        <f t="shared" si="45"/>
        <v>14214</v>
      </c>
      <c r="K128" s="110">
        <f t="shared" si="44"/>
        <v>21865</v>
      </c>
      <c r="L128" s="466"/>
      <c r="N128" s="48"/>
    </row>
    <row r="129" spans="1:14" ht="13.5" customHeight="1">
      <c r="A129" s="94" t="s">
        <v>250</v>
      </c>
      <c r="B129" s="147" t="s">
        <v>502</v>
      </c>
      <c r="C129" s="110">
        <v>169987</v>
      </c>
      <c r="D129" s="110">
        <v>169987</v>
      </c>
      <c r="E129" s="113">
        <v>48917</v>
      </c>
      <c r="F129" s="114">
        <v>31.46</v>
      </c>
      <c r="G129" s="85">
        <f t="shared" si="46"/>
        <v>31.46</v>
      </c>
      <c r="H129" s="85"/>
      <c r="I129" s="110">
        <v>0</v>
      </c>
      <c r="J129" s="85">
        <f t="shared" si="45"/>
        <v>48885.54</v>
      </c>
      <c r="K129" s="110">
        <f t="shared" si="44"/>
        <v>169955.54</v>
      </c>
      <c r="L129" s="466">
        <f t="shared" ref="L129:L138" si="49">+G129*100/E129</f>
        <v>6.4313020013492248E-2</v>
      </c>
      <c r="N129" s="48"/>
    </row>
    <row r="130" spans="1:14" ht="17.25" customHeight="1">
      <c r="A130" s="94">
        <v>263</v>
      </c>
      <c r="B130" s="147" t="s">
        <v>358</v>
      </c>
      <c r="C130" s="110">
        <v>28862</v>
      </c>
      <c r="D130" s="110">
        <v>28862</v>
      </c>
      <c r="E130" s="113">
        <v>15562</v>
      </c>
      <c r="F130" s="114">
        <v>416.77</v>
      </c>
      <c r="G130" s="85">
        <f t="shared" si="46"/>
        <v>416.77</v>
      </c>
      <c r="H130" s="85"/>
      <c r="I130" s="110">
        <v>0</v>
      </c>
      <c r="J130" s="85">
        <f t="shared" si="45"/>
        <v>15145.23</v>
      </c>
      <c r="K130" s="110">
        <f t="shared" si="44"/>
        <v>28445.23</v>
      </c>
      <c r="L130" s="466">
        <f t="shared" si="49"/>
        <v>2.6781262048579872</v>
      </c>
      <c r="N130" s="48"/>
    </row>
    <row r="131" spans="1:14" ht="17.25" customHeight="1">
      <c r="A131" s="94" t="s">
        <v>251</v>
      </c>
      <c r="B131" s="149" t="s">
        <v>387</v>
      </c>
      <c r="C131" s="150">
        <v>156163</v>
      </c>
      <c r="D131" s="150">
        <v>156163</v>
      </c>
      <c r="E131" s="113">
        <v>116032</v>
      </c>
      <c r="F131" s="114">
        <v>1196.1600000000001</v>
      </c>
      <c r="G131" s="85">
        <f t="shared" si="46"/>
        <v>1196.1600000000001</v>
      </c>
      <c r="H131" s="85"/>
      <c r="I131" s="110">
        <v>0</v>
      </c>
      <c r="J131" s="85">
        <f t="shared" si="45"/>
        <v>114835.84</v>
      </c>
      <c r="K131" s="110">
        <f t="shared" si="44"/>
        <v>154966.84</v>
      </c>
      <c r="L131" s="466">
        <f t="shared" si="49"/>
        <v>1.030888030888031</v>
      </c>
      <c r="N131" s="48"/>
    </row>
    <row r="132" spans="1:14" ht="15.75" customHeight="1">
      <c r="A132" s="94" t="s">
        <v>252</v>
      </c>
      <c r="B132" s="149" t="s">
        <v>253</v>
      </c>
      <c r="C132" s="150">
        <v>98818</v>
      </c>
      <c r="D132" s="150">
        <v>98818</v>
      </c>
      <c r="E132" s="113">
        <v>55691</v>
      </c>
      <c r="F132" s="114">
        <v>1578.7</v>
      </c>
      <c r="G132" s="85">
        <f t="shared" si="46"/>
        <v>1578.7</v>
      </c>
      <c r="H132" s="85">
        <v>37.99</v>
      </c>
      <c r="I132" s="110">
        <v>0</v>
      </c>
      <c r="J132" s="85">
        <f t="shared" si="45"/>
        <v>54112.3</v>
      </c>
      <c r="K132" s="110">
        <f t="shared" si="44"/>
        <v>97239.3</v>
      </c>
      <c r="L132" s="466">
        <f t="shared" si="49"/>
        <v>2.834748882225135</v>
      </c>
      <c r="N132" s="48"/>
    </row>
    <row r="133" spans="1:14" ht="20.25" customHeight="1">
      <c r="A133" s="99" t="s">
        <v>254</v>
      </c>
      <c r="B133" s="151" t="s">
        <v>255</v>
      </c>
      <c r="C133" s="152">
        <f>SUM(C134:C141)</f>
        <v>829295</v>
      </c>
      <c r="D133" s="148">
        <f>+C133</f>
        <v>829295</v>
      </c>
      <c r="E133" s="111">
        <f>SUM(E134:E141)</f>
        <v>516652</v>
      </c>
      <c r="F133" s="111">
        <f>SUM(F134:F141)</f>
        <v>55755.16</v>
      </c>
      <c r="G133" s="107">
        <f t="shared" si="46"/>
        <v>55755.16</v>
      </c>
      <c r="H133" s="111">
        <f>SUM(H134:H141)</f>
        <v>463.35</v>
      </c>
      <c r="I133" s="148">
        <v>0</v>
      </c>
      <c r="J133" s="107">
        <f t="shared" si="45"/>
        <v>460896.83999999997</v>
      </c>
      <c r="K133" s="145">
        <f t="shared" si="44"/>
        <v>773539.83999999997</v>
      </c>
      <c r="L133" s="465">
        <f t="shared" si="49"/>
        <v>10.791627633300559</v>
      </c>
      <c r="M133" s="7"/>
      <c r="N133" s="48"/>
    </row>
    <row r="134" spans="1:14" ht="12.75" customHeight="1">
      <c r="A134" s="94" t="s">
        <v>256</v>
      </c>
      <c r="B134" s="149" t="s">
        <v>257</v>
      </c>
      <c r="C134" s="150">
        <v>24712</v>
      </c>
      <c r="D134" s="150">
        <v>24712</v>
      </c>
      <c r="E134" s="113">
        <v>22812</v>
      </c>
      <c r="F134" s="114">
        <v>0</v>
      </c>
      <c r="G134" s="85">
        <f t="shared" si="46"/>
        <v>0</v>
      </c>
      <c r="H134" s="85"/>
      <c r="I134" s="110">
        <v>0</v>
      </c>
      <c r="J134" s="85">
        <f t="shared" si="45"/>
        <v>22812</v>
      </c>
      <c r="K134" s="110">
        <f t="shared" si="44"/>
        <v>24712</v>
      </c>
      <c r="L134" s="466">
        <f t="shared" si="49"/>
        <v>0</v>
      </c>
      <c r="N134" s="48"/>
    </row>
    <row r="135" spans="1:14" ht="16.5" customHeight="1">
      <c r="A135" s="94" t="s">
        <v>258</v>
      </c>
      <c r="B135" s="147" t="s">
        <v>259</v>
      </c>
      <c r="C135" s="110">
        <v>88222</v>
      </c>
      <c r="D135" s="110">
        <v>88222</v>
      </c>
      <c r="E135" s="113">
        <v>40211</v>
      </c>
      <c r="F135" s="114">
        <v>440.65</v>
      </c>
      <c r="G135" s="85">
        <f t="shared" si="46"/>
        <v>440.65</v>
      </c>
      <c r="H135" s="85">
        <v>58.85</v>
      </c>
      <c r="I135" s="110">
        <v>0</v>
      </c>
      <c r="J135" s="85">
        <f t="shared" si="45"/>
        <v>39770.35</v>
      </c>
      <c r="K135" s="110">
        <f t="shared" si="44"/>
        <v>87781.35</v>
      </c>
      <c r="L135" s="466">
        <f t="shared" si="49"/>
        <v>1.0958444206809081</v>
      </c>
      <c r="N135" s="48"/>
    </row>
    <row r="136" spans="1:14" ht="13.5" customHeight="1">
      <c r="A136" s="94" t="s">
        <v>260</v>
      </c>
      <c r="B136" s="147" t="s">
        <v>261</v>
      </c>
      <c r="C136" s="110">
        <v>79068</v>
      </c>
      <c r="D136" s="110">
        <v>79068</v>
      </c>
      <c r="E136" s="113">
        <v>23300</v>
      </c>
      <c r="F136" s="114">
        <v>95.54</v>
      </c>
      <c r="G136" s="85">
        <f t="shared" si="46"/>
        <v>95.54</v>
      </c>
      <c r="H136" s="85">
        <v>2.68</v>
      </c>
      <c r="I136" s="110">
        <v>0</v>
      </c>
      <c r="J136" s="85">
        <f t="shared" si="45"/>
        <v>23204.46</v>
      </c>
      <c r="K136" s="110">
        <f t="shared" si="44"/>
        <v>78972.460000000006</v>
      </c>
      <c r="L136" s="466">
        <f t="shared" si="49"/>
        <v>0.41004291845493562</v>
      </c>
      <c r="N136" s="48"/>
    </row>
    <row r="137" spans="1:14" ht="16.5" customHeight="1">
      <c r="A137" s="94" t="s">
        <v>262</v>
      </c>
      <c r="B137" s="147" t="s">
        <v>263</v>
      </c>
      <c r="C137" s="110">
        <v>180216</v>
      </c>
      <c r="D137" s="110">
        <v>180216</v>
      </c>
      <c r="E137" s="113">
        <v>125241</v>
      </c>
      <c r="F137" s="114">
        <v>47.49</v>
      </c>
      <c r="G137" s="85">
        <f t="shared" si="46"/>
        <v>47.49</v>
      </c>
      <c r="H137" s="85"/>
      <c r="I137" s="110">
        <v>0</v>
      </c>
      <c r="J137" s="85">
        <f t="shared" si="45"/>
        <v>125193.51</v>
      </c>
      <c r="K137" s="110">
        <f t="shared" si="44"/>
        <v>180168.51</v>
      </c>
      <c r="L137" s="466">
        <f t="shared" si="49"/>
        <v>3.7918892375500036E-2</v>
      </c>
      <c r="N137" s="48"/>
    </row>
    <row r="138" spans="1:14" ht="12.75" customHeight="1">
      <c r="A138" s="94" t="s">
        <v>264</v>
      </c>
      <c r="B138" s="147" t="s">
        <v>265</v>
      </c>
      <c r="C138" s="110">
        <v>320615</v>
      </c>
      <c r="D138" s="110">
        <v>320615</v>
      </c>
      <c r="E138" s="113">
        <v>208298</v>
      </c>
      <c r="F138" s="114">
        <v>55079</v>
      </c>
      <c r="G138" s="85">
        <f t="shared" si="46"/>
        <v>55079</v>
      </c>
      <c r="H138" s="85">
        <v>370.54</v>
      </c>
      <c r="I138" s="110">
        <v>0</v>
      </c>
      <c r="J138" s="85">
        <f t="shared" si="45"/>
        <v>153219</v>
      </c>
      <c r="K138" s="110">
        <f t="shared" si="44"/>
        <v>265536</v>
      </c>
      <c r="L138" s="466">
        <f t="shared" si="49"/>
        <v>26.442404631825557</v>
      </c>
      <c r="N138" s="48"/>
    </row>
    <row r="139" spans="1:14" ht="15" customHeight="1">
      <c r="A139" s="94">
        <v>277</v>
      </c>
      <c r="B139" s="147" t="s">
        <v>266</v>
      </c>
      <c r="C139" s="110">
        <v>13843</v>
      </c>
      <c r="D139" s="110">
        <v>13843</v>
      </c>
      <c r="E139" s="113">
        <v>13843</v>
      </c>
      <c r="F139" s="114">
        <v>0</v>
      </c>
      <c r="G139" s="85">
        <f t="shared" si="46"/>
        <v>0</v>
      </c>
      <c r="H139" s="85"/>
      <c r="I139" s="110">
        <v>0</v>
      </c>
      <c r="J139" s="85">
        <f t="shared" si="45"/>
        <v>13843</v>
      </c>
      <c r="K139" s="110">
        <f t="shared" si="44"/>
        <v>13843</v>
      </c>
      <c r="L139" s="466"/>
      <c r="N139" s="48"/>
    </row>
    <row r="140" spans="1:14" ht="15" customHeight="1">
      <c r="A140" s="94">
        <v>278</v>
      </c>
      <c r="B140" s="147" t="s">
        <v>267</v>
      </c>
      <c r="C140" s="110">
        <v>14300</v>
      </c>
      <c r="D140" s="110">
        <v>14300</v>
      </c>
      <c r="E140" s="113">
        <v>14300</v>
      </c>
      <c r="F140" s="114"/>
      <c r="G140" s="85">
        <f t="shared" si="46"/>
        <v>0</v>
      </c>
      <c r="H140" s="85"/>
      <c r="I140" s="110">
        <v>0</v>
      </c>
      <c r="J140" s="85">
        <f t="shared" si="45"/>
        <v>14300</v>
      </c>
      <c r="K140" s="110">
        <f t="shared" si="44"/>
        <v>14300</v>
      </c>
      <c r="L140" s="466"/>
      <c r="N140" s="48"/>
    </row>
    <row r="141" spans="1:14" ht="13.5" customHeight="1">
      <c r="A141" s="94" t="s">
        <v>268</v>
      </c>
      <c r="B141" s="147" t="s">
        <v>269</v>
      </c>
      <c r="C141" s="110">
        <v>108319</v>
      </c>
      <c r="D141" s="110">
        <v>108319</v>
      </c>
      <c r="E141" s="113">
        <v>68647</v>
      </c>
      <c r="F141" s="114">
        <v>92.48</v>
      </c>
      <c r="G141" s="85">
        <f t="shared" si="46"/>
        <v>92.48</v>
      </c>
      <c r="H141" s="85">
        <v>31.28</v>
      </c>
      <c r="I141" s="110">
        <v>0</v>
      </c>
      <c r="J141" s="85">
        <f t="shared" si="45"/>
        <v>68554.52</v>
      </c>
      <c r="K141" s="110">
        <f t="shared" si="44"/>
        <v>108226.52</v>
      </c>
      <c r="L141" s="466">
        <f t="shared" ref="L141:L152" si="50">+G141*100/E141</f>
        <v>0.13471819598817136</v>
      </c>
      <c r="N141" s="48"/>
    </row>
    <row r="142" spans="1:14" ht="16.5" customHeight="1">
      <c r="A142" s="99" t="s">
        <v>270</v>
      </c>
      <c r="B142" s="145" t="s">
        <v>271</v>
      </c>
      <c r="C142" s="145">
        <v>208309</v>
      </c>
      <c r="D142" s="148">
        <f>+C142</f>
        <v>208309</v>
      </c>
      <c r="E142" s="115">
        <v>182413</v>
      </c>
      <c r="F142" s="111">
        <v>1074</v>
      </c>
      <c r="G142" s="88">
        <f t="shared" si="46"/>
        <v>1074</v>
      </c>
      <c r="H142" s="107">
        <v>970.31</v>
      </c>
      <c r="I142" s="145">
        <v>0</v>
      </c>
      <c r="J142" s="107">
        <f t="shared" si="45"/>
        <v>181339</v>
      </c>
      <c r="K142" s="145">
        <f t="shared" si="44"/>
        <v>207235</v>
      </c>
      <c r="L142" s="465">
        <f t="shared" si="50"/>
        <v>0.58877382642684462</v>
      </c>
      <c r="N142" s="48"/>
    </row>
    <row r="143" spans="1:14" ht="14.25" hidden="1" customHeight="1">
      <c r="A143" s="93">
        <v>290</v>
      </c>
      <c r="B143" s="116" t="s">
        <v>272</v>
      </c>
      <c r="C143" s="116">
        <f>SUM(C144:C151)</f>
        <v>0</v>
      </c>
      <c r="D143" s="116">
        <f>+C143</f>
        <v>0</v>
      </c>
      <c r="E143" s="116">
        <f>SUM(E144:E152)</f>
        <v>0</v>
      </c>
      <c r="F143" s="116">
        <f>SUM(F144:F152)</f>
        <v>0</v>
      </c>
      <c r="G143" s="88">
        <f t="shared" si="46"/>
        <v>0</v>
      </c>
      <c r="H143" s="107"/>
      <c r="I143" s="116">
        <f>SUM(I144:I152)</f>
        <v>0</v>
      </c>
      <c r="J143" s="88">
        <f t="shared" si="45"/>
        <v>0</v>
      </c>
      <c r="K143" s="116">
        <f t="shared" si="44"/>
        <v>0</v>
      </c>
      <c r="L143" s="465" t="e">
        <f t="shared" si="50"/>
        <v>#DIV/0!</v>
      </c>
      <c r="N143" s="48"/>
    </row>
    <row r="144" spans="1:14" ht="16.5" hidden="1" customHeight="1">
      <c r="A144" s="94">
        <v>291</v>
      </c>
      <c r="B144" s="117" t="s">
        <v>273</v>
      </c>
      <c r="C144" s="116"/>
      <c r="D144" s="118"/>
      <c r="E144" s="118"/>
      <c r="F144" s="118"/>
      <c r="G144" s="118"/>
      <c r="H144" s="85"/>
      <c r="I144" s="118"/>
      <c r="J144" s="85">
        <f t="shared" si="45"/>
        <v>0</v>
      </c>
      <c r="K144" s="118">
        <f t="shared" si="44"/>
        <v>0</v>
      </c>
      <c r="L144" s="466" t="e">
        <f t="shared" si="50"/>
        <v>#DIV/0!</v>
      </c>
      <c r="N144" s="48"/>
    </row>
    <row r="145" spans="1:14" ht="18.75" hidden="1" customHeight="1">
      <c r="A145" s="95">
        <v>292</v>
      </c>
      <c r="B145" s="117" t="s">
        <v>369</v>
      </c>
      <c r="C145" s="119"/>
      <c r="D145" s="118"/>
      <c r="E145" s="118"/>
      <c r="F145" s="118"/>
      <c r="G145" s="118"/>
      <c r="H145" s="85"/>
      <c r="I145" s="118"/>
      <c r="J145" s="85">
        <f t="shared" si="45"/>
        <v>0</v>
      </c>
      <c r="K145" s="118">
        <f t="shared" si="44"/>
        <v>0</v>
      </c>
      <c r="L145" s="466" t="e">
        <f t="shared" si="50"/>
        <v>#DIV/0!</v>
      </c>
      <c r="N145" s="48"/>
    </row>
    <row r="146" spans="1:14" ht="21" hidden="1" customHeight="1">
      <c r="A146" s="94">
        <v>293</v>
      </c>
      <c r="B146" s="117" t="s">
        <v>274</v>
      </c>
      <c r="C146" s="118"/>
      <c r="D146" s="118"/>
      <c r="E146" s="118"/>
      <c r="F146" s="118"/>
      <c r="G146" s="118"/>
      <c r="H146" s="85"/>
      <c r="I146" s="118"/>
      <c r="J146" s="85">
        <f t="shared" si="45"/>
        <v>0</v>
      </c>
      <c r="K146" s="118">
        <f t="shared" si="44"/>
        <v>0</v>
      </c>
      <c r="L146" s="466" t="e">
        <f t="shared" si="50"/>
        <v>#DIV/0!</v>
      </c>
      <c r="N146" s="48"/>
    </row>
    <row r="147" spans="1:14" ht="21" hidden="1" customHeight="1">
      <c r="A147" s="94">
        <v>294</v>
      </c>
      <c r="B147" s="117" t="s">
        <v>425</v>
      </c>
      <c r="C147" s="118"/>
      <c r="D147" s="118"/>
      <c r="E147" s="118"/>
      <c r="F147" s="118"/>
      <c r="G147" s="118"/>
      <c r="H147" s="85"/>
      <c r="I147" s="118"/>
      <c r="J147" s="85">
        <f t="shared" si="45"/>
        <v>0</v>
      </c>
      <c r="K147" s="118">
        <f t="shared" si="44"/>
        <v>0</v>
      </c>
      <c r="L147" s="466" t="e">
        <f t="shared" si="50"/>
        <v>#DIV/0!</v>
      </c>
      <c r="N147" s="48"/>
    </row>
    <row r="148" spans="1:14" ht="19.5" hidden="1" customHeight="1">
      <c r="A148" s="94">
        <v>295</v>
      </c>
      <c r="B148" s="118" t="s">
        <v>383</v>
      </c>
      <c r="C148" s="116"/>
      <c r="D148" s="118"/>
      <c r="E148" s="118"/>
      <c r="F148" s="118"/>
      <c r="G148" s="118"/>
      <c r="H148" s="85"/>
      <c r="I148" s="118"/>
      <c r="J148" s="85">
        <f t="shared" si="45"/>
        <v>0</v>
      </c>
      <c r="K148" s="118">
        <f t="shared" si="44"/>
        <v>0</v>
      </c>
      <c r="L148" s="466" t="e">
        <f t="shared" si="50"/>
        <v>#DIV/0!</v>
      </c>
      <c r="N148" s="48"/>
    </row>
    <row r="149" spans="1:14" ht="17.25" hidden="1" customHeight="1">
      <c r="A149" s="94">
        <v>296</v>
      </c>
      <c r="B149" s="117" t="s">
        <v>372</v>
      </c>
      <c r="C149" s="118"/>
      <c r="D149" s="118"/>
      <c r="E149" s="118"/>
      <c r="F149" s="118"/>
      <c r="G149" s="118"/>
      <c r="H149" s="85"/>
      <c r="I149" s="118"/>
      <c r="J149" s="85">
        <f t="shared" si="45"/>
        <v>0</v>
      </c>
      <c r="K149" s="118">
        <f t="shared" si="44"/>
        <v>0</v>
      </c>
      <c r="L149" s="466" t="e">
        <f t="shared" si="50"/>
        <v>#DIV/0!</v>
      </c>
      <c r="N149" s="48"/>
    </row>
    <row r="150" spans="1:14" ht="16.5" hidden="1" customHeight="1">
      <c r="A150" s="94">
        <v>297</v>
      </c>
      <c r="B150" s="118" t="s">
        <v>275</v>
      </c>
      <c r="C150" s="116"/>
      <c r="D150" s="118"/>
      <c r="E150" s="118"/>
      <c r="F150" s="118"/>
      <c r="G150" s="120"/>
      <c r="H150" s="85"/>
      <c r="I150" s="118"/>
      <c r="J150" s="85">
        <f t="shared" si="45"/>
        <v>0</v>
      </c>
      <c r="K150" s="118">
        <f t="shared" si="44"/>
        <v>0</v>
      </c>
      <c r="L150" s="466" t="e">
        <f t="shared" si="50"/>
        <v>#DIV/0!</v>
      </c>
      <c r="N150" s="48"/>
    </row>
    <row r="151" spans="1:14" ht="14.25" hidden="1" customHeight="1">
      <c r="A151" s="94">
        <v>298</v>
      </c>
      <c r="B151" s="118" t="s">
        <v>276</v>
      </c>
      <c r="C151" s="116"/>
      <c r="D151" s="118"/>
      <c r="E151" s="118"/>
      <c r="F151" s="118"/>
      <c r="G151" s="118"/>
      <c r="H151" s="85"/>
      <c r="I151" s="118"/>
      <c r="J151" s="85">
        <f t="shared" si="45"/>
        <v>0</v>
      </c>
      <c r="K151" s="118">
        <f t="shared" si="44"/>
        <v>0</v>
      </c>
      <c r="L151" s="466" t="e">
        <f t="shared" si="50"/>
        <v>#DIV/0!</v>
      </c>
      <c r="N151" s="48"/>
    </row>
    <row r="152" spans="1:14" ht="17.25" hidden="1" customHeight="1">
      <c r="A152" s="94">
        <v>299</v>
      </c>
      <c r="B152" s="118" t="s">
        <v>350</v>
      </c>
      <c r="C152" s="116"/>
      <c r="D152" s="118"/>
      <c r="E152" s="118">
        <v>0</v>
      </c>
      <c r="F152" s="118">
        <v>0</v>
      </c>
      <c r="G152" s="118">
        <f>+N152+F152</f>
        <v>0</v>
      </c>
      <c r="H152" s="85"/>
      <c r="I152" s="118">
        <v>0</v>
      </c>
      <c r="J152" s="85">
        <f t="shared" si="45"/>
        <v>0</v>
      </c>
      <c r="K152" s="118">
        <f t="shared" si="44"/>
        <v>0</v>
      </c>
      <c r="L152" s="466" t="e">
        <f t="shared" si="50"/>
        <v>#DIV/0!</v>
      </c>
      <c r="N152" s="48"/>
    </row>
    <row r="153" spans="1:14" ht="0.6" customHeight="1" thickBot="1">
      <c r="A153" s="137" t="s">
        <v>277</v>
      </c>
      <c r="B153" s="138" t="s">
        <v>278</v>
      </c>
      <c r="C153" s="139">
        <f>+C154+C164+C172+C173+C174+C168+C169+C171</f>
        <v>0</v>
      </c>
      <c r="D153" s="139">
        <f>SUM(C153:C153)</f>
        <v>0</v>
      </c>
      <c r="E153" s="139">
        <f>E154+E164+E168+E169+E171+E173+E172+E174+E175</f>
        <v>0</v>
      </c>
      <c r="F153" s="139">
        <f>F154+F164+F168+F169+F171+F172+F173+F174+F175</f>
        <v>0</v>
      </c>
      <c r="G153" s="139">
        <f>N153+F153</f>
        <v>0</v>
      </c>
      <c r="H153" s="496"/>
      <c r="I153" s="139">
        <f>I154+I164+I168+I169+I172+I173+I174+I175</f>
        <v>0</v>
      </c>
      <c r="J153" s="140">
        <f t="shared" si="45"/>
        <v>0</v>
      </c>
      <c r="K153" s="139">
        <f t="shared" si="44"/>
        <v>0</v>
      </c>
      <c r="L153" s="468" t="s">
        <v>6</v>
      </c>
      <c r="N153" s="48"/>
    </row>
    <row r="154" spans="1:14" ht="18" hidden="1" customHeight="1" thickBot="1">
      <c r="A154" s="93">
        <v>300</v>
      </c>
      <c r="B154" s="121" t="s">
        <v>279</v>
      </c>
      <c r="C154" s="116">
        <f>SUM(C155:C161)</f>
        <v>0</v>
      </c>
      <c r="D154" s="116" t="e">
        <f>+C154+#REF!</f>
        <v>#REF!</v>
      </c>
      <c r="E154" s="116">
        <f>SUM(E155:E162)</f>
        <v>0</v>
      </c>
      <c r="F154" s="116"/>
      <c r="G154" s="116">
        <f t="shared" ref="G154:G162" si="51">+N154+F154</f>
        <v>0</v>
      </c>
      <c r="H154" s="88"/>
      <c r="I154" s="116"/>
      <c r="J154" s="88">
        <f t="shared" si="45"/>
        <v>0</v>
      </c>
      <c r="K154" s="116" t="e">
        <f t="shared" si="44"/>
        <v>#REF!</v>
      </c>
      <c r="L154" s="469"/>
      <c r="N154" s="48"/>
    </row>
    <row r="155" spans="1:14" ht="16.899999999999999" hidden="1" customHeight="1" thickBot="1">
      <c r="A155" s="94">
        <v>301</v>
      </c>
      <c r="B155" s="117" t="s">
        <v>436</v>
      </c>
      <c r="C155" s="118"/>
      <c r="D155" s="118"/>
      <c r="E155" s="118"/>
      <c r="F155" s="118"/>
      <c r="G155" s="118">
        <f t="shared" si="51"/>
        <v>0</v>
      </c>
      <c r="H155" s="85"/>
      <c r="I155" s="118"/>
      <c r="J155" s="85">
        <f t="shared" si="45"/>
        <v>0</v>
      </c>
      <c r="K155" s="118">
        <f t="shared" si="44"/>
        <v>0</v>
      </c>
      <c r="L155" s="469"/>
      <c r="N155" s="48"/>
    </row>
    <row r="156" spans="1:14" ht="16.899999999999999" hidden="1" customHeight="1" thickBot="1">
      <c r="A156" s="94">
        <v>302</v>
      </c>
      <c r="B156" s="117" t="s">
        <v>466</v>
      </c>
      <c r="C156" s="118"/>
      <c r="D156" s="118"/>
      <c r="E156" s="118"/>
      <c r="F156" s="118"/>
      <c r="G156" s="118">
        <f t="shared" si="51"/>
        <v>0</v>
      </c>
      <c r="H156" s="85"/>
      <c r="I156" s="118"/>
      <c r="J156" s="85">
        <f t="shared" si="45"/>
        <v>0</v>
      </c>
      <c r="K156" s="118">
        <f t="shared" si="44"/>
        <v>0</v>
      </c>
      <c r="L156" s="469"/>
      <c r="N156" s="48"/>
    </row>
    <row r="157" spans="1:14" ht="16.899999999999999" hidden="1" customHeight="1" thickBot="1">
      <c r="A157" s="94">
        <v>303</v>
      </c>
      <c r="B157" s="117" t="s">
        <v>435</v>
      </c>
      <c r="C157" s="118"/>
      <c r="D157" s="118"/>
      <c r="E157" s="118"/>
      <c r="F157" s="118"/>
      <c r="G157" s="118">
        <f t="shared" si="51"/>
        <v>0</v>
      </c>
      <c r="H157" s="85"/>
      <c r="I157" s="118"/>
      <c r="J157" s="85">
        <f t="shared" si="45"/>
        <v>0</v>
      </c>
      <c r="K157" s="118">
        <f t="shared" ref="K157:K162" si="52">+D157-G157</f>
        <v>0</v>
      </c>
      <c r="L157" s="469"/>
      <c r="N157" s="48"/>
    </row>
    <row r="158" spans="1:14" ht="12.6" hidden="1" customHeight="1" thickBot="1">
      <c r="A158" s="94">
        <v>304</v>
      </c>
      <c r="B158" s="117" t="s">
        <v>426</v>
      </c>
      <c r="C158" s="118"/>
      <c r="D158" s="118"/>
      <c r="E158" s="118"/>
      <c r="F158" s="118"/>
      <c r="G158" s="118">
        <f t="shared" si="51"/>
        <v>0</v>
      </c>
      <c r="H158" s="85"/>
      <c r="I158" s="118"/>
      <c r="J158" s="85">
        <f t="shared" si="45"/>
        <v>0</v>
      </c>
      <c r="K158" s="118">
        <f t="shared" si="52"/>
        <v>0</v>
      </c>
      <c r="L158" s="469"/>
      <c r="N158" s="48"/>
    </row>
    <row r="159" spans="1:14" ht="0.6" hidden="1" customHeight="1" thickBot="1">
      <c r="A159" s="94">
        <v>305</v>
      </c>
      <c r="B159" s="117" t="s">
        <v>359</v>
      </c>
      <c r="C159" s="118">
        <v>0</v>
      </c>
      <c r="D159" s="118"/>
      <c r="E159" s="118"/>
      <c r="F159" s="118"/>
      <c r="G159" s="118">
        <f t="shared" si="51"/>
        <v>0</v>
      </c>
      <c r="H159" s="85"/>
      <c r="I159" s="118"/>
      <c r="J159" s="85">
        <f t="shared" si="45"/>
        <v>0</v>
      </c>
      <c r="K159" s="118">
        <f t="shared" si="52"/>
        <v>0</v>
      </c>
      <c r="L159" s="469"/>
      <c r="N159" s="48"/>
    </row>
    <row r="160" spans="1:14" ht="15" hidden="1" customHeight="1" thickBot="1">
      <c r="A160" s="94">
        <v>307</v>
      </c>
      <c r="B160" s="117" t="s">
        <v>408</v>
      </c>
      <c r="C160" s="118"/>
      <c r="D160" s="118"/>
      <c r="E160" s="118"/>
      <c r="F160" s="118"/>
      <c r="G160" s="118">
        <f t="shared" si="51"/>
        <v>0</v>
      </c>
      <c r="H160" s="85"/>
      <c r="I160" s="118"/>
      <c r="J160" s="85">
        <f t="shared" si="45"/>
        <v>0</v>
      </c>
      <c r="K160" s="118">
        <f t="shared" si="52"/>
        <v>0</v>
      </c>
      <c r="L160" s="469"/>
      <c r="N160" s="48"/>
    </row>
    <row r="161" spans="1:14" ht="15" hidden="1" customHeight="1" thickBot="1">
      <c r="A161" s="94">
        <v>308</v>
      </c>
      <c r="B161" s="117" t="s">
        <v>344</v>
      </c>
      <c r="C161" s="118"/>
      <c r="D161" s="118"/>
      <c r="E161" s="118"/>
      <c r="F161" s="118"/>
      <c r="G161" s="118">
        <f t="shared" si="51"/>
        <v>0</v>
      </c>
      <c r="H161" s="85"/>
      <c r="I161" s="118"/>
      <c r="J161" s="85">
        <f t="shared" si="45"/>
        <v>0</v>
      </c>
      <c r="K161" s="118">
        <f t="shared" si="52"/>
        <v>0</v>
      </c>
      <c r="L161" s="469"/>
      <c r="N161" s="48"/>
    </row>
    <row r="162" spans="1:14" ht="14.45" hidden="1" customHeight="1" thickBot="1">
      <c r="A162" s="94">
        <v>309</v>
      </c>
      <c r="B162" s="117" t="s">
        <v>284</v>
      </c>
      <c r="C162" s="118"/>
      <c r="D162" s="118"/>
      <c r="E162" s="118"/>
      <c r="F162" s="118"/>
      <c r="G162" s="118">
        <f t="shared" si="51"/>
        <v>0</v>
      </c>
      <c r="H162" s="85"/>
      <c r="I162" s="118"/>
      <c r="J162" s="85">
        <f t="shared" si="45"/>
        <v>0</v>
      </c>
      <c r="K162" s="118">
        <f t="shared" si="52"/>
        <v>0</v>
      </c>
      <c r="L162" s="469"/>
      <c r="N162" s="48"/>
    </row>
    <row r="163" spans="1:14" ht="0.6" hidden="1" customHeight="1" thickBot="1">
      <c r="A163" s="94"/>
      <c r="B163" s="117"/>
      <c r="C163" s="118"/>
      <c r="D163" s="118"/>
      <c r="E163" s="118"/>
      <c r="F163" s="118"/>
      <c r="G163" s="118"/>
      <c r="H163" s="85"/>
      <c r="I163" s="118"/>
      <c r="J163" s="85"/>
      <c r="K163" s="118"/>
      <c r="L163" s="469"/>
      <c r="N163" s="48"/>
    </row>
    <row r="164" spans="1:14" ht="12.6" hidden="1" customHeight="1" thickBot="1">
      <c r="A164" s="93">
        <v>310</v>
      </c>
      <c r="B164" s="121" t="s">
        <v>280</v>
      </c>
      <c r="C164" s="116">
        <f>+C165+C166+C167</f>
        <v>0</v>
      </c>
      <c r="D164" s="116"/>
      <c r="E164" s="116"/>
      <c r="F164" s="116"/>
      <c r="G164" s="116">
        <f t="shared" ref="G164:G174" si="53">+N164+F164</f>
        <v>0</v>
      </c>
      <c r="H164" s="85"/>
      <c r="I164" s="116"/>
      <c r="J164" s="85">
        <f t="shared" ref="J164:J197" si="54">+E164-G164</f>
        <v>0</v>
      </c>
      <c r="K164" s="116">
        <f t="shared" ref="K164:K197" si="55">+D164-G164</f>
        <v>0</v>
      </c>
      <c r="L164" s="469"/>
      <c r="N164" s="48"/>
    </row>
    <row r="165" spans="1:14" ht="13.5" hidden="1" customHeight="1" thickBot="1">
      <c r="A165" s="94">
        <v>313</v>
      </c>
      <c r="B165" s="117" t="s">
        <v>352</v>
      </c>
      <c r="C165" s="118"/>
      <c r="D165" s="118"/>
      <c r="E165" s="118"/>
      <c r="F165" s="118"/>
      <c r="G165" s="118">
        <f t="shared" si="53"/>
        <v>0</v>
      </c>
      <c r="H165" s="85"/>
      <c r="I165" s="118"/>
      <c r="J165" s="85">
        <f t="shared" si="54"/>
        <v>0</v>
      </c>
      <c r="K165" s="118">
        <f t="shared" si="55"/>
        <v>0</v>
      </c>
      <c r="L165" s="469"/>
      <c r="N165" s="48"/>
    </row>
    <row r="166" spans="1:14" ht="15" hidden="1" customHeight="1" thickBot="1">
      <c r="A166" s="94">
        <v>314</v>
      </c>
      <c r="B166" s="117" t="s">
        <v>353</v>
      </c>
      <c r="C166" s="118">
        <v>0</v>
      </c>
      <c r="D166" s="118"/>
      <c r="E166" s="118"/>
      <c r="F166" s="118"/>
      <c r="G166" s="118">
        <f t="shared" si="53"/>
        <v>0</v>
      </c>
      <c r="H166" s="85"/>
      <c r="I166" s="118"/>
      <c r="J166" s="85">
        <f t="shared" si="54"/>
        <v>0</v>
      </c>
      <c r="K166" s="118">
        <f t="shared" si="55"/>
        <v>0</v>
      </c>
      <c r="L166" s="469"/>
      <c r="N166" s="48"/>
    </row>
    <row r="167" spans="1:14" ht="15" hidden="1" customHeight="1" thickBot="1">
      <c r="A167" s="94">
        <v>319</v>
      </c>
      <c r="B167" s="117" t="s">
        <v>335</v>
      </c>
      <c r="C167" s="118"/>
      <c r="D167" s="118"/>
      <c r="E167" s="118"/>
      <c r="F167" s="118"/>
      <c r="G167" s="118">
        <f t="shared" si="53"/>
        <v>0</v>
      </c>
      <c r="H167" s="85"/>
      <c r="I167" s="118"/>
      <c r="J167" s="85">
        <f t="shared" si="54"/>
        <v>0</v>
      </c>
      <c r="K167" s="118">
        <f t="shared" si="55"/>
        <v>0</v>
      </c>
      <c r="L167" s="469"/>
      <c r="N167" s="48"/>
    </row>
    <row r="168" spans="1:14" ht="13.9" hidden="1" customHeight="1" thickBot="1">
      <c r="A168" s="93">
        <v>320</v>
      </c>
      <c r="B168" s="116" t="s">
        <v>281</v>
      </c>
      <c r="C168" s="116">
        <v>0</v>
      </c>
      <c r="D168" s="116"/>
      <c r="E168" s="116"/>
      <c r="F168" s="116"/>
      <c r="G168" s="116">
        <f t="shared" si="53"/>
        <v>0</v>
      </c>
      <c r="H168" s="85"/>
      <c r="I168" s="116"/>
      <c r="J168" s="88">
        <f t="shared" si="54"/>
        <v>0</v>
      </c>
      <c r="K168" s="116">
        <f t="shared" si="55"/>
        <v>0</v>
      </c>
      <c r="L168" s="469"/>
      <c r="N168" s="48"/>
    </row>
    <row r="169" spans="1:14" ht="15.6" hidden="1" customHeight="1" thickBot="1">
      <c r="A169" s="93">
        <v>330</v>
      </c>
      <c r="B169" s="116" t="s">
        <v>427</v>
      </c>
      <c r="C169" s="116">
        <v>0</v>
      </c>
      <c r="D169" s="116"/>
      <c r="E169" s="116"/>
      <c r="F169" s="116"/>
      <c r="G169" s="116">
        <f t="shared" si="53"/>
        <v>0</v>
      </c>
      <c r="H169" s="88"/>
      <c r="I169" s="116"/>
      <c r="J169" s="88">
        <f t="shared" si="54"/>
        <v>0</v>
      </c>
      <c r="K169" s="116">
        <f t="shared" si="55"/>
        <v>0</v>
      </c>
      <c r="L169" s="469"/>
      <c r="N169" s="48"/>
    </row>
    <row r="170" spans="1:14" ht="15.6" hidden="1" customHeight="1" thickBot="1">
      <c r="A170" s="94">
        <v>332</v>
      </c>
      <c r="B170" s="118" t="s">
        <v>282</v>
      </c>
      <c r="C170" s="116"/>
      <c r="D170" s="118"/>
      <c r="E170" s="118"/>
      <c r="F170" s="116"/>
      <c r="G170" s="118">
        <f t="shared" si="53"/>
        <v>0</v>
      </c>
      <c r="H170" s="85"/>
      <c r="I170" s="481"/>
      <c r="J170" s="85">
        <f t="shared" si="54"/>
        <v>0</v>
      </c>
      <c r="K170" s="118">
        <f t="shared" si="55"/>
        <v>0</v>
      </c>
      <c r="L170" s="470"/>
      <c r="N170" s="48"/>
    </row>
    <row r="171" spans="1:14" ht="13.9" hidden="1" customHeight="1" thickBot="1">
      <c r="A171" s="93">
        <v>340</v>
      </c>
      <c r="B171" s="116" t="s">
        <v>131</v>
      </c>
      <c r="C171" s="116">
        <v>0</v>
      </c>
      <c r="D171" s="116"/>
      <c r="E171" s="116"/>
      <c r="F171" s="116"/>
      <c r="G171" s="116">
        <f t="shared" si="53"/>
        <v>0</v>
      </c>
      <c r="H171" s="88"/>
      <c r="I171" s="481"/>
      <c r="J171" s="88">
        <f t="shared" si="54"/>
        <v>0</v>
      </c>
      <c r="K171" s="116">
        <f t="shared" si="55"/>
        <v>0</v>
      </c>
      <c r="L171" s="469"/>
      <c r="N171" s="48"/>
    </row>
    <row r="172" spans="1:14" ht="13.9" hidden="1" customHeight="1" thickBot="1">
      <c r="A172" s="93">
        <v>350</v>
      </c>
      <c r="B172" s="116" t="s">
        <v>283</v>
      </c>
      <c r="C172" s="116">
        <v>0</v>
      </c>
      <c r="D172" s="116"/>
      <c r="E172" s="116"/>
      <c r="F172" s="116"/>
      <c r="G172" s="116">
        <f t="shared" si="53"/>
        <v>0</v>
      </c>
      <c r="H172" s="88"/>
      <c r="I172" s="481"/>
      <c r="J172" s="88">
        <f t="shared" si="54"/>
        <v>0</v>
      </c>
      <c r="K172" s="116">
        <f t="shared" si="55"/>
        <v>0</v>
      </c>
      <c r="L172" s="469"/>
      <c r="N172" s="48"/>
    </row>
    <row r="173" spans="1:14" ht="13.15" hidden="1" customHeight="1" thickBot="1">
      <c r="A173" s="93">
        <v>370</v>
      </c>
      <c r="B173" s="116" t="s">
        <v>284</v>
      </c>
      <c r="C173" s="116">
        <v>0</v>
      </c>
      <c r="D173" s="116"/>
      <c r="E173" s="116"/>
      <c r="F173" s="116"/>
      <c r="G173" s="116">
        <f t="shared" si="53"/>
        <v>0</v>
      </c>
      <c r="H173" s="88"/>
      <c r="I173" s="481"/>
      <c r="J173" s="88">
        <f t="shared" si="54"/>
        <v>0</v>
      </c>
      <c r="K173" s="116">
        <f t="shared" si="55"/>
        <v>0</v>
      </c>
      <c r="L173" s="469"/>
      <c r="N173" s="48"/>
    </row>
    <row r="174" spans="1:14" ht="13.15" hidden="1" customHeight="1" thickBot="1">
      <c r="A174" s="93">
        <v>380</v>
      </c>
      <c r="B174" s="116" t="s">
        <v>285</v>
      </c>
      <c r="C174" s="116"/>
      <c r="D174" s="116"/>
      <c r="E174" s="116"/>
      <c r="F174" s="116"/>
      <c r="G174" s="116">
        <f t="shared" si="53"/>
        <v>0</v>
      </c>
      <c r="H174" s="88"/>
      <c r="I174" s="481"/>
      <c r="J174" s="88">
        <f t="shared" si="54"/>
        <v>0</v>
      </c>
      <c r="K174" s="116">
        <f t="shared" si="55"/>
        <v>0</v>
      </c>
      <c r="L174" s="469"/>
      <c r="N174" s="48"/>
    </row>
    <row r="175" spans="1:14" ht="12.6" hidden="1" customHeight="1" thickBot="1">
      <c r="A175" s="93">
        <v>390</v>
      </c>
      <c r="B175" s="116" t="s">
        <v>357</v>
      </c>
      <c r="C175" s="122"/>
      <c r="D175" s="123"/>
      <c r="E175" s="123"/>
      <c r="F175" s="123"/>
      <c r="G175" s="124">
        <f>SUM(G176:G180)</f>
        <v>0</v>
      </c>
      <c r="H175" s="88"/>
      <c r="I175" s="481"/>
      <c r="J175" s="88">
        <f t="shared" si="54"/>
        <v>0</v>
      </c>
      <c r="K175" s="125">
        <f t="shared" si="55"/>
        <v>0</v>
      </c>
      <c r="L175" s="469"/>
      <c r="N175" s="48"/>
    </row>
    <row r="176" spans="1:14" ht="12.6" hidden="1" customHeight="1" thickBot="1">
      <c r="A176" s="93">
        <v>391</v>
      </c>
      <c r="B176" s="118" t="s">
        <v>357</v>
      </c>
      <c r="C176" s="98"/>
      <c r="D176" s="110"/>
      <c r="E176" s="110"/>
      <c r="F176" s="110"/>
      <c r="G176" s="126">
        <f>+N176+F176</f>
        <v>0</v>
      </c>
      <c r="H176" s="85"/>
      <c r="I176" s="150"/>
      <c r="J176" s="85">
        <f t="shared" si="54"/>
        <v>0</v>
      </c>
      <c r="K176" s="127">
        <f t="shared" si="55"/>
        <v>0</v>
      </c>
      <c r="L176" s="470"/>
      <c r="N176" s="48"/>
    </row>
    <row r="177" spans="1:17" ht="12.6" hidden="1" customHeight="1" thickBot="1">
      <c r="A177" s="93">
        <v>393</v>
      </c>
      <c r="B177" s="118" t="s">
        <v>428</v>
      </c>
      <c r="C177" s="98"/>
      <c r="D177" s="110"/>
      <c r="E177" s="110"/>
      <c r="F177" s="110"/>
      <c r="G177" s="126">
        <f>+N177+F177</f>
        <v>0</v>
      </c>
      <c r="H177" s="85"/>
      <c r="I177" s="150"/>
      <c r="J177" s="85">
        <f t="shared" si="54"/>
        <v>0</v>
      </c>
      <c r="K177" s="127">
        <f t="shared" si="55"/>
        <v>0</v>
      </c>
      <c r="L177" s="470"/>
      <c r="N177" s="48"/>
    </row>
    <row r="178" spans="1:17" ht="12.6" hidden="1" customHeight="1" thickBot="1">
      <c r="A178" s="93">
        <v>396</v>
      </c>
      <c r="B178" s="118" t="s">
        <v>357</v>
      </c>
      <c r="C178" s="98"/>
      <c r="D178" s="110"/>
      <c r="E178" s="110"/>
      <c r="F178" s="110"/>
      <c r="G178" s="126">
        <f>+N178+F178</f>
        <v>0</v>
      </c>
      <c r="H178" s="85"/>
      <c r="I178" s="150"/>
      <c r="J178" s="85">
        <f t="shared" si="54"/>
        <v>0</v>
      </c>
      <c r="K178" s="127">
        <f t="shared" si="55"/>
        <v>0</v>
      </c>
      <c r="L178" s="470"/>
      <c r="N178" s="48"/>
    </row>
    <row r="179" spans="1:17" ht="12.6" hidden="1" customHeight="1" thickBot="1">
      <c r="A179" s="93">
        <v>398</v>
      </c>
      <c r="B179" s="118" t="s">
        <v>357</v>
      </c>
      <c r="C179" s="98"/>
      <c r="D179" s="110"/>
      <c r="E179" s="110"/>
      <c r="F179" s="110"/>
      <c r="G179" s="126">
        <f>+N179+F179</f>
        <v>0</v>
      </c>
      <c r="H179" s="85"/>
      <c r="I179" s="150"/>
      <c r="J179" s="85">
        <f t="shared" si="54"/>
        <v>0</v>
      </c>
      <c r="K179" s="127">
        <f t="shared" si="55"/>
        <v>0</v>
      </c>
      <c r="L179" s="470"/>
      <c r="N179" s="48"/>
    </row>
    <row r="180" spans="1:17" ht="12.6" hidden="1" customHeight="1">
      <c r="A180" s="93">
        <v>399</v>
      </c>
      <c r="B180" s="118" t="s">
        <v>415</v>
      </c>
      <c r="C180" s="98"/>
      <c r="D180" s="128"/>
      <c r="E180" s="128"/>
      <c r="F180" s="128">
        <v>0</v>
      </c>
      <c r="G180" s="118">
        <f>+N180+F180</f>
        <v>0</v>
      </c>
      <c r="H180" s="85"/>
      <c r="I180" s="482"/>
      <c r="J180" s="85">
        <f t="shared" si="54"/>
        <v>0</v>
      </c>
      <c r="K180" s="127">
        <f t="shared" si="55"/>
        <v>0</v>
      </c>
      <c r="L180" s="470" t="s">
        <v>6</v>
      </c>
      <c r="N180" s="48"/>
    </row>
    <row r="181" spans="1:17" ht="15" customHeight="1">
      <c r="A181" s="141">
        <v>4</v>
      </c>
      <c r="B181" s="153" t="s">
        <v>286</v>
      </c>
      <c r="C181" s="153">
        <f>SUM(C182)</f>
        <v>2207914</v>
      </c>
      <c r="D181" s="153">
        <f>+C181</f>
        <v>2207914</v>
      </c>
      <c r="E181" s="154">
        <f>+E182+E184</f>
        <v>1000000</v>
      </c>
      <c r="F181" s="155">
        <f>+F182+F184</f>
        <v>0</v>
      </c>
      <c r="G181" s="156">
        <f>N181+F181</f>
        <v>0</v>
      </c>
      <c r="H181" s="480"/>
      <c r="I181" s="156">
        <f>+I182+I184</f>
        <v>0</v>
      </c>
      <c r="J181" s="143">
        <f t="shared" si="54"/>
        <v>1000000</v>
      </c>
      <c r="K181" s="156">
        <f t="shared" si="55"/>
        <v>2207914</v>
      </c>
      <c r="L181" s="471">
        <f>+G181*100/E181</f>
        <v>0</v>
      </c>
      <c r="N181" s="48"/>
    </row>
    <row r="182" spans="1:17">
      <c r="A182" s="93">
        <v>430</v>
      </c>
      <c r="B182" s="123" t="s">
        <v>287</v>
      </c>
      <c r="C182" s="123">
        <f>SUM(C183)</f>
        <v>2207914</v>
      </c>
      <c r="D182" s="123">
        <f>+C182</f>
        <v>2207914</v>
      </c>
      <c r="E182" s="157">
        <f>+E183</f>
        <v>1000000</v>
      </c>
      <c r="F182" s="158">
        <f>+F183</f>
        <v>0</v>
      </c>
      <c r="G182" s="88">
        <f>+N182+F182</f>
        <v>0</v>
      </c>
      <c r="H182" s="88"/>
      <c r="I182" s="123">
        <f>SUM(I183)</f>
        <v>0</v>
      </c>
      <c r="J182" s="88">
        <f t="shared" si="54"/>
        <v>1000000</v>
      </c>
      <c r="K182" s="123">
        <f t="shared" si="55"/>
        <v>2207914</v>
      </c>
      <c r="L182" s="467">
        <f>+G182*100/E182</f>
        <v>0</v>
      </c>
      <c r="N182" s="48"/>
    </row>
    <row r="183" spans="1:17" ht="13.5" customHeight="1">
      <c r="A183" s="94">
        <v>439</v>
      </c>
      <c r="B183" s="110" t="s">
        <v>288</v>
      </c>
      <c r="C183" s="110">
        <v>2207914</v>
      </c>
      <c r="D183" s="110">
        <v>2207914</v>
      </c>
      <c r="E183" s="146">
        <v>1000000</v>
      </c>
      <c r="F183" s="159">
        <v>0</v>
      </c>
      <c r="G183" s="85">
        <f>+N183+F183</f>
        <v>0</v>
      </c>
      <c r="H183" s="85"/>
      <c r="I183" s="110">
        <v>0</v>
      </c>
      <c r="J183" s="85">
        <f t="shared" si="54"/>
        <v>1000000</v>
      </c>
      <c r="K183" s="110">
        <f t="shared" si="55"/>
        <v>2207914</v>
      </c>
      <c r="L183" s="466">
        <f>+G183*100/E183</f>
        <v>0</v>
      </c>
      <c r="N183" s="48"/>
    </row>
    <row r="184" spans="1:17" ht="13.5" hidden="1" customHeight="1">
      <c r="A184" s="93">
        <v>490</v>
      </c>
      <c r="B184" s="123" t="s">
        <v>289</v>
      </c>
      <c r="C184" s="110">
        <f>SUM(C185)</f>
        <v>0</v>
      </c>
      <c r="D184" s="123">
        <f>+C184</f>
        <v>0</v>
      </c>
      <c r="E184" s="157">
        <f>+E185</f>
        <v>0</v>
      </c>
      <c r="F184" s="109">
        <f>+F185</f>
        <v>0</v>
      </c>
      <c r="G184" s="123">
        <f>+G185</f>
        <v>0</v>
      </c>
      <c r="H184" s="88"/>
      <c r="I184" s="123">
        <f>I185</f>
        <v>0</v>
      </c>
      <c r="J184" s="85">
        <f t="shared" si="54"/>
        <v>0</v>
      </c>
      <c r="K184" s="123">
        <f t="shared" si="55"/>
        <v>0</v>
      </c>
      <c r="L184" s="467"/>
      <c r="N184" s="48"/>
    </row>
    <row r="185" spans="1:17" ht="14.25" hidden="1" customHeight="1">
      <c r="A185" s="94">
        <v>494</v>
      </c>
      <c r="B185" s="110" t="s">
        <v>290</v>
      </c>
      <c r="C185" s="110"/>
      <c r="D185" s="110" t="s">
        <v>6</v>
      </c>
      <c r="E185" s="97">
        <v>0</v>
      </c>
      <c r="F185" s="159">
        <v>0</v>
      </c>
      <c r="G185" s="110">
        <f>+N185+F185</f>
        <v>0</v>
      </c>
      <c r="H185" s="85"/>
      <c r="I185" s="110">
        <v>0</v>
      </c>
      <c r="J185" s="85">
        <f t="shared" si="54"/>
        <v>0</v>
      </c>
      <c r="K185" s="110" t="e">
        <f t="shared" si="55"/>
        <v>#VALUE!</v>
      </c>
      <c r="L185" s="466"/>
      <c r="N185" s="48"/>
    </row>
    <row r="186" spans="1:17" ht="15.75" customHeight="1">
      <c r="A186" s="141" t="s">
        <v>291</v>
      </c>
      <c r="B186" s="160" t="s">
        <v>388</v>
      </c>
      <c r="C186" s="156">
        <f>C187+C189+C195+C201+C205+C199</f>
        <v>2292640</v>
      </c>
      <c r="D186" s="156">
        <f t="shared" ref="D186:I186" si="56">D187+D189+D195+D201+D205+D199</f>
        <v>2292640</v>
      </c>
      <c r="E186" s="156">
        <f t="shared" si="56"/>
        <v>1844556</v>
      </c>
      <c r="F186" s="156">
        <f t="shared" si="56"/>
        <v>4968.8899999999994</v>
      </c>
      <c r="G186" s="156">
        <f t="shared" si="56"/>
        <v>4968.8899999999994</v>
      </c>
      <c r="H186" s="156">
        <f t="shared" ref="H186" si="57">H187+H189+H195+H201+H205+H199</f>
        <v>3373.87</v>
      </c>
      <c r="I186" s="156">
        <f t="shared" si="56"/>
        <v>3373.87</v>
      </c>
      <c r="J186" s="143">
        <f t="shared" si="54"/>
        <v>1839587.11</v>
      </c>
      <c r="K186" s="156">
        <f t="shared" si="55"/>
        <v>2287671.11</v>
      </c>
      <c r="L186" s="471">
        <f>+G186*100/E186</f>
        <v>0.26938135789859452</v>
      </c>
      <c r="N186" s="485"/>
    </row>
    <row r="187" spans="1:17">
      <c r="A187" s="93" t="s">
        <v>293</v>
      </c>
      <c r="B187" s="161" t="s">
        <v>294</v>
      </c>
      <c r="C187" s="123">
        <f>SUM(C188)</f>
        <v>118164</v>
      </c>
      <c r="D187" s="123">
        <f>SUM(D188)</f>
        <v>118164</v>
      </c>
      <c r="E187" s="157">
        <f>+E188</f>
        <v>9847</v>
      </c>
      <c r="F187" s="158">
        <f>+F188</f>
        <v>3373.87</v>
      </c>
      <c r="G187" s="123">
        <f>SUM(G188)</f>
        <v>3373.87</v>
      </c>
      <c r="H187" s="123">
        <f>+H188</f>
        <v>3373.87</v>
      </c>
      <c r="I187" s="123">
        <f>+I188</f>
        <v>3373.87</v>
      </c>
      <c r="J187" s="88">
        <f t="shared" si="54"/>
        <v>6473.13</v>
      </c>
      <c r="K187" s="123">
        <f t="shared" si="55"/>
        <v>114790.13</v>
      </c>
      <c r="L187" s="467">
        <f>+G187*100/E187</f>
        <v>34.262922717578959</v>
      </c>
      <c r="N187" s="48"/>
    </row>
    <row r="188" spans="1:17" ht="13.5" customHeight="1">
      <c r="A188" s="94" t="s">
        <v>295</v>
      </c>
      <c r="B188" s="147" t="s">
        <v>407</v>
      </c>
      <c r="C188" s="110">
        <v>118164</v>
      </c>
      <c r="D188" s="110">
        <v>118164</v>
      </c>
      <c r="E188" s="146">
        <v>9847</v>
      </c>
      <c r="F188" s="159">
        <v>3373.87</v>
      </c>
      <c r="G188" s="85">
        <f>+N188+F188</f>
        <v>3373.87</v>
      </c>
      <c r="H188" s="85">
        <v>3373.87</v>
      </c>
      <c r="I188" s="110">
        <v>3373.87</v>
      </c>
      <c r="J188" s="85">
        <f t="shared" si="54"/>
        <v>6473.13</v>
      </c>
      <c r="K188" s="110">
        <f t="shared" si="55"/>
        <v>114790.13</v>
      </c>
      <c r="L188" s="466">
        <f>+G188*100/E188</f>
        <v>34.262922717578959</v>
      </c>
      <c r="N188" s="48"/>
      <c r="O188" t="s">
        <v>6</v>
      </c>
      <c r="P188" t="s">
        <v>6</v>
      </c>
    </row>
    <row r="189" spans="1:17">
      <c r="A189" s="98" t="s">
        <v>296</v>
      </c>
      <c r="B189" s="123" t="s">
        <v>162</v>
      </c>
      <c r="C189" s="123">
        <f>SUM(C190:C194)</f>
        <v>956224</v>
      </c>
      <c r="D189" s="123">
        <f>SUM(D190:D194)</f>
        <v>956224</v>
      </c>
      <c r="E189" s="157">
        <f>+E190+E191+E193+E194</f>
        <v>902678</v>
      </c>
      <c r="F189" s="158">
        <f>SUM(F190:F194)</f>
        <v>0</v>
      </c>
      <c r="G189" s="88">
        <f>+N189+F189</f>
        <v>0</v>
      </c>
      <c r="H189" s="85"/>
      <c r="I189" s="123">
        <f>SUM(I190:I194)</f>
        <v>0</v>
      </c>
      <c r="J189" s="88">
        <f t="shared" si="54"/>
        <v>902678</v>
      </c>
      <c r="K189" s="123">
        <f t="shared" si="55"/>
        <v>956224</v>
      </c>
      <c r="L189" s="467">
        <f>+G189*100/E189</f>
        <v>0</v>
      </c>
      <c r="N189" s="48"/>
      <c r="Q189" s="1" t="s">
        <v>6</v>
      </c>
    </row>
    <row r="190" spans="1:17" ht="14.25" customHeight="1">
      <c r="A190" s="94">
        <v>611</v>
      </c>
      <c r="B190" s="110" t="s">
        <v>338</v>
      </c>
      <c r="C190" s="110">
        <v>1800</v>
      </c>
      <c r="D190" s="110">
        <v>1800</v>
      </c>
      <c r="E190" s="97">
        <v>1800</v>
      </c>
      <c r="F190" s="159">
        <v>0</v>
      </c>
      <c r="G190" s="85">
        <f>+N190+F190</f>
        <v>0</v>
      </c>
      <c r="H190" s="85"/>
      <c r="I190" s="110">
        <v>0</v>
      </c>
      <c r="J190" s="85">
        <f t="shared" si="54"/>
        <v>1800</v>
      </c>
      <c r="K190" s="110">
        <f t="shared" si="55"/>
        <v>1800</v>
      </c>
      <c r="L190" s="466"/>
      <c r="N190" s="48"/>
    </row>
    <row r="191" spans="1:17" ht="13.5" customHeight="1">
      <c r="A191" s="94">
        <v>612</v>
      </c>
      <c r="B191" s="110" t="s">
        <v>374</v>
      </c>
      <c r="C191" s="110">
        <v>172962</v>
      </c>
      <c r="D191" s="110">
        <v>172962</v>
      </c>
      <c r="E191" s="97">
        <v>172962</v>
      </c>
      <c r="F191" s="159">
        <v>0</v>
      </c>
      <c r="G191" s="85">
        <v>0</v>
      </c>
      <c r="H191" s="85"/>
      <c r="I191" s="110">
        <v>0</v>
      </c>
      <c r="J191" s="85">
        <f t="shared" si="54"/>
        <v>172962</v>
      </c>
      <c r="K191" s="110">
        <f t="shared" si="55"/>
        <v>172962</v>
      </c>
      <c r="L191" s="466">
        <f>+G191*100/E191</f>
        <v>0</v>
      </c>
      <c r="N191" s="48"/>
    </row>
    <row r="192" spans="1:17" ht="12" hidden="1" customHeight="1">
      <c r="A192" s="94">
        <v>613</v>
      </c>
      <c r="B192" s="110" t="s">
        <v>349</v>
      </c>
      <c r="C192" s="110">
        <v>0</v>
      </c>
      <c r="D192" s="110">
        <v>0</v>
      </c>
      <c r="E192" s="97"/>
      <c r="F192" s="159"/>
      <c r="G192" s="85">
        <f>+N192+F192</f>
        <v>0</v>
      </c>
      <c r="H192" s="85"/>
      <c r="I192" s="110"/>
      <c r="J192" s="85">
        <f t="shared" si="54"/>
        <v>0</v>
      </c>
      <c r="K192" s="110">
        <f t="shared" si="55"/>
        <v>0</v>
      </c>
      <c r="L192" s="466" t="e">
        <f>+G192*100/E192</f>
        <v>#DIV/0!</v>
      </c>
      <c r="N192" s="48"/>
    </row>
    <row r="193" spans="1:15" ht="12.75" customHeight="1">
      <c r="A193" s="94">
        <v>614</v>
      </c>
      <c r="B193" s="110" t="s">
        <v>348</v>
      </c>
      <c r="C193" s="110">
        <v>727916</v>
      </c>
      <c r="D193" s="110">
        <v>727916</v>
      </c>
      <c r="E193" s="97">
        <v>727916</v>
      </c>
      <c r="F193" s="159">
        <v>0</v>
      </c>
      <c r="G193" s="85">
        <f>+N193+F193</f>
        <v>0</v>
      </c>
      <c r="H193" s="85"/>
      <c r="I193" s="110">
        <v>0</v>
      </c>
      <c r="J193" s="85">
        <f t="shared" si="54"/>
        <v>727916</v>
      </c>
      <c r="K193" s="110">
        <f t="shared" si="55"/>
        <v>727916</v>
      </c>
      <c r="L193" s="466">
        <f>+G193*100/E193</f>
        <v>0</v>
      </c>
      <c r="N193" s="48"/>
    </row>
    <row r="194" spans="1:15" ht="13.5" customHeight="1">
      <c r="A194" s="94">
        <v>619</v>
      </c>
      <c r="B194" s="110" t="s">
        <v>346</v>
      </c>
      <c r="C194" s="110">
        <v>53546</v>
      </c>
      <c r="D194" s="110">
        <v>53546</v>
      </c>
      <c r="E194" s="97">
        <v>0</v>
      </c>
      <c r="F194" s="159">
        <v>0</v>
      </c>
      <c r="G194" s="85">
        <f>+N194+F194</f>
        <v>0</v>
      </c>
      <c r="H194" s="85"/>
      <c r="I194" s="110">
        <v>0</v>
      </c>
      <c r="J194" s="85">
        <f t="shared" si="54"/>
        <v>0</v>
      </c>
      <c r="K194" s="110">
        <f t="shared" si="55"/>
        <v>53546</v>
      </c>
      <c r="L194" s="466" t="s">
        <v>6</v>
      </c>
      <c r="N194" s="48"/>
    </row>
    <row r="195" spans="1:15" ht="13.5" customHeight="1">
      <c r="A195" s="93">
        <v>620</v>
      </c>
      <c r="B195" s="123" t="s">
        <v>297</v>
      </c>
      <c r="C195" s="123">
        <f>+C196+C197+C198</f>
        <v>771986</v>
      </c>
      <c r="D195" s="123">
        <f t="shared" ref="D195:I195" si="58">+D196+D197+D198</f>
        <v>771986</v>
      </c>
      <c r="E195" s="123">
        <f t="shared" si="58"/>
        <v>618486</v>
      </c>
      <c r="F195" s="123">
        <f t="shared" si="58"/>
        <v>1595.02</v>
      </c>
      <c r="G195" s="123">
        <f t="shared" si="58"/>
        <v>1595.02</v>
      </c>
      <c r="H195" s="85"/>
      <c r="I195" s="123">
        <f t="shared" si="58"/>
        <v>0</v>
      </c>
      <c r="J195" s="88">
        <f t="shared" si="54"/>
        <v>616890.98</v>
      </c>
      <c r="K195" s="123">
        <f t="shared" si="55"/>
        <v>770390.98</v>
      </c>
      <c r="L195" s="466">
        <f>+G195*100/E195</f>
        <v>0.25789104361295162</v>
      </c>
      <c r="N195" s="48"/>
    </row>
    <row r="196" spans="1:15" ht="13.5" customHeight="1">
      <c r="A196" s="94" t="s">
        <v>336</v>
      </c>
      <c r="B196" s="110" t="s">
        <v>337</v>
      </c>
      <c r="C196" s="110">
        <v>70000</v>
      </c>
      <c r="D196" s="110">
        <v>70000</v>
      </c>
      <c r="E196" s="110">
        <v>70000</v>
      </c>
      <c r="F196" s="159">
        <v>0</v>
      </c>
      <c r="G196" s="85">
        <f>+N196+F196</f>
        <v>0</v>
      </c>
      <c r="H196" s="85"/>
      <c r="I196" s="110">
        <v>0</v>
      </c>
      <c r="J196" s="85">
        <f t="shared" si="54"/>
        <v>70000</v>
      </c>
      <c r="K196" s="110">
        <f t="shared" si="55"/>
        <v>70000</v>
      </c>
      <c r="L196" s="466" t="s">
        <v>40</v>
      </c>
      <c r="N196" s="48"/>
    </row>
    <row r="197" spans="1:15" ht="12" customHeight="1">
      <c r="A197" s="94">
        <v>624</v>
      </c>
      <c r="B197" s="110" t="s">
        <v>298</v>
      </c>
      <c r="C197" s="110">
        <v>648440</v>
      </c>
      <c r="D197" s="110">
        <v>648440</v>
      </c>
      <c r="E197" s="110">
        <v>494940</v>
      </c>
      <c r="F197" s="159">
        <v>1595.02</v>
      </c>
      <c r="G197" s="85">
        <f>+N197+F197</f>
        <v>1595.02</v>
      </c>
      <c r="H197" s="85"/>
      <c r="I197" s="110">
        <v>0</v>
      </c>
      <c r="J197" s="85">
        <f t="shared" si="54"/>
        <v>493344.98</v>
      </c>
      <c r="K197" s="110">
        <f t="shared" si="55"/>
        <v>646844.98</v>
      </c>
      <c r="L197" s="466">
        <f>+G197*100/E197</f>
        <v>0.3222653250899099</v>
      </c>
      <c r="N197" s="48"/>
    </row>
    <row r="198" spans="1:15" ht="12" customHeight="1">
      <c r="A198" s="94">
        <v>629</v>
      </c>
      <c r="B198" s="110" t="s">
        <v>508</v>
      </c>
      <c r="C198" s="110">
        <v>53546</v>
      </c>
      <c r="D198" s="110">
        <v>53546</v>
      </c>
      <c r="E198" s="110">
        <v>53546</v>
      </c>
      <c r="F198" s="159"/>
      <c r="G198" s="85"/>
      <c r="H198" s="85"/>
      <c r="I198" s="97"/>
      <c r="J198" s="85"/>
      <c r="K198" s="110"/>
      <c r="L198" s="503"/>
      <c r="N198" s="48"/>
    </row>
    <row r="199" spans="1:15" ht="12" customHeight="1">
      <c r="A199" s="93">
        <v>640</v>
      </c>
      <c r="B199" s="123" t="s">
        <v>509</v>
      </c>
      <c r="C199" s="123">
        <f>+C200</f>
        <v>159266</v>
      </c>
      <c r="D199" s="123">
        <f>+D200</f>
        <v>159266</v>
      </c>
      <c r="E199" s="123">
        <f>+E200</f>
        <v>26545</v>
      </c>
      <c r="F199" s="123">
        <f t="shared" ref="F199:K199" si="59">+F200</f>
        <v>0</v>
      </c>
      <c r="G199" s="123">
        <f t="shared" si="59"/>
        <v>0</v>
      </c>
      <c r="H199" s="123">
        <f t="shared" si="59"/>
        <v>0</v>
      </c>
      <c r="I199" s="123">
        <f t="shared" si="59"/>
        <v>0</v>
      </c>
      <c r="J199" s="123">
        <f t="shared" si="59"/>
        <v>0</v>
      </c>
      <c r="K199" s="123">
        <f t="shared" si="59"/>
        <v>0</v>
      </c>
      <c r="L199" s="503"/>
      <c r="N199" s="48"/>
    </row>
    <row r="200" spans="1:15" ht="12" customHeight="1">
      <c r="A200" s="94">
        <v>641</v>
      </c>
      <c r="B200" s="110" t="s">
        <v>510</v>
      </c>
      <c r="C200" s="110">
        <v>159266</v>
      </c>
      <c r="D200" s="110">
        <v>159266</v>
      </c>
      <c r="E200" s="110">
        <v>26545</v>
      </c>
      <c r="F200" s="159"/>
      <c r="G200" s="85"/>
      <c r="H200" s="85"/>
      <c r="I200" s="97"/>
      <c r="J200" s="85"/>
      <c r="K200" s="110"/>
      <c r="N200" s="48"/>
    </row>
    <row r="201" spans="1:15">
      <c r="A201" s="93" t="s">
        <v>299</v>
      </c>
      <c r="B201" s="161" t="s">
        <v>300</v>
      </c>
      <c r="C201" s="123">
        <f>SUM(C202:C204)</f>
        <v>287000</v>
      </c>
      <c r="D201" s="123">
        <f>SUM(D202:D204)</f>
        <v>287000</v>
      </c>
      <c r="E201" s="123">
        <f>SUM(E202:E204)</f>
        <v>287000</v>
      </c>
      <c r="F201" s="158">
        <f>SUM(F202:F204)</f>
        <v>0</v>
      </c>
      <c r="G201" s="88">
        <f t="shared" ref="G201:G206" si="60">+N201+F201</f>
        <v>0</v>
      </c>
      <c r="H201" s="85"/>
      <c r="I201" s="98">
        <f>SUM(I202:I204)</f>
        <v>0</v>
      </c>
      <c r="J201" s="88">
        <f>+E201-G201</f>
        <v>287000</v>
      </c>
      <c r="K201" s="123">
        <f t="shared" ref="K201:K206" si="61">+D201-G201</f>
        <v>287000</v>
      </c>
      <c r="L201" s="466">
        <f>+G201*100/E201</f>
        <v>0</v>
      </c>
      <c r="N201" s="48"/>
    </row>
    <row r="202" spans="1:15" ht="13.5" customHeight="1">
      <c r="A202" s="94">
        <v>662</v>
      </c>
      <c r="B202" s="147" t="s">
        <v>301</v>
      </c>
      <c r="C202" s="110">
        <v>116000</v>
      </c>
      <c r="D202" s="110">
        <v>116000</v>
      </c>
      <c r="E202" s="110">
        <v>116000</v>
      </c>
      <c r="F202" s="159">
        <v>0</v>
      </c>
      <c r="G202" s="85">
        <f t="shared" si="60"/>
        <v>0</v>
      </c>
      <c r="H202" s="85"/>
      <c r="I202" s="110">
        <v>0</v>
      </c>
      <c r="J202" s="85">
        <f>+E202-G202</f>
        <v>116000</v>
      </c>
      <c r="K202" s="110">
        <f t="shared" si="61"/>
        <v>116000</v>
      </c>
      <c r="L202" s="466">
        <f>+G202*100/E202</f>
        <v>0</v>
      </c>
      <c r="N202" s="48"/>
      <c r="O202" t="s">
        <v>511</v>
      </c>
    </row>
    <row r="203" spans="1:15" ht="12.75" hidden="1" customHeight="1">
      <c r="A203" s="94" t="s">
        <v>302</v>
      </c>
      <c r="B203" s="147" t="s">
        <v>303</v>
      </c>
      <c r="C203" s="110">
        <v>0</v>
      </c>
      <c r="D203" s="110">
        <v>0</v>
      </c>
      <c r="E203" s="110">
        <v>0</v>
      </c>
      <c r="F203" s="159">
        <v>0</v>
      </c>
      <c r="G203" s="85">
        <f t="shared" si="60"/>
        <v>0</v>
      </c>
      <c r="H203" s="85"/>
      <c r="I203" s="110">
        <v>0</v>
      </c>
      <c r="J203" s="85" t="s">
        <v>6</v>
      </c>
      <c r="K203" s="110">
        <f t="shared" si="61"/>
        <v>0</v>
      </c>
      <c r="L203" s="466" t="s">
        <v>6</v>
      </c>
      <c r="N203" s="48"/>
    </row>
    <row r="204" spans="1:15" ht="12.75" customHeight="1" thickBot="1">
      <c r="A204" s="94" t="s">
        <v>304</v>
      </c>
      <c r="B204" s="147" t="s">
        <v>305</v>
      </c>
      <c r="C204" s="110">
        <v>171000</v>
      </c>
      <c r="D204" s="110">
        <v>171000</v>
      </c>
      <c r="E204" s="110">
        <v>171000</v>
      </c>
      <c r="F204" s="159">
        <v>0</v>
      </c>
      <c r="G204" s="85">
        <f t="shared" si="60"/>
        <v>0</v>
      </c>
      <c r="H204" s="85"/>
      <c r="I204" s="110" t="s">
        <v>6</v>
      </c>
      <c r="J204" s="85">
        <f>+E204-G204</f>
        <v>171000</v>
      </c>
      <c r="K204" s="110">
        <f t="shared" si="61"/>
        <v>171000</v>
      </c>
      <c r="L204" s="466">
        <f>+G204*100/E204</f>
        <v>0</v>
      </c>
      <c r="N204" s="48"/>
    </row>
    <row r="205" spans="1:15" ht="13.5" hidden="1" customHeight="1" thickBot="1">
      <c r="A205" s="93">
        <v>690</v>
      </c>
      <c r="B205" s="123" t="s">
        <v>341</v>
      </c>
      <c r="C205" s="123">
        <f>+C206</f>
        <v>0</v>
      </c>
      <c r="D205" s="123">
        <f>+C205</f>
        <v>0</v>
      </c>
      <c r="E205" s="98">
        <f>SUM(E207)</f>
        <v>0</v>
      </c>
      <c r="F205" s="158">
        <f>+F206+F208</f>
        <v>0</v>
      </c>
      <c r="G205" s="123">
        <f t="shared" si="60"/>
        <v>0</v>
      </c>
      <c r="H205" s="85"/>
      <c r="I205" s="123">
        <f>+I206</f>
        <v>0</v>
      </c>
      <c r="J205" s="88">
        <f>+E205-G205</f>
        <v>0</v>
      </c>
      <c r="K205" s="123">
        <f t="shared" si="61"/>
        <v>0</v>
      </c>
      <c r="L205" s="466" t="e">
        <f>+G205*100/E205</f>
        <v>#DIV/0!</v>
      </c>
      <c r="N205" s="48"/>
    </row>
    <row r="206" spans="1:15" ht="16.899999999999999" hidden="1" customHeight="1" thickBot="1">
      <c r="A206" s="94">
        <v>692</v>
      </c>
      <c r="B206" s="147" t="s">
        <v>496</v>
      </c>
      <c r="C206" s="110"/>
      <c r="D206" s="110"/>
      <c r="E206" s="97">
        <v>0</v>
      </c>
      <c r="F206" s="159">
        <v>0</v>
      </c>
      <c r="G206" s="110">
        <f t="shared" si="60"/>
        <v>0</v>
      </c>
      <c r="H206" s="85"/>
      <c r="I206" s="110">
        <v>0</v>
      </c>
      <c r="J206" s="85">
        <f>+E206-G206</f>
        <v>0</v>
      </c>
      <c r="K206" s="110">
        <f t="shared" si="61"/>
        <v>0</v>
      </c>
      <c r="L206" s="466" t="s">
        <v>6</v>
      </c>
      <c r="N206" s="48"/>
    </row>
    <row r="207" spans="1:15" ht="16.899999999999999" hidden="1" customHeight="1" thickBot="1">
      <c r="A207" s="94">
        <v>693</v>
      </c>
      <c r="B207" s="147" t="s">
        <v>503</v>
      </c>
      <c r="C207" s="110"/>
      <c r="D207" s="110"/>
      <c r="E207" s="97" t="s">
        <v>6</v>
      </c>
      <c r="F207" s="492"/>
      <c r="G207" s="97"/>
      <c r="H207" s="85"/>
      <c r="I207" s="110"/>
      <c r="J207" s="85"/>
      <c r="K207" s="110"/>
      <c r="L207" s="466" t="e">
        <f>+G207*100/E207</f>
        <v>#VALUE!</v>
      </c>
      <c r="N207" s="48"/>
    </row>
    <row r="208" spans="1:15" ht="17.25" hidden="1" customHeight="1" thickBot="1">
      <c r="A208" s="94">
        <v>697</v>
      </c>
      <c r="B208" s="147" t="s">
        <v>351</v>
      </c>
      <c r="C208" s="110"/>
      <c r="D208" s="110"/>
      <c r="E208" s="97">
        <v>0</v>
      </c>
      <c r="F208" s="159">
        <v>0</v>
      </c>
      <c r="G208" s="85">
        <f>+N208+F208</f>
        <v>0</v>
      </c>
      <c r="H208" s="85"/>
      <c r="I208" s="110"/>
      <c r="J208" s="85">
        <f>+E208-G208</f>
        <v>0</v>
      </c>
      <c r="K208" s="123">
        <f>+D208-G208</f>
        <v>0</v>
      </c>
      <c r="L208" s="466" t="s">
        <v>6</v>
      </c>
      <c r="N208" s="48"/>
    </row>
    <row r="209" spans="1:14" ht="28.9" customHeight="1" thickBot="1">
      <c r="A209" s="100" t="s">
        <v>6</v>
      </c>
      <c r="B209" s="162" t="s">
        <v>306</v>
      </c>
      <c r="C209" s="163">
        <f t="shared" ref="C209:I209" si="62">+C186+C181+C153+C93+C37+C11</f>
        <v>141094806</v>
      </c>
      <c r="D209" s="163">
        <f t="shared" si="62"/>
        <v>141094806</v>
      </c>
      <c r="E209" s="163">
        <f t="shared" si="62"/>
        <v>19912335</v>
      </c>
      <c r="F209" s="164">
        <f t="shared" si="62"/>
        <v>7119885.8300000001</v>
      </c>
      <c r="G209" s="163">
        <f t="shared" si="62"/>
        <v>7119885.8300000001</v>
      </c>
      <c r="H209" s="163">
        <f t="shared" ref="H209" si="63">+H186+H181+H153+H93+H37+H11</f>
        <v>6087300.8500000006</v>
      </c>
      <c r="I209" s="163">
        <f t="shared" si="62"/>
        <v>6084332.7200000007</v>
      </c>
      <c r="J209" s="165">
        <f>+E209-G209</f>
        <v>12792449.17</v>
      </c>
      <c r="K209" s="163">
        <f>+D209-G209</f>
        <v>133974920.17</v>
      </c>
      <c r="L209" s="472">
        <f>+G209*100/E209</f>
        <v>35.75615732660183</v>
      </c>
      <c r="N209" s="48"/>
    </row>
    <row r="210" spans="1:14">
      <c r="E210" s="32" t="s">
        <v>6</v>
      </c>
      <c r="I210" s="32" t="s">
        <v>6</v>
      </c>
    </row>
    <row r="211" spans="1:14">
      <c r="E211" s="27" t="s">
        <v>6</v>
      </c>
      <c r="F211" s="179"/>
      <c r="I211" s="27" t="s">
        <v>6</v>
      </c>
    </row>
    <row r="212" spans="1:14">
      <c r="I212" s="53" t="s">
        <v>6</v>
      </c>
    </row>
    <row r="214" spans="1:14">
      <c r="D214" s="27" t="s">
        <v>6</v>
      </c>
    </row>
  </sheetData>
  <mergeCells count="12">
    <mergeCell ref="A2:L2"/>
    <mergeCell ref="A3:L3"/>
    <mergeCell ref="A4:L4"/>
    <mergeCell ref="A5:L5"/>
    <mergeCell ref="C8:E9"/>
    <mergeCell ref="F8:G9"/>
    <mergeCell ref="I8:I10"/>
    <mergeCell ref="L8:L10"/>
    <mergeCell ref="B8:B10"/>
    <mergeCell ref="A8:A10"/>
    <mergeCell ref="H8:H10"/>
    <mergeCell ref="J8:K10"/>
  </mergeCells>
  <pageMargins left="0.51181102362204722" right="0.11811023622047245" top="0.55118110236220474" bottom="0.55118110236220474" header="0.31496062992125984" footer="0.31496062992125984"/>
  <pageSetup scale="80" orientation="portrait" horizontalDpi="4294967294" verticalDpi="4294967294" r:id="rId1"/>
  <ignoredErrors>
    <ignoredError sqref="F29 F16 I127 C133 E133:F133 H133 F45 C45 H45:I45 E45" formulaRange="1"/>
    <ignoredError sqref="G29 D93 G94:G116 G118:G119 G127 G181 G187" formula="1"/>
    <ignoredError sqref="D133 G133 D45 G45" formula="1" formulaRange="1"/>
    <ignoredError sqref="A117:F117 A12:A23 A41:A82 A39:A40 A93:A116 A118:A119 A120:A142 H117:XFD117" numberStoredAsText="1"/>
    <ignoredError sqref="G117" numberStoredAsText="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2">
    <tabColor theme="6" tint="0.39997558519241921"/>
  </sheetPr>
  <dimension ref="A1:P159"/>
  <sheetViews>
    <sheetView showGridLines="0" showZeros="0" workbookViewId="0">
      <selection activeCell="N19" sqref="N19"/>
    </sheetView>
  </sheetViews>
  <sheetFormatPr baseColWidth="10" defaultRowHeight="12.75"/>
  <cols>
    <col min="1" max="1" width="4.85546875" customWidth="1"/>
    <col min="2" max="2" width="33" customWidth="1"/>
    <col min="3" max="3" width="12.42578125" bestFit="1" customWidth="1"/>
    <col min="4" max="4" width="14.28515625" customWidth="1"/>
    <col min="5" max="5" width="11.140625" customWidth="1"/>
    <col min="6" max="6" width="0.85546875" hidden="1" customWidth="1"/>
    <col min="7" max="7" width="13.42578125" customWidth="1"/>
    <col min="8" max="9" width="13" customWidth="1"/>
    <col min="10" max="10" width="13" bestFit="1" customWidth="1"/>
    <col min="11" max="11" width="13.42578125" hidden="1" customWidth="1"/>
    <col min="12" max="12" width="13.140625" customWidth="1"/>
  </cols>
  <sheetData>
    <row r="1" spans="1:12" ht="20.25" customHeight="1">
      <c r="A1" s="606" t="s">
        <v>406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</row>
    <row r="2" spans="1:12" ht="18.75" customHeight="1">
      <c r="A2" s="606" t="s">
        <v>421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</row>
    <row r="3" spans="1:12" ht="19.899999999999999" customHeight="1">
      <c r="A3" s="607" t="s">
        <v>398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</row>
    <row r="4" spans="1:12" ht="19.899999999999999" customHeight="1">
      <c r="A4" s="607" t="s">
        <v>514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</row>
    <row r="5" spans="1:12" ht="6" customHeight="1">
      <c r="A5" s="706"/>
      <c r="B5" s="706"/>
      <c r="C5" s="706"/>
      <c r="D5" s="706"/>
      <c r="E5" s="706"/>
      <c r="F5" s="706"/>
      <c r="G5" s="706"/>
      <c r="H5" s="706"/>
      <c r="I5" s="706"/>
      <c r="J5" s="706"/>
      <c r="K5" s="706"/>
      <c r="L5" s="706"/>
    </row>
    <row r="6" spans="1:12" ht="14.25" customHeight="1">
      <c r="A6" s="688" t="s">
        <v>394</v>
      </c>
      <c r="B6" s="691" t="s">
        <v>0</v>
      </c>
      <c r="C6" s="694" t="s">
        <v>33</v>
      </c>
      <c r="D6" s="695"/>
      <c r="E6" s="696"/>
      <c r="F6" s="700" t="s">
        <v>549</v>
      </c>
      <c r="G6" s="701"/>
      <c r="H6" s="682" t="s">
        <v>541</v>
      </c>
      <c r="I6" s="682" t="s">
        <v>84</v>
      </c>
      <c r="J6" s="700" t="s">
        <v>308</v>
      </c>
      <c r="K6" s="701"/>
      <c r="L6" s="685" t="s">
        <v>396</v>
      </c>
    </row>
    <row r="7" spans="1:12" ht="6.75" customHeight="1">
      <c r="A7" s="689"/>
      <c r="B7" s="692"/>
      <c r="C7" s="697"/>
      <c r="D7" s="698"/>
      <c r="E7" s="699"/>
      <c r="F7" s="702"/>
      <c r="G7" s="703"/>
      <c r="H7" s="683"/>
      <c r="I7" s="683"/>
      <c r="J7" s="702"/>
      <c r="K7" s="703"/>
      <c r="L7" s="686"/>
    </row>
    <row r="8" spans="1:12" ht="19.899999999999999" customHeight="1">
      <c r="A8" s="690"/>
      <c r="B8" s="693"/>
      <c r="C8" s="591" t="s">
        <v>85</v>
      </c>
      <c r="D8" s="591" t="s">
        <v>11</v>
      </c>
      <c r="E8" s="591" t="s">
        <v>2</v>
      </c>
      <c r="F8" s="704"/>
      <c r="G8" s="705"/>
      <c r="H8" s="684"/>
      <c r="I8" s="684"/>
      <c r="J8" s="704"/>
      <c r="K8" s="705"/>
      <c r="L8" s="687"/>
    </row>
    <row r="9" spans="1:12" ht="19.899999999999999" customHeight="1">
      <c r="A9" s="350" t="s">
        <v>86</v>
      </c>
      <c r="B9" s="351" t="s">
        <v>87</v>
      </c>
      <c r="C9" s="352">
        <f t="shared" ref="C9" si="0">SUM(C10+C14+C15+C16+C17+C18+C19)</f>
        <v>125299729</v>
      </c>
      <c r="D9" s="352">
        <f>SUM(D10+D14+D15+D16+D17+D18+D19)</f>
        <v>125299729</v>
      </c>
      <c r="E9" s="352">
        <f t="shared" ref="E9:H9" si="1">SUM(E10+E14+E15+E16+E17+E18+E19)</f>
        <v>12008796</v>
      </c>
      <c r="F9" s="352">
        <f t="shared" si="1"/>
        <v>6955179.8300000001</v>
      </c>
      <c r="G9" s="352">
        <f t="shared" si="1"/>
        <v>6955179.8300000001</v>
      </c>
      <c r="H9" s="352">
        <f t="shared" si="1"/>
        <v>6067645.9000000004</v>
      </c>
      <c r="I9" s="352">
        <f>SUM(I10+I14+I15+I16+I17+I18+I19)</f>
        <v>6067645.9000000004</v>
      </c>
      <c r="J9" s="352">
        <f>+E9-G9</f>
        <v>5053616.17</v>
      </c>
      <c r="K9" s="352">
        <f>+D9-G9</f>
        <v>118344549.17</v>
      </c>
      <c r="L9" s="353">
        <f>+Funcionamiento!L11</f>
        <v>57.917378478242114</v>
      </c>
    </row>
    <row r="10" spans="1:12" ht="15" customHeight="1">
      <c r="A10" s="337" t="s">
        <v>88</v>
      </c>
      <c r="B10" s="338" t="s">
        <v>89</v>
      </c>
      <c r="C10" s="339">
        <f>SUM(C11:C13)</f>
        <v>83395405</v>
      </c>
      <c r="D10" s="339">
        <f>+D11+D12+D13</f>
        <v>83395405</v>
      </c>
      <c r="E10" s="339">
        <f>SUM(E11:E13)</f>
        <v>8618857</v>
      </c>
      <c r="F10" s="339">
        <f>SUM(F11:F13)</f>
        <v>4923367.96</v>
      </c>
      <c r="G10" s="339">
        <f>SUM(G11:G13)</f>
        <v>4923367.96</v>
      </c>
      <c r="H10" s="1">
        <f>+H11+H12+H13</f>
        <v>4923367.96</v>
      </c>
      <c r="I10" s="339">
        <f>SUM(I11:I13)</f>
        <v>4923367.96</v>
      </c>
      <c r="J10" s="339">
        <f>+E10-G10</f>
        <v>3695489.04</v>
      </c>
      <c r="K10" s="339">
        <f>+D10-G10</f>
        <v>78472037.040000007</v>
      </c>
      <c r="L10" s="340">
        <f>+Funcionamiento!L12</f>
        <v>57.123212045402305</v>
      </c>
    </row>
    <row r="11" spans="1:12" ht="15" customHeight="1">
      <c r="A11" s="337" t="s">
        <v>90</v>
      </c>
      <c r="B11" s="338" t="s">
        <v>89</v>
      </c>
      <c r="C11" s="339">
        <f>+Funcionamiento!C13</f>
        <v>71073045</v>
      </c>
      <c r="D11" s="339">
        <f>+Funcionamiento!D13</f>
        <v>71073045</v>
      </c>
      <c r="E11" s="339">
        <f>+Funcionamiento!E13</f>
        <v>5807687</v>
      </c>
      <c r="F11" s="339">
        <f>+Funcionamiento!F13</f>
        <v>4796501.1399999997</v>
      </c>
      <c r="G11" s="339">
        <f>+Funcionamiento!G13</f>
        <v>4796501.1399999997</v>
      </c>
      <c r="H11" s="339">
        <f>+Funcionamiento!H13</f>
        <v>4796501.1399999997</v>
      </c>
      <c r="I11" s="339">
        <f>+Funcionamiento!I13</f>
        <v>4796501.1399999997</v>
      </c>
      <c r="J11" s="339">
        <f>+Funcionamiento!J13</f>
        <v>1011185.8600000003</v>
      </c>
      <c r="K11" s="339">
        <f>+Funcionamiento!K13</f>
        <v>66276543.859999999</v>
      </c>
      <c r="L11" s="340">
        <f>+Funcionamiento!L13</f>
        <v>82.58883682953298</v>
      </c>
    </row>
    <row r="12" spans="1:12" ht="15" customHeight="1">
      <c r="A12" s="337" t="s">
        <v>91</v>
      </c>
      <c r="B12" s="338" t="s">
        <v>92</v>
      </c>
      <c r="C12" s="339">
        <f>+Funcionamiento!C14</f>
        <v>3944236</v>
      </c>
      <c r="D12" s="339">
        <f>+Funcionamiento!D14</f>
        <v>3944236</v>
      </c>
      <c r="E12" s="339">
        <f>+Funcionamiento!E14</f>
        <v>322143</v>
      </c>
      <c r="F12" s="339">
        <f>+Funcionamiento!F14</f>
        <v>111963.38</v>
      </c>
      <c r="G12" s="339">
        <f>+Funcionamiento!G14</f>
        <v>111963.38</v>
      </c>
      <c r="H12" s="339">
        <f>+Funcionamiento!H14</f>
        <v>111963.38</v>
      </c>
      <c r="I12" s="339">
        <f>+Funcionamiento!I14</f>
        <v>111963.38</v>
      </c>
      <c r="J12" s="339">
        <f>+Funcionamiento!J14</f>
        <v>210179.62</v>
      </c>
      <c r="K12" s="339">
        <f>+Funcionamiento!K14</f>
        <v>3832272.62</v>
      </c>
      <c r="L12" s="340">
        <f>+Funcionamiento!L14</f>
        <v>34.755800995210201</v>
      </c>
    </row>
    <row r="13" spans="1:12" ht="15" customHeight="1">
      <c r="A13" s="337" t="s">
        <v>93</v>
      </c>
      <c r="B13" s="338" t="s">
        <v>94</v>
      </c>
      <c r="C13" s="339">
        <f>+Funcionamiento!C15</f>
        <v>8378124</v>
      </c>
      <c r="D13" s="339">
        <f>+Funcionamiento!D15</f>
        <v>8378124</v>
      </c>
      <c r="E13" s="339">
        <f>+Funcionamiento!E15</f>
        <v>2489027</v>
      </c>
      <c r="F13" s="339">
        <f>+Funcionamiento!F15</f>
        <v>14903.44</v>
      </c>
      <c r="G13" s="339">
        <f>+Funcionamiento!G15</f>
        <v>14903.44</v>
      </c>
      <c r="H13" s="339">
        <f>+Funcionamiento!H15</f>
        <v>14903.44</v>
      </c>
      <c r="I13" s="339">
        <f>+Funcionamiento!I15</f>
        <v>14903.44</v>
      </c>
      <c r="J13" s="339">
        <f>+Funcionamiento!J15</f>
        <v>2474123.56</v>
      </c>
      <c r="K13" s="339">
        <f>+Funcionamiento!K15</f>
        <v>8363220.5599999996</v>
      </c>
      <c r="L13" s="340">
        <f>+Funcionamiento!L15</f>
        <v>0.59876570242106653</v>
      </c>
    </row>
    <row r="14" spans="1:12" ht="15" customHeight="1">
      <c r="A14" s="337" t="s">
        <v>95</v>
      </c>
      <c r="B14" s="338" t="s">
        <v>96</v>
      </c>
      <c r="C14" s="339">
        <f>+Funcionamiento!C16</f>
        <v>17439165</v>
      </c>
      <c r="D14" s="339">
        <f>+Funcionamiento!D16</f>
        <v>17439165</v>
      </c>
      <c r="E14" s="339">
        <f>+Funcionamiento!E16</f>
        <v>1315422</v>
      </c>
      <c r="F14" s="339">
        <f>+Funcionamiento!F16</f>
        <v>1127577.94</v>
      </c>
      <c r="G14" s="339">
        <f>+Funcionamiento!G16</f>
        <v>1127577.94</v>
      </c>
      <c r="H14" s="339">
        <f>+Funcionamiento!H16</f>
        <v>1127577.94</v>
      </c>
      <c r="I14" s="339">
        <f>+Funcionamiento!I16</f>
        <v>1127577.94</v>
      </c>
      <c r="J14" s="339">
        <f>+Funcionamiento!J16</f>
        <v>187844.06000000006</v>
      </c>
      <c r="K14" s="339">
        <f>+Funcionamiento!K16</f>
        <v>16311587.060000001</v>
      </c>
      <c r="L14" s="340">
        <f>+Funcionamiento!L16</f>
        <v>85.719863283417794</v>
      </c>
    </row>
    <row r="15" spans="1:12" ht="15" customHeight="1">
      <c r="A15" s="337" t="s">
        <v>102</v>
      </c>
      <c r="B15" s="338" t="s">
        <v>103</v>
      </c>
      <c r="C15" s="339">
        <f>+Funcionamiento!C20</f>
        <v>228000</v>
      </c>
      <c r="D15" s="339">
        <f>+Funcionamiento!D20</f>
        <v>228000</v>
      </c>
      <c r="E15" s="339">
        <f>+Funcionamiento!E20</f>
        <v>19000</v>
      </c>
      <c r="F15" s="339">
        <f>+Funcionamiento!F20</f>
        <v>16700</v>
      </c>
      <c r="G15" s="339">
        <f>+Funcionamiento!G20</f>
        <v>16700</v>
      </c>
      <c r="H15" s="339">
        <v>16700</v>
      </c>
      <c r="I15" s="339">
        <f>+Funcionamiento!I20</f>
        <v>16700</v>
      </c>
      <c r="J15" s="339">
        <f>+Funcionamiento!J20</f>
        <v>2300</v>
      </c>
      <c r="K15" s="339">
        <f>+Funcionamiento!K20</f>
        <v>211300</v>
      </c>
      <c r="L15" s="340">
        <f>+Funcionamiento!L20</f>
        <v>87.89473684210526</v>
      </c>
    </row>
    <row r="16" spans="1:12" ht="15" customHeight="1">
      <c r="A16" s="337" t="s">
        <v>104</v>
      </c>
      <c r="B16" s="338" t="s">
        <v>105</v>
      </c>
      <c r="C16" s="339">
        <f>+Funcionamiento!C21</f>
        <v>8407425</v>
      </c>
      <c r="D16" s="339">
        <f>+Funcionamiento!D21</f>
        <v>8407425</v>
      </c>
      <c r="E16" s="339">
        <f>+Funcionamiento!E21</f>
        <v>0</v>
      </c>
      <c r="F16" s="339">
        <f>+Funcionamiento!F21</f>
        <v>0</v>
      </c>
      <c r="G16" s="339">
        <f>+Funcionamiento!G21</f>
        <v>0</v>
      </c>
      <c r="H16" s="339"/>
      <c r="I16" s="339">
        <f>+Funcionamiento!I21</f>
        <v>0</v>
      </c>
      <c r="J16" s="339">
        <f>+Funcionamiento!J21</f>
        <v>0</v>
      </c>
      <c r="K16" s="339">
        <f>+Funcionamiento!K21</f>
        <v>8407425</v>
      </c>
      <c r="L16" s="340" t="str">
        <f>+Funcionamiento!L21</f>
        <v xml:space="preserve"> </v>
      </c>
    </row>
    <row r="17" spans="1:12" ht="15" customHeight="1">
      <c r="A17" s="337" t="s">
        <v>106</v>
      </c>
      <c r="B17" s="338" t="s">
        <v>107</v>
      </c>
      <c r="C17" s="339">
        <f>+Funcionamiento!C22</f>
        <v>15829734</v>
      </c>
      <c r="D17" s="339">
        <f>+Funcionamiento!D22</f>
        <v>15829734</v>
      </c>
      <c r="E17" s="339">
        <f>+Funcionamiento!E22</f>
        <v>2055517</v>
      </c>
      <c r="F17" s="339">
        <f>+Funcionamiento!F22</f>
        <v>887533.93</v>
      </c>
      <c r="G17" s="339">
        <f>+Funcionamiento!G22</f>
        <v>887533.93</v>
      </c>
      <c r="H17" s="339">
        <f>+Funcionamiento!H22</f>
        <v>0</v>
      </c>
      <c r="I17" s="339">
        <f>+Funcionamiento!I22</f>
        <v>0</v>
      </c>
      <c r="J17" s="339">
        <f>+Funcionamiento!J22</f>
        <v>1167983.0699999998</v>
      </c>
      <c r="K17" s="339">
        <f>+Funcionamiento!K22</f>
        <v>14942200.07</v>
      </c>
      <c r="L17" s="340">
        <f>+Funcionamiento!L22</f>
        <v>43.178136206122353</v>
      </c>
    </row>
    <row r="18" spans="1:12" ht="15" customHeight="1">
      <c r="A18" s="337" t="s">
        <v>116</v>
      </c>
      <c r="B18" s="338" t="s">
        <v>117</v>
      </c>
      <c r="C18" s="339">
        <f>+Funcionamiento!C27</f>
        <v>0</v>
      </c>
      <c r="D18" s="339">
        <v>0</v>
      </c>
      <c r="E18" s="339">
        <f>+Funcionamiento!E27</f>
        <v>0</v>
      </c>
      <c r="F18" s="339">
        <f>+Funcionamiento!F27</f>
        <v>0</v>
      </c>
      <c r="G18" s="339">
        <f>+Funcionamiento!G27</f>
        <v>0</v>
      </c>
      <c r="I18" s="339">
        <f>+Funcionamiento!I27</f>
        <v>0</v>
      </c>
      <c r="J18" s="339">
        <f>+Funcionamiento!J27</f>
        <v>0</v>
      </c>
      <c r="K18" s="339" t="e">
        <f>+Funcionamiento!K27</f>
        <v>#REF!</v>
      </c>
      <c r="L18" s="340">
        <f>+Funcionamiento!L27</f>
        <v>0</v>
      </c>
    </row>
    <row r="19" spans="1:12" ht="15" customHeight="1">
      <c r="A19" s="337" t="s">
        <v>118</v>
      </c>
      <c r="B19" s="338" t="s">
        <v>119</v>
      </c>
      <c r="C19" s="339">
        <f>+Funcionamiento!C29</f>
        <v>0</v>
      </c>
      <c r="D19" s="339">
        <v>0</v>
      </c>
      <c r="E19" s="339">
        <f>+Funcionamiento!E29</f>
        <v>0</v>
      </c>
      <c r="F19" s="339">
        <f>+Funcionamiento!F29</f>
        <v>0</v>
      </c>
      <c r="G19" s="339">
        <f>+Funcionamiento!G29</f>
        <v>0</v>
      </c>
      <c r="I19" s="339">
        <f>+Funcionamiento!I29</f>
        <v>0</v>
      </c>
      <c r="J19" s="339">
        <f>+Funcionamiento!J29</f>
        <v>0</v>
      </c>
      <c r="K19" s="339">
        <f>+Funcionamiento!K29</f>
        <v>0</v>
      </c>
      <c r="L19" s="340">
        <f>+Funcionamiento!L29</f>
        <v>0</v>
      </c>
    </row>
    <row r="20" spans="1:12" ht="15" customHeight="1">
      <c r="A20" s="337"/>
      <c r="B20" s="338"/>
      <c r="C20" s="339"/>
      <c r="D20" s="339"/>
      <c r="E20" s="339"/>
      <c r="F20" s="339"/>
      <c r="G20" s="339"/>
      <c r="H20" s="522"/>
      <c r="I20" s="339"/>
      <c r="J20" s="339"/>
      <c r="K20" s="339"/>
      <c r="L20" s="340"/>
    </row>
    <row r="21" spans="1:12" ht="19.899999999999999" customHeight="1">
      <c r="A21" s="354" t="s">
        <v>123</v>
      </c>
      <c r="B21" s="341" t="s">
        <v>124</v>
      </c>
      <c r="C21" s="342">
        <f>SUM(C22:C31)</f>
        <v>7951962</v>
      </c>
      <c r="D21" s="342">
        <f>D22+D23+D24++D25+D26+D28+D29+D30+D31+D27</f>
        <v>7951962</v>
      </c>
      <c r="E21" s="342">
        <f>SUM(E22:E31)</f>
        <v>2782540</v>
      </c>
      <c r="F21" s="342">
        <f>F22+F23+F24++F25+F26+F28+F29+F30+F31+F27</f>
        <v>39586.610000000008</v>
      </c>
      <c r="G21" s="342">
        <f>G22+G23+G24++G25+G26+G28+G29+G30+G31+G27</f>
        <v>39586.610000000008</v>
      </c>
      <c r="H21" s="524">
        <f>SUM(H22:H31)</f>
        <v>13603.590000000002</v>
      </c>
      <c r="I21" s="342">
        <f>I22+I23+I24++I25+I26+I28+I29+I30+I31+I27</f>
        <v>13312.95</v>
      </c>
      <c r="J21" s="342">
        <f t="shared" ref="J21:J31" si="2">+E21-G21</f>
        <v>2742953.39</v>
      </c>
      <c r="K21" s="342">
        <f t="shared" ref="K21:K31" si="3">+D21-G21</f>
        <v>7912375.3899999997</v>
      </c>
      <c r="L21" s="343">
        <f t="shared" ref="L21:L30" si="4">+G21*100/E21</f>
        <v>1.4226789192608196</v>
      </c>
    </row>
    <row r="22" spans="1:12" ht="15" customHeight="1">
      <c r="A22" s="337">
        <v>100</v>
      </c>
      <c r="B22" s="338" t="s">
        <v>125</v>
      </c>
      <c r="C22" s="339">
        <f>+Funcionamiento!C38</f>
        <v>151437</v>
      </c>
      <c r="D22" s="339">
        <f>+Funcionamiento!D38</f>
        <v>151437</v>
      </c>
      <c r="E22" s="339">
        <f>+Funcionamiento!E38</f>
        <v>39625</v>
      </c>
      <c r="F22" s="339">
        <f>+Funcionamiento!F38</f>
        <v>126.26</v>
      </c>
      <c r="G22" s="339">
        <f>+Funcionamiento!G38</f>
        <v>126.26</v>
      </c>
      <c r="H22" s="339">
        <f>+Funcionamiento!H38</f>
        <v>0</v>
      </c>
      <c r="I22" s="339">
        <f>+Funcionamiento!I38</f>
        <v>0</v>
      </c>
      <c r="J22" s="339">
        <f t="shared" si="2"/>
        <v>39498.74</v>
      </c>
      <c r="K22" s="339">
        <f t="shared" si="3"/>
        <v>151310.74</v>
      </c>
      <c r="L22" s="344">
        <f t="shared" si="4"/>
        <v>0.31863722397476341</v>
      </c>
    </row>
    <row r="23" spans="1:12" ht="15" customHeight="1">
      <c r="A23" s="355" t="s">
        <v>138</v>
      </c>
      <c r="B23" s="339" t="s">
        <v>139</v>
      </c>
      <c r="C23" s="339">
        <f>+Funcionamiento!C45</f>
        <v>3352943</v>
      </c>
      <c r="D23" s="339">
        <f>+Funcionamiento!D45</f>
        <v>3352943</v>
      </c>
      <c r="E23" s="339">
        <f>+Funcionamiento!E45</f>
        <v>463243</v>
      </c>
      <c r="F23" s="339">
        <f>+Funcionamiento!F45</f>
        <v>3504.08</v>
      </c>
      <c r="G23" s="339">
        <f>+Funcionamiento!G45</f>
        <v>3504.08</v>
      </c>
      <c r="H23" s="339">
        <f>+Funcionamiento!H45</f>
        <v>50</v>
      </c>
      <c r="I23" s="339">
        <f>+Funcionamiento!I45</f>
        <v>0</v>
      </c>
      <c r="J23" s="339">
        <f t="shared" si="2"/>
        <v>459738.92</v>
      </c>
      <c r="K23" s="339">
        <f t="shared" si="3"/>
        <v>3349438.92</v>
      </c>
      <c r="L23" s="344">
        <f t="shared" si="4"/>
        <v>0.7564237344115291</v>
      </c>
    </row>
    <row r="24" spans="1:12" ht="15" customHeight="1">
      <c r="A24" s="355" t="s">
        <v>150</v>
      </c>
      <c r="B24" s="339" t="s">
        <v>151</v>
      </c>
      <c r="C24" s="339">
        <f>+Funcionamiento!C54</f>
        <v>87500</v>
      </c>
      <c r="D24" s="339">
        <f>+Funcionamiento!D54</f>
        <v>87500</v>
      </c>
      <c r="E24" s="339">
        <f>+Funcionamiento!E54</f>
        <v>87500</v>
      </c>
      <c r="F24" s="339">
        <f>+Funcionamiento!F54</f>
        <v>274.73</v>
      </c>
      <c r="G24" s="339">
        <f>+Funcionamiento!G54</f>
        <v>274.73</v>
      </c>
      <c r="H24" s="339">
        <f>+Funcionamiento!H54</f>
        <v>58.85</v>
      </c>
      <c r="I24" s="339">
        <f>+Funcionamiento!I54</f>
        <v>0</v>
      </c>
      <c r="J24" s="339">
        <f t="shared" si="2"/>
        <v>87225.27</v>
      </c>
      <c r="K24" s="339">
        <f t="shared" si="3"/>
        <v>87225.27</v>
      </c>
      <c r="L24" s="344">
        <f t="shared" si="4"/>
        <v>0.31397714285714284</v>
      </c>
    </row>
    <row r="25" spans="1:12" ht="15" customHeight="1">
      <c r="A25" s="355" t="s">
        <v>152</v>
      </c>
      <c r="B25" s="339" t="s">
        <v>153</v>
      </c>
      <c r="C25" s="339">
        <f>+Funcionamiento!C55</f>
        <v>163284</v>
      </c>
      <c r="D25" s="339">
        <f>+Funcionamiento!D55</f>
        <v>163284</v>
      </c>
      <c r="E25" s="339">
        <f>+Funcionamiento!E55</f>
        <v>122840</v>
      </c>
      <c r="F25" s="339">
        <f>+Funcionamiento!F55</f>
        <v>327.42</v>
      </c>
      <c r="G25" s="339">
        <f>+Funcionamiento!G55</f>
        <v>327.42</v>
      </c>
      <c r="H25" s="339">
        <f>+Funcionamiento!H55</f>
        <v>0</v>
      </c>
      <c r="I25" s="339">
        <f>+Funcionamiento!I55</f>
        <v>0</v>
      </c>
      <c r="J25" s="339">
        <f t="shared" si="2"/>
        <v>122512.58</v>
      </c>
      <c r="K25" s="339">
        <f t="shared" si="3"/>
        <v>162956.57999999999</v>
      </c>
      <c r="L25" s="344">
        <f t="shared" si="4"/>
        <v>0.26654184304786716</v>
      </c>
    </row>
    <row r="26" spans="1:12" ht="15" customHeight="1">
      <c r="A26" s="355" t="s">
        <v>156</v>
      </c>
      <c r="B26" s="339" t="s">
        <v>157</v>
      </c>
      <c r="C26" s="339">
        <f>+Funcionamiento!C58</f>
        <v>981486</v>
      </c>
      <c r="D26" s="339">
        <f>+Funcionamiento!D58</f>
        <v>981486</v>
      </c>
      <c r="E26" s="339">
        <f>+Funcionamiento!E58</f>
        <v>553066</v>
      </c>
      <c r="F26" s="339">
        <f>+Funcionamiento!F58</f>
        <v>10820</v>
      </c>
      <c r="G26" s="339">
        <f>+Funcionamiento!G58</f>
        <v>10820</v>
      </c>
      <c r="H26" s="339">
        <f>+Funcionamiento!H58</f>
        <v>10820</v>
      </c>
      <c r="I26" s="339">
        <f>+Funcionamiento!I58</f>
        <v>10770</v>
      </c>
      <c r="J26" s="339">
        <f t="shared" si="2"/>
        <v>542246</v>
      </c>
      <c r="K26" s="339">
        <f t="shared" si="3"/>
        <v>970666</v>
      </c>
      <c r="L26" s="344">
        <f t="shared" si="4"/>
        <v>1.956366871223326</v>
      </c>
    </row>
    <row r="27" spans="1:12" ht="15" customHeight="1">
      <c r="A27" s="355" t="s">
        <v>163</v>
      </c>
      <c r="B27" s="339" t="s">
        <v>164</v>
      </c>
      <c r="C27" s="339">
        <f>+Funcionamiento!C62</f>
        <v>448811</v>
      </c>
      <c r="D27" s="339">
        <f>+Funcionamiento!D62</f>
        <v>448811</v>
      </c>
      <c r="E27" s="339">
        <f>+Funcionamiento!E62</f>
        <v>154980</v>
      </c>
      <c r="F27" s="339">
        <f>+Funcionamiento!F62</f>
        <v>2526.65</v>
      </c>
      <c r="G27" s="339">
        <f>+Funcionamiento!G62</f>
        <v>2526.65</v>
      </c>
      <c r="H27" s="339">
        <f>+Funcionamiento!H62</f>
        <v>1349.71</v>
      </c>
      <c r="I27" s="339">
        <f>+Funcionamiento!I62</f>
        <v>1312.95</v>
      </c>
      <c r="J27" s="339">
        <f t="shared" si="2"/>
        <v>152453.35</v>
      </c>
      <c r="K27" s="339">
        <f t="shared" si="3"/>
        <v>446284.35</v>
      </c>
      <c r="L27" s="344">
        <f t="shared" si="4"/>
        <v>1.6303071364046975</v>
      </c>
    </row>
    <row r="28" spans="1:12" ht="15" customHeight="1">
      <c r="A28" s="355" t="s">
        <v>168</v>
      </c>
      <c r="B28" s="339" t="s">
        <v>169</v>
      </c>
      <c r="C28" s="339">
        <f>+Funcionamiento!C67</f>
        <v>1451047</v>
      </c>
      <c r="D28" s="339">
        <f>+Funcionamiento!D67</f>
        <v>1451047</v>
      </c>
      <c r="E28" s="339">
        <f>+Funcionamiento!E67</f>
        <v>693025</v>
      </c>
      <c r="F28" s="339">
        <f>+Funcionamiento!F67</f>
        <v>4845.37</v>
      </c>
      <c r="G28" s="339">
        <f>+Funcionamiento!G67</f>
        <v>4845.37</v>
      </c>
      <c r="H28" s="339">
        <f>+Funcionamiento!H67</f>
        <v>1260.01</v>
      </c>
      <c r="I28" s="339">
        <f>+Funcionamiento!I67</f>
        <v>1230</v>
      </c>
      <c r="J28" s="339">
        <f t="shared" si="2"/>
        <v>688179.63</v>
      </c>
      <c r="K28" s="339">
        <f t="shared" si="3"/>
        <v>1446201.63</v>
      </c>
      <c r="L28" s="344">
        <f t="shared" si="4"/>
        <v>0.69916236787994657</v>
      </c>
    </row>
    <row r="29" spans="1:12" ht="15" customHeight="1">
      <c r="A29" s="356">
        <v>170</v>
      </c>
      <c r="B29" s="357" t="s">
        <v>347</v>
      </c>
      <c r="C29" s="339">
        <f>+Funcionamiento!C73</f>
        <v>305833</v>
      </c>
      <c r="D29" s="339">
        <f>+Funcionamiento!D73</f>
        <v>305833</v>
      </c>
      <c r="E29" s="339">
        <f>+Funcionamiento!E73</f>
        <v>81142</v>
      </c>
      <c r="F29" s="339">
        <f>+Funcionamiento!F73</f>
        <v>4849.76</v>
      </c>
      <c r="G29" s="339">
        <f>+Funcionamiento!G73</f>
        <v>4849.76</v>
      </c>
      <c r="H29" s="339">
        <f>+Funcionamiento!H73</f>
        <v>0</v>
      </c>
      <c r="I29" s="339">
        <f>+Funcionamiento!I73</f>
        <v>0</v>
      </c>
      <c r="J29" s="339">
        <f t="shared" si="2"/>
        <v>76292.240000000005</v>
      </c>
      <c r="K29" s="339">
        <f t="shared" si="3"/>
        <v>300983.24</v>
      </c>
      <c r="L29" s="344">
        <f t="shared" si="4"/>
        <v>5.9768800374651843</v>
      </c>
    </row>
    <row r="30" spans="1:12" ht="15" customHeight="1">
      <c r="A30" s="355" t="s">
        <v>177</v>
      </c>
      <c r="B30" s="339" t="s">
        <v>178</v>
      </c>
      <c r="C30" s="339">
        <f>+Funcionamiento!C76</f>
        <v>1009621</v>
      </c>
      <c r="D30" s="339">
        <f>+Funcionamiento!D76</f>
        <v>1009621</v>
      </c>
      <c r="E30" s="339">
        <f>+Funcionamiento!E76</f>
        <v>587119</v>
      </c>
      <c r="F30" s="339">
        <f>+Funcionamiento!F76</f>
        <v>12312.34</v>
      </c>
      <c r="G30" s="339">
        <f>+Funcionamiento!G76</f>
        <v>12312.34</v>
      </c>
      <c r="H30" s="339">
        <f>+Funcionamiento!H76</f>
        <v>65.02</v>
      </c>
      <c r="I30" s="339">
        <f>+Funcionamiento!I76</f>
        <v>0</v>
      </c>
      <c r="J30" s="339">
        <f t="shared" si="2"/>
        <v>574806.66</v>
      </c>
      <c r="K30" s="339">
        <f t="shared" si="3"/>
        <v>997308.66</v>
      </c>
      <c r="L30" s="344">
        <f t="shared" si="4"/>
        <v>2.097077423827197</v>
      </c>
    </row>
    <row r="31" spans="1:12" ht="15" customHeight="1">
      <c r="A31" s="337">
        <v>190</v>
      </c>
      <c r="B31" s="338" t="s">
        <v>183</v>
      </c>
      <c r="C31" s="339">
        <f>+Funcionamiento!C83</f>
        <v>0</v>
      </c>
      <c r="D31" s="339">
        <f>+Funcionamiento!D83</f>
        <v>0</v>
      </c>
      <c r="E31" s="339">
        <f>+Funcionamiento!E83</f>
        <v>0</v>
      </c>
      <c r="F31" s="339">
        <f>+Funcionamiento!F83</f>
        <v>0</v>
      </c>
      <c r="G31" s="339">
        <f>+Funcionamiento!G83</f>
        <v>0</v>
      </c>
      <c r="I31" s="339">
        <f>+Funcionamiento!I83</f>
        <v>0</v>
      </c>
      <c r="J31" s="339">
        <f t="shared" si="2"/>
        <v>0</v>
      </c>
      <c r="K31" s="339">
        <f t="shared" si="3"/>
        <v>0</v>
      </c>
      <c r="L31" s="344" t="s">
        <v>6</v>
      </c>
    </row>
    <row r="32" spans="1:12" ht="15" customHeight="1">
      <c r="A32" s="337"/>
      <c r="B32" s="338"/>
      <c r="C32" s="339"/>
      <c r="D32" s="339"/>
      <c r="E32" s="339"/>
      <c r="F32" s="339"/>
      <c r="G32" s="339"/>
      <c r="H32" s="522"/>
      <c r="I32" s="339"/>
      <c r="J32" s="339"/>
      <c r="K32" s="339"/>
      <c r="L32" s="344"/>
    </row>
    <row r="33" spans="1:12" ht="19.899999999999999" customHeight="1">
      <c r="A33" s="350" t="s">
        <v>184</v>
      </c>
      <c r="B33" s="351" t="s">
        <v>185</v>
      </c>
      <c r="C33" s="352">
        <f>+C34+C35+C36+C37+C38+C39+C40+C41+C42+C43</f>
        <v>3342561</v>
      </c>
      <c r="D33" s="352">
        <f>SUM(D34:D43)</f>
        <v>3342561</v>
      </c>
      <c r="E33" s="342">
        <f>SUM(E34:E43)</f>
        <v>2276443</v>
      </c>
      <c r="F33" s="352">
        <f>+F34+F35+F36+F37+F38+F39+F40+F41+F42+F43</f>
        <v>120150.5</v>
      </c>
      <c r="G33" s="352">
        <f>SUM(G34:G43)</f>
        <v>120150.5</v>
      </c>
      <c r="H33" s="342">
        <f>SUM(H34:H42)</f>
        <v>2677.4900000000002</v>
      </c>
      <c r="I33" s="352">
        <f>+I34+I35+I36+I37+I38+I39+I40+I41+I42+I43</f>
        <v>0</v>
      </c>
      <c r="J33" s="352">
        <f>+E33-G33</f>
        <v>2156292.5</v>
      </c>
      <c r="K33" s="352">
        <f t="shared" ref="K33:K43" si="5">+D33-G33</f>
        <v>3222410.5</v>
      </c>
      <c r="L33" s="358">
        <f t="shared" ref="L33:L42" si="6">+G33*100/E33</f>
        <v>5.2779929038416515</v>
      </c>
    </row>
    <row r="34" spans="1:12" ht="15" customHeight="1">
      <c r="A34" s="337" t="s">
        <v>186</v>
      </c>
      <c r="B34" s="338" t="s">
        <v>187</v>
      </c>
      <c r="C34" s="339">
        <f>+Funcionamiento!C94</f>
        <v>185018</v>
      </c>
      <c r="D34" s="339">
        <f>+Funcionamiento!D94</f>
        <v>185018</v>
      </c>
      <c r="E34" s="339">
        <f>+Funcionamiento!E94</f>
        <v>72954</v>
      </c>
      <c r="F34" s="339">
        <f>+Funcionamiento!F94</f>
        <v>743.5</v>
      </c>
      <c r="G34" s="339">
        <f>+Funcionamiento!G94</f>
        <v>743.5</v>
      </c>
      <c r="H34" s="339">
        <f>+Funcionamiento!H94</f>
        <v>0</v>
      </c>
      <c r="I34" s="339">
        <f>+Funcionamiento!I94</f>
        <v>0</v>
      </c>
      <c r="J34" s="339">
        <f>+Funcionamiento!J94</f>
        <v>72210.5</v>
      </c>
      <c r="K34" s="339">
        <f t="shared" si="5"/>
        <v>184274.5</v>
      </c>
      <c r="L34" s="344">
        <f t="shared" si="6"/>
        <v>1.0191353455602161</v>
      </c>
    </row>
    <row r="35" spans="1:12" ht="15" customHeight="1">
      <c r="A35" s="355" t="s">
        <v>192</v>
      </c>
      <c r="B35" s="339" t="s">
        <v>193</v>
      </c>
      <c r="C35" s="339">
        <f>+Funcionamiento!C97</f>
        <v>196410</v>
      </c>
      <c r="D35" s="339">
        <f>+Funcionamiento!D97</f>
        <v>196410</v>
      </c>
      <c r="E35" s="339">
        <f>+Funcionamiento!E97</f>
        <v>123508</v>
      </c>
      <c r="F35" s="339">
        <f>+Funcionamiento!F97</f>
        <v>417.3</v>
      </c>
      <c r="G35" s="339">
        <f>+Funcionamiento!G97</f>
        <v>417.3</v>
      </c>
      <c r="H35" s="339">
        <f>+Funcionamiento!H97</f>
        <v>417.3</v>
      </c>
      <c r="I35" s="339">
        <f>+Funcionamiento!I97</f>
        <v>0</v>
      </c>
      <c r="J35" s="339">
        <f>+Funcionamiento!J97</f>
        <v>123090.7</v>
      </c>
      <c r="K35" s="339">
        <f t="shared" si="5"/>
        <v>195992.7</v>
      </c>
      <c r="L35" s="344">
        <f t="shared" si="6"/>
        <v>0.3378728503416783</v>
      </c>
    </row>
    <row r="36" spans="1:12" ht="15" customHeight="1">
      <c r="A36" s="355" t="s">
        <v>204</v>
      </c>
      <c r="B36" s="339" t="s">
        <v>205</v>
      </c>
      <c r="C36" s="339">
        <f>+Funcionamiento!C103</f>
        <v>661282</v>
      </c>
      <c r="D36" s="339">
        <f>+Funcionamiento!D103</f>
        <v>661282</v>
      </c>
      <c r="E36" s="339">
        <f>+Funcionamiento!E103</f>
        <v>606235</v>
      </c>
      <c r="F36" s="339">
        <f>+Funcionamiento!F103</f>
        <v>50377.49</v>
      </c>
      <c r="G36" s="339">
        <f>+Funcionamiento!G103</f>
        <v>50377.49</v>
      </c>
      <c r="H36" s="339">
        <f>+Funcionamiento!H103</f>
        <v>380.74</v>
      </c>
      <c r="I36" s="339">
        <f>+Funcionamiento!I103</f>
        <v>0</v>
      </c>
      <c r="J36" s="339">
        <f>+Funcionamiento!J103</f>
        <v>555857.51</v>
      </c>
      <c r="K36" s="339">
        <f t="shared" si="5"/>
        <v>610904.51</v>
      </c>
      <c r="L36" s="344">
        <f t="shared" si="6"/>
        <v>8.3098946778064615</v>
      </c>
    </row>
    <row r="37" spans="1:12" ht="15" customHeight="1">
      <c r="A37" s="355" t="s">
        <v>213</v>
      </c>
      <c r="B37" s="339" t="s">
        <v>214</v>
      </c>
      <c r="C37" s="339">
        <f>+Funcionamiento!C109</f>
        <v>249812</v>
      </c>
      <c r="D37" s="339">
        <f>+Funcionamiento!D109</f>
        <v>249812</v>
      </c>
      <c r="E37" s="339">
        <f>+Funcionamiento!E109</f>
        <v>159430</v>
      </c>
      <c r="F37" s="339">
        <f>+Funcionamiento!F109</f>
        <v>164.57</v>
      </c>
      <c r="G37" s="339">
        <f>+Funcionamiento!G109</f>
        <v>164.57</v>
      </c>
      <c r="H37" s="339">
        <f>+Funcionamiento!H109</f>
        <v>57.57</v>
      </c>
      <c r="I37" s="339">
        <f>+Funcionamiento!I109</f>
        <v>0</v>
      </c>
      <c r="J37" s="339">
        <f>+Funcionamiento!J109</f>
        <v>159265.43</v>
      </c>
      <c r="K37" s="339">
        <f t="shared" si="5"/>
        <v>249647.43</v>
      </c>
      <c r="L37" s="344">
        <f t="shared" si="6"/>
        <v>0.10322398544815907</v>
      </c>
    </row>
    <row r="38" spans="1:12" ht="15" customHeight="1">
      <c r="A38" s="355" t="s">
        <v>221</v>
      </c>
      <c r="B38" s="339" t="s">
        <v>222</v>
      </c>
      <c r="C38" s="339">
        <f>+Funcionamiento!C113</f>
        <v>258848</v>
      </c>
      <c r="D38" s="339">
        <f>+Funcionamiento!D113</f>
        <v>258848</v>
      </c>
      <c r="E38" s="339">
        <f>+Funcionamiento!E113</f>
        <v>161855</v>
      </c>
      <c r="F38" s="339">
        <f>+Funcionamiento!F113</f>
        <v>583.15</v>
      </c>
      <c r="G38" s="339">
        <f>+Funcionamiento!G113</f>
        <v>583.15</v>
      </c>
      <c r="H38" s="339">
        <f>+Funcionamiento!H113</f>
        <v>228.07</v>
      </c>
      <c r="I38" s="339">
        <f>+Funcionamiento!I113</f>
        <v>0</v>
      </c>
      <c r="J38" s="339">
        <f>+Funcionamiento!J113</f>
        <v>161271.85</v>
      </c>
      <c r="K38" s="339">
        <f t="shared" si="5"/>
        <v>258264.85</v>
      </c>
      <c r="L38" s="344">
        <f t="shared" si="6"/>
        <v>0.3602916190417349</v>
      </c>
    </row>
    <row r="39" spans="1:12" ht="15" customHeight="1">
      <c r="A39" s="355" t="s">
        <v>233</v>
      </c>
      <c r="B39" s="339" t="s">
        <v>234</v>
      </c>
      <c r="C39" s="339">
        <f>+Funcionamiento!C119</f>
        <v>277892</v>
      </c>
      <c r="D39" s="339">
        <f>+Funcionamiento!D119</f>
        <v>277892</v>
      </c>
      <c r="E39" s="339">
        <f>+Funcionamiento!E119</f>
        <v>202980</v>
      </c>
      <c r="F39" s="339">
        <f>+Funcionamiento!F119</f>
        <v>7812.2400000000007</v>
      </c>
      <c r="G39" s="339">
        <f>+Funcionamiento!G119</f>
        <v>7812.2400000000007</v>
      </c>
      <c r="H39" s="339">
        <f>+Funcionamiento!H119</f>
        <v>122.15999999999998</v>
      </c>
      <c r="I39" s="339">
        <f>+Funcionamiento!I119</f>
        <v>0</v>
      </c>
      <c r="J39" s="339">
        <f>+Funcionamiento!J119</f>
        <v>195167.76</v>
      </c>
      <c r="K39" s="339">
        <f t="shared" si="5"/>
        <v>270079.76</v>
      </c>
      <c r="L39" s="344">
        <f t="shared" si="6"/>
        <v>3.848773278155484</v>
      </c>
    </row>
    <row r="40" spans="1:12" ht="15" customHeight="1">
      <c r="A40" s="355" t="s">
        <v>247</v>
      </c>
      <c r="B40" s="339" t="s">
        <v>248</v>
      </c>
      <c r="C40" s="339">
        <f>+Funcionamiento!C127</f>
        <v>475695</v>
      </c>
      <c r="D40" s="339">
        <f>+Funcionamiento!D127</f>
        <v>475695</v>
      </c>
      <c r="E40" s="339">
        <f>+Funcionamiento!E127</f>
        <v>250416</v>
      </c>
      <c r="F40" s="339">
        <f>+Funcionamiento!F127</f>
        <v>3223.09</v>
      </c>
      <c r="G40" s="339">
        <f>+Funcionamiento!G127</f>
        <v>3223.09</v>
      </c>
      <c r="H40" s="339">
        <f>+Funcionamiento!H127</f>
        <v>37.99</v>
      </c>
      <c r="I40" s="339">
        <f>+Funcionamiento!I127</f>
        <v>0</v>
      </c>
      <c r="J40" s="339">
        <f>+Funcionamiento!J127</f>
        <v>247192.91</v>
      </c>
      <c r="K40" s="339">
        <f t="shared" si="5"/>
        <v>472471.91</v>
      </c>
      <c r="L40" s="344">
        <f t="shared" si="6"/>
        <v>1.28709427512619</v>
      </c>
    </row>
    <row r="41" spans="1:12" ht="15" customHeight="1">
      <c r="A41" s="355" t="s">
        <v>254</v>
      </c>
      <c r="B41" s="339" t="s">
        <v>255</v>
      </c>
      <c r="C41" s="339">
        <f>+Funcionamiento!C133</f>
        <v>829295</v>
      </c>
      <c r="D41" s="339">
        <f>+Funcionamiento!D133</f>
        <v>829295</v>
      </c>
      <c r="E41" s="339">
        <f>+Funcionamiento!E133</f>
        <v>516652</v>
      </c>
      <c r="F41" s="339">
        <f>+Funcionamiento!F133</f>
        <v>55755.16</v>
      </c>
      <c r="G41" s="339">
        <f>+Funcionamiento!G133</f>
        <v>55755.16</v>
      </c>
      <c r="H41" s="339">
        <f>+Funcionamiento!H133</f>
        <v>463.35</v>
      </c>
      <c r="I41" s="339">
        <f>+Funcionamiento!I133</f>
        <v>0</v>
      </c>
      <c r="J41" s="339">
        <f>+Funcionamiento!J133</f>
        <v>460896.83999999997</v>
      </c>
      <c r="K41" s="339">
        <f t="shared" si="5"/>
        <v>773539.83999999997</v>
      </c>
      <c r="L41" s="344">
        <f t="shared" si="6"/>
        <v>10.791627633300559</v>
      </c>
    </row>
    <row r="42" spans="1:12" ht="15.75" customHeight="1">
      <c r="A42" s="355" t="s">
        <v>270</v>
      </c>
      <c r="B42" s="339" t="s">
        <v>271</v>
      </c>
      <c r="C42" s="339">
        <f>+Funcionamiento!C142</f>
        <v>208309</v>
      </c>
      <c r="D42" s="339">
        <f>+Funcionamiento!D142</f>
        <v>208309</v>
      </c>
      <c r="E42" s="339">
        <f>+Funcionamiento!E142</f>
        <v>182413</v>
      </c>
      <c r="F42" s="339">
        <f>+Funcionamiento!F142</f>
        <v>1074</v>
      </c>
      <c r="G42" s="339">
        <f>+Funcionamiento!G142</f>
        <v>1074</v>
      </c>
      <c r="H42" s="339">
        <f>+Funcionamiento!H142</f>
        <v>970.31</v>
      </c>
      <c r="I42" s="339">
        <f>+Funcionamiento!I142</f>
        <v>0</v>
      </c>
      <c r="J42" s="339">
        <f>+Funcionamiento!J142</f>
        <v>181339</v>
      </c>
      <c r="K42" s="339">
        <f t="shared" si="5"/>
        <v>207235</v>
      </c>
      <c r="L42" s="344">
        <f t="shared" si="6"/>
        <v>0.58877382642684462</v>
      </c>
    </row>
    <row r="43" spans="1:12" ht="0.75" customHeight="1">
      <c r="A43" s="337">
        <v>290</v>
      </c>
      <c r="B43" s="339" t="s">
        <v>272</v>
      </c>
      <c r="C43" s="339">
        <f>+Funcionamiento!C143</f>
        <v>0</v>
      </c>
      <c r="D43" s="339">
        <f>+Funcionamiento!D143</f>
        <v>0</v>
      </c>
      <c r="E43" s="339">
        <f>+Funcionamiento!E143</f>
        <v>0</v>
      </c>
      <c r="F43" s="339">
        <f>+Funcionamiento!F143</f>
        <v>0</v>
      </c>
      <c r="G43" s="339">
        <f>+Funcionamiento!G143</f>
        <v>0</v>
      </c>
      <c r="I43" s="339">
        <f>+Funcionamiento!I143</f>
        <v>0</v>
      </c>
      <c r="J43" s="339">
        <f>+E43-G43</f>
        <v>0</v>
      </c>
      <c r="K43" s="339">
        <f t="shared" si="5"/>
        <v>0</v>
      </c>
      <c r="L43" s="344" t="s">
        <v>6</v>
      </c>
    </row>
    <row r="44" spans="1:12" ht="4.5" customHeight="1">
      <c r="A44" s="337"/>
      <c r="B44" s="339"/>
      <c r="C44" s="339"/>
      <c r="D44" s="339"/>
      <c r="E44" s="339"/>
      <c r="F44" s="339"/>
      <c r="G44" s="339"/>
      <c r="I44" s="339"/>
      <c r="J44" s="339"/>
      <c r="K44" s="339"/>
      <c r="L44" s="344"/>
    </row>
    <row r="45" spans="1:12" ht="14.25" hidden="1" customHeight="1">
      <c r="A45" s="354" t="s">
        <v>277</v>
      </c>
      <c r="B45" s="341" t="s">
        <v>278</v>
      </c>
      <c r="C45" s="342">
        <f>+C46+C47+C51+C52+C53+C48+C49+C50</f>
        <v>0</v>
      </c>
      <c r="D45" s="342" t="e">
        <f>+D46+D47+D51+D52+D53+D48+D49+D50+D54</f>
        <v>#VALUE!</v>
      </c>
      <c r="E45" s="342">
        <f>+E46+E47+E48+E49+E50+E51+E52+E54+E53</f>
        <v>0</v>
      </c>
      <c r="F45" s="342">
        <f>SUM(F46:F54)</f>
        <v>0</v>
      </c>
      <c r="G45" s="342">
        <f>+G46+G47+G48+G49+G50+G51+G52+G53+G54</f>
        <v>0</v>
      </c>
      <c r="I45" s="342">
        <f>SUM(I46:I54)</f>
        <v>0</v>
      </c>
      <c r="J45" s="342">
        <f t="shared" ref="J45:J54" si="7">+E45-G45</f>
        <v>0</v>
      </c>
      <c r="K45" s="342" t="e">
        <f t="shared" ref="K45:K54" si="8">+D45-G45</f>
        <v>#VALUE!</v>
      </c>
      <c r="L45" s="343" t="s">
        <v>6</v>
      </c>
    </row>
    <row r="46" spans="1:12" ht="14.25" hidden="1" customHeight="1">
      <c r="A46" s="337">
        <v>300</v>
      </c>
      <c r="B46" s="338" t="s">
        <v>279</v>
      </c>
      <c r="C46" s="359">
        <v>0</v>
      </c>
      <c r="D46" s="339" t="s">
        <v>6</v>
      </c>
      <c r="E46" s="339">
        <f>+Funcionamiento!E154</f>
        <v>0</v>
      </c>
      <c r="F46" s="339">
        <f>+Funcionamiento!F154</f>
        <v>0</v>
      </c>
      <c r="G46" s="339">
        <f>+Funcionamiento!G154</f>
        <v>0</v>
      </c>
      <c r="I46" s="339">
        <f>+Funcionamiento!I154</f>
        <v>0</v>
      </c>
      <c r="J46" s="339">
        <f t="shared" si="7"/>
        <v>0</v>
      </c>
      <c r="K46" s="339" t="e">
        <f t="shared" si="8"/>
        <v>#VALUE!</v>
      </c>
      <c r="L46" s="344"/>
    </row>
    <row r="47" spans="1:12" ht="14.25" hidden="1" customHeight="1">
      <c r="A47" s="337">
        <v>310</v>
      </c>
      <c r="B47" s="338" t="s">
        <v>280</v>
      </c>
      <c r="C47" s="339">
        <v>0</v>
      </c>
      <c r="D47" s="339">
        <f>+Funcionamiento!D164</f>
        <v>0</v>
      </c>
      <c r="E47" s="339">
        <f>+Funcionamiento!E164</f>
        <v>0</v>
      </c>
      <c r="F47" s="339">
        <f>+Funcionamiento!F164</f>
        <v>0</v>
      </c>
      <c r="G47" s="339">
        <f>+Funcionamiento!G164</f>
        <v>0</v>
      </c>
      <c r="I47" s="339">
        <f>+Funcionamiento!I164</f>
        <v>0</v>
      </c>
      <c r="J47" s="339">
        <f t="shared" si="7"/>
        <v>0</v>
      </c>
      <c r="K47" s="339">
        <f t="shared" si="8"/>
        <v>0</v>
      </c>
      <c r="L47" s="344"/>
    </row>
    <row r="48" spans="1:12" ht="14.25" hidden="1" customHeight="1">
      <c r="A48" s="337">
        <v>320</v>
      </c>
      <c r="B48" s="339" t="s">
        <v>281</v>
      </c>
      <c r="C48" s="339">
        <v>0</v>
      </c>
      <c r="D48" s="339">
        <f>+Funcionamiento!D168</f>
        <v>0</v>
      </c>
      <c r="E48" s="339">
        <f>+Funcionamiento!E168</f>
        <v>0</v>
      </c>
      <c r="F48" s="339">
        <f>+Funcionamiento!F168</f>
        <v>0</v>
      </c>
      <c r="G48" s="339">
        <f>+Funcionamiento!G168</f>
        <v>0</v>
      </c>
      <c r="I48" s="339">
        <f>+Funcionamiento!I168</f>
        <v>0</v>
      </c>
      <c r="J48" s="339">
        <f t="shared" si="7"/>
        <v>0</v>
      </c>
      <c r="K48" s="339">
        <f t="shared" si="8"/>
        <v>0</v>
      </c>
      <c r="L48" s="344"/>
    </row>
    <row r="49" spans="1:12" ht="14.25" hidden="1" customHeight="1">
      <c r="A49" s="337">
        <v>330</v>
      </c>
      <c r="B49" s="339" t="s">
        <v>282</v>
      </c>
      <c r="C49" s="339">
        <v>0</v>
      </c>
      <c r="D49" s="339">
        <f>+Funcionamiento!D169</f>
        <v>0</v>
      </c>
      <c r="E49" s="339">
        <f>+Funcionamiento!E169</f>
        <v>0</v>
      </c>
      <c r="F49" s="339">
        <f>+Funcionamiento!F169</f>
        <v>0</v>
      </c>
      <c r="G49" s="339">
        <f>+Funcionamiento!G169</f>
        <v>0</v>
      </c>
      <c r="I49" s="339">
        <f>+Funcionamiento!I169</f>
        <v>0</v>
      </c>
      <c r="J49" s="339">
        <f t="shared" si="7"/>
        <v>0</v>
      </c>
      <c r="K49" s="339">
        <f t="shared" si="8"/>
        <v>0</v>
      </c>
      <c r="L49" s="344"/>
    </row>
    <row r="50" spans="1:12" ht="14.25" hidden="1" customHeight="1">
      <c r="A50" s="337">
        <v>340</v>
      </c>
      <c r="B50" s="339" t="s">
        <v>131</v>
      </c>
      <c r="C50" s="339">
        <v>0</v>
      </c>
      <c r="D50" s="339">
        <f>+Funcionamiento!D171</f>
        <v>0</v>
      </c>
      <c r="E50" s="339">
        <f>+Funcionamiento!E171</f>
        <v>0</v>
      </c>
      <c r="F50" s="339">
        <f>+Funcionamiento!F171</f>
        <v>0</v>
      </c>
      <c r="G50" s="339">
        <f>+Funcionamiento!G171</f>
        <v>0</v>
      </c>
      <c r="I50" s="339">
        <f>+Funcionamiento!I171</f>
        <v>0</v>
      </c>
      <c r="J50" s="339">
        <f t="shared" si="7"/>
        <v>0</v>
      </c>
      <c r="K50" s="339">
        <f t="shared" si="8"/>
        <v>0</v>
      </c>
      <c r="L50" s="344"/>
    </row>
    <row r="51" spans="1:12" ht="14.25" hidden="1" customHeight="1">
      <c r="A51" s="337">
        <v>350</v>
      </c>
      <c r="B51" s="339" t="s">
        <v>283</v>
      </c>
      <c r="C51" s="339">
        <v>0</v>
      </c>
      <c r="D51" s="339">
        <f>+Funcionamiento!D172</f>
        <v>0</v>
      </c>
      <c r="E51" s="339">
        <f>+Funcionamiento!E172</f>
        <v>0</v>
      </c>
      <c r="F51" s="339">
        <f>+Funcionamiento!F172</f>
        <v>0</v>
      </c>
      <c r="G51" s="339">
        <f>+Funcionamiento!G172</f>
        <v>0</v>
      </c>
      <c r="I51" s="339">
        <f>+Funcionamiento!I172</f>
        <v>0</v>
      </c>
      <c r="J51" s="339">
        <f t="shared" si="7"/>
        <v>0</v>
      </c>
      <c r="K51" s="339">
        <f t="shared" si="8"/>
        <v>0</v>
      </c>
      <c r="L51" s="344"/>
    </row>
    <row r="52" spans="1:12" ht="14.25" hidden="1" customHeight="1">
      <c r="A52" s="337">
        <v>370</v>
      </c>
      <c r="B52" s="339" t="s">
        <v>284</v>
      </c>
      <c r="C52" s="339">
        <v>0</v>
      </c>
      <c r="D52" s="339">
        <f>+Funcionamiento!D173</f>
        <v>0</v>
      </c>
      <c r="E52" s="339">
        <f>+Funcionamiento!E173</f>
        <v>0</v>
      </c>
      <c r="F52" s="339">
        <f>+Funcionamiento!F173</f>
        <v>0</v>
      </c>
      <c r="G52" s="339">
        <f>+Funcionamiento!G173</f>
        <v>0</v>
      </c>
      <c r="I52" s="339">
        <f>+Funcionamiento!I173</f>
        <v>0</v>
      </c>
      <c r="J52" s="339">
        <f t="shared" si="7"/>
        <v>0</v>
      </c>
      <c r="K52" s="339">
        <f t="shared" si="8"/>
        <v>0</v>
      </c>
      <c r="L52" s="344"/>
    </row>
    <row r="53" spans="1:12" ht="14.25" hidden="1" customHeight="1">
      <c r="A53" s="337">
        <v>380</v>
      </c>
      <c r="B53" s="339" t="s">
        <v>285</v>
      </c>
      <c r="C53" s="339"/>
      <c r="D53" s="339">
        <f>+Funcionamiento!D174</f>
        <v>0</v>
      </c>
      <c r="E53" s="339">
        <f>+Funcionamiento!E174</f>
        <v>0</v>
      </c>
      <c r="F53" s="339">
        <f>+Funcionamiento!F174</f>
        <v>0</v>
      </c>
      <c r="G53" s="339">
        <f>+Funcionamiento!G174</f>
        <v>0</v>
      </c>
      <c r="I53" s="339">
        <f>+Funcionamiento!I174</f>
        <v>0</v>
      </c>
      <c r="J53" s="339">
        <f t="shared" si="7"/>
        <v>0</v>
      </c>
      <c r="K53" s="339">
        <f t="shared" si="8"/>
        <v>0</v>
      </c>
      <c r="L53" s="344"/>
    </row>
    <row r="54" spans="1:12" ht="14.25" hidden="1" customHeight="1">
      <c r="A54" s="337">
        <v>390</v>
      </c>
      <c r="B54" s="339" t="s">
        <v>409</v>
      </c>
      <c r="C54" s="339"/>
      <c r="D54" s="339">
        <f>+Funcionamiento!D175</f>
        <v>0</v>
      </c>
      <c r="E54" s="339">
        <f>+Funcionamiento!E175</f>
        <v>0</v>
      </c>
      <c r="F54" s="339">
        <f>+Funcionamiento!F175</f>
        <v>0</v>
      </c>
      <c r="G54" s="339">
        <f>+Funcionamiento!G175</f>
        <v>0</v>
      </c>
      <c r="I54" s="339">
        <f>+Funcionamiento!I175</f>
        <v>0</v>
      </c>
      <c r="J54" s="339">
        <f t="shared" si="7"/>
        <v>0</v>
      </c>
      <c r="K54" s="339">
        <f t="shared" si="8"/>
        <v>0</v>
      </c>
      <c r="L54" s="344"/>
    </row>
    <row r="55" spans="1:12" ht="3.75" customHeight="1">
      <c r="A55" s="337"/>
      <c r="B55" s="339"/>
      <c r="C55" s="339"/>
      <c r="D55" s="339"/>
      <c r="E55" s="339"/>
      <c r="F55" s="339"/>
      <c r="G55" s="339"/>
      <c r="H55" s="522"/>
      <c r="I55" s="339"/>
      <c r="J55" s="339"/>
      <c r="K55" s="339"/>
      <c r="L55" s="344"/>
    </row>
    <row r="56" spans="1:12" ht="19.899999999999999" customHeight="1">
      <c r="A56" s="360">
        <v>4</v>
      </c>
      <c r="B56" s="361" t="s">
        <v>286</v>
      </c>
      <c r="C56" s="361">
        <f>SUM(C57)</f>
        <v>2207914</v>
      </c>
      <c r="D56" s="361">
        <f>SUM(D57:D58)</f>
        <v>2207914</v>
      </c>
      <c r="E56" s="361">
        <f>+E57+E58</f>
        <v>1000000</v>
      </c>
      <c r="F56" s="361">
        <f>+F57+F58</f>
        <v>0</v>
      </c>
      <c r="G56" s="361">
        <f>+G57+G58</f>
        <v>0</v>
      </c>
      <c r="H56" s="523"/>
      <c r="I56" s="361">
        <f>SUM(I57:I58)</f>
        <v>0</v>
      </c>
      <c r="J56" s="361">
        <f>+E56-G56</f>
        <v>1000000</v>
      </c>
      <c r="K56" s="361">
        <f>+D56-G56</f>
        <v>2207914</v>
      </c>
      <c r="L56" s="362">
        <f>+G56*100/E56</f>
        <v>0</v>
      </c>
    </row>
    <row r="57" spans="1:12" ht="14.25" customHeight="1">
      <c r="A57" s="337">
        <v>430</v>
      </c>
      <c r="B57" s="363" t="s">
        <v>287</v>
      </c>
      <c r="C57" s="339">
        <f>+Funcionamiento!C183</f>
        <v>2207914</v>
      </c>
      <c r="D57" s="339">
        <f>+Funcionamiento!D182</f>
        <v>2207914</v>
      </c>
      <c r="E57" s="339">
        <f>+Funcionamiento!E182</f>
        <v>1000000</v>
      </c>
      <c r="F57" s="339">
        <f>+Funcionamiento!F182</f>
        <v>0</v>
      </c>
      <c r="G57" s="339">
        <v>0</v>
      </c>
      <c r="I57" s="339">
        <f>+Funcionamiento!I182</f>
        <v>0</v>
      </c>
      <c r="J57" s="339">
        <f>+E57-G57</f>
        <v>1000000</v>
      </c>
      <c r="K57" s="339">
        <f>+D57-G57</f>
        <v>2207914</v>
      </c>
      <c r="L57" s="344">
        <f>+G57*100/E57</f>
        <v>0</v>
      </c>
    </row>
    <row r="58" spans="1:12" ht="15" hidden="1" customHeight="1">
      <c r="A58" s="337">
        <v>490</v>
      </c>
      <c r="B58" s="339" t="s">
        <v>289</v>
      </c>
      <c r="C58" s="339">
        <v>0</v>
      </c>
      <c r="D58" s="339">
        <f>+Funcionamiento!D184</f>
        <v>0</v>
      </c>
      <c r="E58" s="339">
        <f>+Funcionamiento!E184</f>
        <v>0</v>
      </c>
      <c r="F58" s="339">
        <f>+Funcionamiento!F184</f>
        <v>0</v>
      </c>
      <c r="G58" s="339">
        <f>+Funcionamiento!G184</f>
        <v>0</v>
      </c>
      <c r="I58" s="339">
        <f>+Funcionamiento!I184</f>
        <v>0</v>
      </c>
      <c r="J58" s="339">
        <f>+E58-G58</f>
        <v>0</v>
      </c>
      <c r="K58" s="339">
        <f>+D58-G58</f>
        <v>0</v>
      </c>
      <c r="L58" s="344" t="s">
        <v>6</v>
      </c>
    </row>
    <row r="59" spans="1:12" ht="9.6" customHeight="1">
      <c r="A59" s="364"/>
      <c r="B59" s="365"/>
      <c r="C59" s="366"/>
      <c r="D59" s="365"/>
      <c r="E59" s="365"/>
      <c r="F59" s="365"/>
      <c r="G59" s="365"/>
      <c r="H59" s="522"/>
      <c r="I59" s="365"/>
      <c r="J59" s="365"/>
      <c r="K59" s="365"/>
      <c r="L59" s="367"/>
    </row>
    <row r="60" spans="1:12" ht="19.899999999999999" customHeight="1">
      <c r="A60" s="360" t="s">
        <v>291</v>
      </c>
      <c r="B60" s="368" t="s">
        <v>388</v>
      </c>
      <c r="C60" s="361">
        <f t="shared" ref="C60:G60" si="9">SUM(C61:C66)</f>
        <v>2292640</v>
      </c>
      <c r="D60" s="361">
        <f t="shared" si="9"/>
        <v>2292640</v>
      </c>
      <c r="E60" s="361">
        <f t="shared" si="9"/>
        <v>1844556</v>
      </c>
      <c r="F60" s="361">
        <f t="shared" si="9"/>
        <v>4968.8899999999994</v>
      </c>
      <c r="G60" s="361">
        <f t="shared" si="9"/>
        <v>4968.8899999999994</v>
      </c>
      <c r="H60" s="525">
        <f>+H61+H63</f>
        <v>3373.87</v>
      </c>
      <c r="I60" s="361">
        <f>SUM(I61:I66)</f>
        <v>3373.87</v>
      </c>
      <c r="J60" s="361">
        <f t="shared" ref="J60:J67" si="10">+E60-G60</f>
        <v>1839587.11</v>
      </c>
      <c r="K60" s="361">
        <f t="shared" ref="K60:K67" si="11">+D60-G60</f>
        <v>2287671.11</v>
      </c>
      <c r="L60" s="362">
        <f t="shared" ref="L60:L67" si="12">+G60*100/E60</f>
        <v>0.26938135789859452</v>
      </c>
    </row>
    <row r="61" spans="1:12" ht="15" customHeight="1">
      <c r="A61" s="337" t="s">
        <v>293</v>
      </c>
      <c r="B61" s="338" t="s">
        <v>423</v>
      </c>
      <c r="C61" s="339">
        <f>+Funcionamiento!C187</f>
        <v>118164</v>
      </c>
      <c r="D61" s="339">
        <f>+Funcionamiento!D187</f>
        <v>118164</v>
      </c>
      <c r="E61" s="339">
        <f>+Funcionamiento!E187</f>
        <v>9847</v>
      </c>
      <c r="F61" s="339">
        <f>+Funcionamiento!F187</f>
        <v>3373.87</v>
      </c>
      <c r="G61" s="339">
        <f>+Funcionamiento!G187</f>
        <v>3373.87</v>
      </c>
      <c r="H61" s="1">
        <v>3373.87</v>
      </c>
      <c r="I61" s="339">
        <f>+Funcionamiento!I187</f>
        <v>3373.87</v>
      </c>
      <c r="J61" s="339">
        <f t="shared" si="10"/>
        <v>6473.13</v>
      </c>
      <c r="K61" s="339">
        <f t="shared" si="11"/>
        <v>114790.13</v>
      </c>
      <c r="L61" s="344">
        <f t="shared" si="12"/>
        <v>34.262922717578959</v>
      </c>
    </row>
    <row r="62" spans="1:12" ht="15" customHeight="1">
      <c r="A62" s="355" t="s">
        <v>296</v>
      </c>
      <c r="B62" s="339" t="s">
        <v>162</v>
      </c>
      <c r="C62" s="339">
        <f>+Funcionamiento!C189</f>
        <v>956224</v>
      </c>
      <c r="D62" s="339">
        <f>+Funcionamiento!D189</f>
        <v>956224</v>
      </c>
      <c r="E62" s="339">
        <f>+Funcionamiento!E189</f>
        <v>902678</v>
      </c>
      <c r="F62" s="339">
        <f>+Funcionamiento!F189</f>
        <v>0</v>
      </c>
      <c r="G62" s="339">
        <f>+Funcionamiento!G189</f>
        <v>0</v>
      </c>
      <c r="I62" s="339">
        <f>+Funcionamiento!I189</f>
        <v>0</v>
      </c>
      <c r="J62" s="339">
        <f t="shared" si="10"/>
        <v>902678</v>
      </c>
      <c r="K62" s="339">
        <f t="shared" si="11"/>
        <v>956224</v>
      </c>
      <c r="L62" s="344">
        <f t="shared" si="12"/>
        <v>0</v>
      </c>
    </row>
    <row r="63" spans="1:12" ht="15" customHeight="1">
      <c r="A63" s="337">
        <v>620</v>
      </c>
      <c r="B63" s="339" t="s">
        <v>297</v>
      </c>
      <c r="C63" s="339">
        <f>+Funcionamiento!C195</f>
        <v>771986</v>
      </c>
      <c r="D63" s="339">
        <f>+Funcionamiento!D195</f>
        <v>771986</v>
      </c>
      <c r="E63" s="339">
        <f>+Funcionamiento!E195</f>
        <v>618486</v>
      </c>
      <c r="F63" s="339">
        <f>+Funcionamiento!F195</f>
        <v>1595.02</v>
      </c>
      <c r="G63" s="339">
        <f>+Funcionamiento!G195</f>
        <v>1595.02</v>
      </c>
      <c r="I63" s="339">
        <f>+Funcionamiento!I195</f>
        <v>0</v>
      </c>
      <c r="J63" s="339">
        <f t="shared" si="10"/>
        <v>616890.98</v>
      </c>
      <c r="K63" s="339">
        <f t="shared" si="11"/>
        <v>770390.98</v>
      </c>
      <c r="L63" s="344">
        <f t="shared" si="12"/>
        <v>0.25789104361295162</v>
      </c>
    </row>
    <row r="64" spans="1:12" ht="15" customHeight="1">
      <c r="A64" s="337">
        <v>640</v>
      </c>
      <c r="B64" s="339" t="s">
        <v>539</v>
      </c>
      <c r="C64" s="339">
        <f>+Funcionamiento!C200</f>
        <v>159266</v>
      </c>
      <c r="D64" s="339">
        <f>+Funcionamiento!D200</f>
        <v>159266</v>
      </c>
      <c r="E64" s="339">
        <f>+Funcionamiento!E200</f>
        <v>26545</v>
      </c>
      <c r="F64" s="339">
        <f>+Funcionamiento!F200</f>
        <v>0</v>
      </c>
      <c r="G64" s="339">
        <f>+Funcionamiento!G200</f>
        <v>0</v>
      </c>
      <c r="I64" s="339">
        <f>+Funcionamiento!I200</f>
        <v>0</v>
      </c>
      <c r="J64" s="339"/>
      <c r="K64" s="339"/>
      <c r="L64" s="344"/>
    </row>
    <row r="65" spans="1:16" ht="15" customHeight="1">
      <c r="A65" s="337" t="s">
        <v>299</v>
      </c>
      <c r="B65" s="338" t="s">
        <v>300</v>
      </c>
      <c r="C65" s="339">
        <f>+Funcionamiento!C201</f>
        <v>287000</v>
      </c>
      <c r="D65" s="339">
        <f>+Funcionamiento!D201</f>
        <v>287000</v>
      </c>
      <c r="E65" s="339">
        <f>+Funcionamiento!E201</f>
        <v>287000</v>
      </c>
      <c r="F65" s="339">
        <f>+Funcionamiento!F201</f>
        <v>0</v>
      </c>
      <c r="G65" s="339">
        <f>+Funcionamiento!G201</f>
        <v>0</v>
      </c>
      <c r="I65" s="339">
        <f>+Funcionamiento!I201</f>
        <v>0</v>
      </c>
      <c r="J65" s="339">
        <f t="shared" si="10"/>
        <v>287000</v>
      </c>
      <c r="K65" s="339">
        <f t="shared" si="11"/>
        <v>287000</v>
      </c>
      <c r="L65" s="344">
        <f t="shared" si="12"/>
        <v>0</v>
      </c>
    </row>
    <row r="66" spans="1:16" ht="14.25" customHeight="1">
      <c r="A66" s="337">
        <v>690</v>
      </c>
      <c r="B66" s="339" t="s">
        <v>422</v>
      </c>
      <c r="C66" s="339">
        <f>+Funcionamiento!C205</f>
        <v>0</v>
      </c>
      <c r="D66" s="339">
        <f>+Funcionamiento!D205</f>
        <v>0</v>
      </c>
      <c r="E66" s="339">
        <f>+Funcionamiento!E205</f>
        <v>0</v>
      </c>
      <c r="F66" s="339">
        <f>+Funcionamiento!F205</f>
        <v>0</v>
      </c>
      <c r="G66" s="339">
        <f>+Funcionamiento!G205</f>
        <v>0</v>
      </c>
      <c r="H66" s="522"/>
      <c r="I66" s="339">
        <f>+Funcionamiento!I205</f>
        <v>0</v>
      </c>
      <c r="J66" s="339">
        <f t="shared" si="10"/>
        <v>0</v>
      </c>
      <c r="K66" s="339">
        <f t="shared" si="11"/>
        <v>0</v>
      </c>
      <c r="L66" s="344" t="s">
        <v>6</v>
      </c>
    </row>
    <row r="67" spans="1:16" ht="19.899999999999999" customHeight="1">
      <c r="A67" s="345" t="s">
        <v>6</v>
      </c>
      <c r="B67" s="346" t="s">
        <v>306</v>
      </c>
      <c r="C67" s="347">
        <f>+C60+C56+C45+C33+C21+C9</f>
        <v>141094806</v>
      </c>
      <c r="D67" s="347">
        <f>+D60+D56+D33+D21+D9</f>
        <v>141094806</v>
      </c>
      <c r="E67" s="347">
        <f>+E60+E56+E45+E33+E21+E9</f>
        <v>19912335</v>
      </c>
      <c r="F67" s="347">
        <f>+F60+F56+F45+F33+F21+F9</f>
        <v>7119885.8300000001</v>
      </c>
      <c r="G67" s="347">
        <f>+G60+G56+G45+G33+G21+G9+1</f>
        <v>7119886.8300000001</v>
      </c>
      <c r="H67" s="347">
        <f>+H60+H56+H45+H33+H21+H9</f>
        <v>6087300.8500000006</v>
      </c>
      <c r="I67" s="347">
        <f>+I60+I56+I45+I33+I21+I9</f>
        <v>6084332.7200000007</v>
      </c>
      <c r="J67" s="347">
        <f t="shared" si="10"/>
        <v>12792448.17</v>
      </c>
      <c r="K67" s="347">
        <f t="shared" si="11"/>
        <v>133974919.17</v>
      </c>
      <c r="L67" s="348">
        <f t="shared" si="12"/>
        <v>35.756162348614566</v>
      </c>
    </row>
    <row r="68" spans="1:16" ht="19.899999999999999" customHeight="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N68" s="54" t="s">
        <v>6</v>
      </c>
      <c r="P68" t="s">
        <v>6</v>
      </c>
    </row>
    <row r="69" spans="1:16" ht="19.899999999999999" customHeight="1">
      <c r="A69" s="24"/>
      <c r="B69" s="24"/>
      <c r="C69" s="24"/>
      <c r="D69" s="24"/>
      <c r="E69" s="40"/>
      <c r="F69" s="24"/>
      <c r="G69" s="40"/>
      <c r="H69" s="24"/>
      <c r="I69" s="24"/>
      <c r="J69" s="24"/>
      <c r="K69" s="24"/>
      <c r="L69" s="349"/>
    </row>
    <row r="70" spans="1:16" ht="19.899999999999999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1:16" ht="19.899999999999999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1:16" ht="19.899999999999999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1:16" ht="19.899999999999999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1:16" ht="19.899999999999999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1:16" ht="19.899999999999999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1:16" ht="19.899999999999999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6" ht="19.899999999999999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1:16" ht="19.899999999999999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1:16" ht="19.899999999999999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1:16" ht="19.899999999999999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ht="19.899999999999999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ht="19.899999999999999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ht="19.899999999999999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ht="19.899999999999999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ht="19.899999999999999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ht="19.899999999999999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ht="19.899999999999999" customHeight="1"/>
    <row r="88" spans="1:12" ht="19.899999999999999" customHeight="1"/>
    <row r="89" spans="1:12" ht="19.899999999999999" customHeight="1"/>
    <row r="90" spans="1:12" ht="19.899999999999999" customHeight="1"/>
    <row r="91" spans="1:12" ht="19.899999999999999" customHeight="1"/>
    <row r="92" spans="1:12" ht="19.899999999999999" customHeight="1"/>
    <row r="93" spans="1:12" ht="19.899999999999999" customHeight="1"/>
    <row r="94" spans="1:12" ht="19.899999999999999" customHeight="1"/>
    <row r="95" spans="1:12" ht="19.899999999999999" customHeight="1"/>
    <row r="96" spans="1:12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  <row r="150" ht="19.899999999999999" customHeight="1"/>
    <row r="151" ht="19.899999999999999" customHeight="1"/>
    <row r="152" ht="19.899999999999999" customHeight="1"/>
    <row r="153" ht="19.899999999999999" customHeight="1"/>
    <row r="154" ht="19.899999999999999" customHeight="1"/>
    <row r="155" ht="19.899999999999999" customHeight="1"/>
    <row r="156" ht="19.899999999999999" customHeight="1"/>
    <row r="157" ht="19.899999999999999" customHeight="1"/>
    <row r="158" ht="19.899999999999999" customHeight="1"/>
    <row r="159" ht="19.899999999999999" customHeight="1"/>
  </sheetData>
  <mergeCells count="13">
    <mergeCell ref="A1:L1"/>
    <mergeCell ref="A2:L2"/>
    <mergeCell ref="A5:L5"/>
    <mergeCell ref="A3:L3"/>
    <mergeCell ref="A4:L4"/>
    <mergeCell ref="I6:I8"/>
    <mergeCell ref="L6:L8"/>
    <mergeCell ref="A6:A8"/>
    <mergeCell ref="B6:B8"/>
    <mergeCell ref="C6:E7"/>
    <mergeCell ref="H6:H8"/>
    <mergeCell ref="J6:K8"/>
    <mergeCell ref="F6:G8"/>
  </mergeCells>
  <pageMargins left="0.51181102362204722" right="0.23622047244094491" top="0.15748031496062992" bottom="0.15748031496062992" header="0.31496062992125984" footer="0.31496062992125984"/>
  <pageSetup scale="80" orientation="portrait" r:id="rId1"/>
  <ignoredErrors>
    <ignoredError sqref="F33 H60 H10 D10 D21 D67 G67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8">
    <tabColor theme="6" tint="0.39997558519241921"/>
  </sheetPr>
  <dimension ref="A1:N38"/>
  <sheetViews>
    <sheetView showGridLines="0" showZeros="0" zoomScale="106" zoomScaleNormal="106" workbookViewId="0">
      <selection activeCell="C20" sqref="C20"/>
    </sheetView>
  </sheetViews>
  <sheetFormatPr baseColWidth="10" defaultColWidth="11.42578125" defaultRowHeight="12.75"/>
  <cols>
    <col min="1" max="1" width="3.85546875" style="24" customWidth="1"/>
    <col min="2" max="2" width="30.42578125" style="24" customWidth="1"/>
    <col min="3" max="3" width="12" style="24" customWidth="1"/>
    <col min="4" max="4" width="11.85546875" style="24" customWidth="1"/>
    <col min="5" max="5" width="10.85546875" style="24" customWidth="1"/>
    <col min="6" max="6" width="0.140625" style="24" hidden="1" customWidth="1"/>
    <col min="7" max="7" width="11.7109375" style="24" customWidth="1"/>
    <col min="8" max="8" width="12.140625" style="24" customWidth="1"/>
    <col min="9" max="9" width="11.85546875" style="24" customWidth="1"/>
    <col min="10" max="10" width="10.5703125" style="24" customWidth="1"/>
    <col min="11" max="11" width="11.28515625" style="24" hidden="1" customWidth="1"/>
    <col min="12" max="12" width="12.7109375" style="24" customWidth="1"/>
    <col min="13" max="13" width="10.85546875" customWidth="1"/>
    <col min="14" max="14" width="17.28515625" bestFit="1" customWidth="1"/>
  </cols>
  <sheetData>
    <row r="1" spans="1:14" ht="15.75">
      <c r="A1" s="7"/>
      <c r="B1" s="606" t="s">
        <v>404</v>
      </c>
      <c r="C1" s="606"/>
      <c r="D1" s="606"/>
      <c r="E1" s="606"/>
      <c r="F1" s="606"/>
      <c r="G1" s="606"/>
      <c r="H1" s="606"/>
      <c r="I1" s="606"/>
      <c r="J1" s="606"/>
      <c r="K1" s="606"/>
      <c r="L1" s="606"/>
    </row>
    <row r="2" spans="1:14" ht="15.75">
      <c r="A2" s="7"/>
      <c r="B2" s="606" t="s">
        <v>405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</row>
    <row r="3" spans="1:14" ht="16.5" customHeight="1">
      <c r="A3" s="607" t="s">
        <v>432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</row>
    <row r="4" spans="1:14" ht="19.5" customHeight="1">
      <c r="A4" s="713" t="s">
        <v>512</v>
      </c>
      <c r="B4" s="713"/>
      <c r="C4" s="713"/>
      <c r="D4" s="713"/>
      <c r="E4" s="713"/>
      <c r="F4" s="713"/>
      <c r="G4" s="713"/>
      <c r="H4" s="713"/>
      <c r="I4" s="713"/>
      <c r="J4" s="713"/>
      <c r="K4" s="713"/>
      <c r="L4" s="713"/>
    </row>
    <row r="5" spans="1:14" ht="6.75" customHeight="1"/>
    <row r="6" spans="1:14" ht="24.95" customHeight="1">
      <c r="A6" s="707" t="s">
        <v>307</v>
      </c>
      <c r="B6" s="709" t="s">
        <v>0</v>
      </c>
      <c r="C6" s="715" t="s">
        <v>33</v>
      </c>
      <c r="D6" s="716"/>
      <c r="E6" s="717"/>
      <c r="F6" s="718" t="s">
        <v>83</v>
      </c>
      <c r="G6" s="719"/>
      <c r="H6" s="714" t="s">
        <v>543</v>
      </c>
      <c r="I6" s="714" t="s">
        <v>397</v>
      </c>
      <c r="J6" s="720" t="s">
        <v>544</v>
      </c>
      <c r="K6" s="721"/>
      <c r="L6" s="711" t="s">
        <v>22</v>
      </c>
    </row>
    <row r="7" spans="1:14" ht="24.95" customHeight="1">
      <c r="A7" s="708"/>
      <c r="B7" s="710"/>
      <c r="C7" s="581" t="s">
        <v>85</v>
      </c>
      <c r="D7" s="572" t="s">
        <v>11</v>
      </c>
      <c r="E7" s="582" t="s">
        <v>2</v>
      </c>
      <c r="F7" s="575" t="s">
        <v>38</v>
      </c>
      <c r="G7" s="576" t="s">
        <v>43</v>
      </c>
      <c r="H7" s="710"/>
      <c r="I7" s="710"/>
      <c r="J7" s="712"/>
      <c r="K7" s="645"/>
      <c r="L7" s="712"/>
    </row>
    <row r="8" spans="1:14" ht="15" customHeight="1">
      <c r="A8" s="369"/>
      <c r="B8" s="370"/>
      <c r="C8" s="371"/>
      <c r="D8" s="372"/>
      <c r="E8" s="373"/>
      <c r="F8" s="372"/>
      <c r="G8" s="374"/>
      <c r="H8" s="374"/>
      <c r="I8" s="372"/>
      <c r="J8" s="372"/>
      <c r="K8" s="372"/>
      <c r="L8" s="375"/>
    </row>
    <row r="9" spans="1:14" ht="24.95" customHeight="1">
      <c r="A9" s="174"/>
      <c r="B9" s="376" t="s">
        <v>309</v>
      </c>
      <c r="C9" s="377">
        <f>+C11+C21+C29</f>
        <v>141094806</v>
      </c>
      <c r="D9" s="377">
        <f>SUM(C9:C9)</f>
        <v>141094806</v>
      </c>
      <c r="E9" s="378">
        <f t="shared" ref="E9" si="0">+E11+E21+E29</f>
        <v>19912335</v>
      </c>
      <c r="F9" s="377">
        <f>+F11+F21+F29</f>
        <v>7119885.5299999993</v>
      </c>
      <c r="G9" s="377">
        <f>M9+F9</f>
        <v>7119885.5299999993</v>
      </c>
      <c r="H9" s="377">
        <f>+H11+H21+H29</f>
        <v>6087301.0499999998</v>
      </c>
      <c r="I9" s="377">
        <f>+I11+I21+I29</f>
        <v>6084333.1200000001</v>
      </c>
      <c r="J9" s="377">
        <f>E9-G9</f>
        <v>12792449.470000001</v>
      </c>
      <c r="K9" s="379">
        <f>+D9-G9</f>
        <v>133974920.47</v>
      </c>
      <c r="L9" s="380">
        <f>+G9/E9*100</f>
        <v>35.756155819998</v>
      </c>
    </row>
    <row r="10" spans="1:14" ht="24.95" customHeight="1">
      <c r="A10" s="174"/>
      <c r="B10" s="381"/>
      <c r="C10" s="376"/>
      <c r="D10" s="381"/>
      <c r="E10" s="383"/>
      <c r="F10" s="376"/>
      <c r="G10" s="376"/>
      <c r="H10" s="384"/>
      <c r="I10" s="384"/>
      <c r="J10" s="376"/>
      <c r="K10" s="381"/>
      <c r="L10" s="382"/>
    </row>
    <row r="11" spans="1:14" ht="24.95" customHeight="1">
      <c r="A11" s="385">
        <v>1</v>
      </c>
      <c r="B11" s="386" t="s">
        <v>34</v>
      </c>
      <c r="C11" s="377">
        <f>SUM(C13:C20)</f>
        <v>52074126</v>
      </c>
      <c r="D11" s="387">
        <f>SUM(C11:C11)</f>
        <v>52074126</v>
      </c>
      <c r="E11" s="388">
        <f>SUM(E13:E19)</f>
        <v>9870746</v>
      </c>
      <c r="F11" s="387">
        <f>SUM(F13:F19)</f>
        <v>2001273.43</v>
      </c>
      <c r="G11" s="387">
        <f>SUM(G13:G19)</f>
        <v>2001273.43</v>
      </c>
      <c r="H11" s="377">
        <f>SUM(H13:H19)</f>
        <v>1644531.07</v>
      </c>
      <c r="I11" s="377">
        <f>+I13+I15+I17+I19+1</f>
        <v>1642448.01</v>
      </c>
      <c r="J11" s="377">
        <f>+E11-G11</f>
        <v>7869472.5700000003</v>
      </c>
      <c r="K11" s="379">
        <f>+D11-G11</f>
        <v>50072852.57</v>
      </c>
      <c r="L11" s="380">
        <f>+G11/E11*100</f>
        <v>20.274794123969961</v>
      </c>
      <c r="N11" s="77"/>
    </row>
    <row r="12" spans="1:14" ht="24.95" customHeight="1">
      <c r="A12" s="174"/>
      <c r="B12" s="389"/>
      <c r="C12" s="390"/>
      <c r="D12" s="391"/>
      <c r="E12" s="392"/>
      <c r="F12" s="391"/>
      <c r="G12" s="391"/>
      <c r="H12" s="393"/>
      <c r="I12" s="393"/>
      <c r="J12" s="393"/>
      <c r="K12" s="64"/>
      <c r="L12" s="394"/>
    </row>
    <row r="13" spans="1:14" ht="24.95" customHeight="1">
      <c r="A13" s="395" t="s">
        <v>6</v>
      </c>
      <c r="B13" s="389" t="s">
        <v>310</v>
      </c>
      <c r="C13" s="64">
        <v>13072514</v>
      </c>
      <c r="D13" s="391">
        <f>SUM(C13:C13)</f>
        <v>13072514</v>
      </c>
      <c r="E13" s="392">
        <v>2196408</v>
      </c>
      <c r="F13" s="391">
        <v>688781.86</v>
      </c>
      <c r="G13" s="391">
        <f>F13+M13</f>
        <v>688781.86</v>
      </c>
      <c r="H13" s="64">
        <v>594910.25</v>
      </c>
      <c r="I13" s="64">
        <v>594654.59</v>
      </c>
      <c r="J13" s="64">
        <f>+E13-G13</f>
        <v>1507626.1400000001</v>
      </c>
      <c r="K13" s="64">
        <f>+D13-G13</f>
        <v>12383732.140000001</v>
      </c>
      <c r="L13" s="396">
        <f>+G13/E13*100</f>
        <v>31.35946782200757</v>
      </c>
      <c r="N13" s="78"/>
    </row>
    <row r="14" spans="1:14" ht="24.95" customHeight="1">
      <c r="A14" s="395"/>
      <c r="B14" s="389"/>
      <c r="C14" s="64"/>
      <c r="D14" s="391"/>
      <c r="E14" s="392"/>
      <c r="F14" s="391"/>
      <c r="G14" s="391"/>
      <c r="H14" s="64"/>
      <c r="I14" s="64"/>
      <c r="J14" s="64"/>
      <c r="K14" s="64"/>
      <c r="L14" s="394"/>
    </row>
    <row r="15" spans="1:14" ht="24.95" customHeight="1">
      <c r="A15" s="395" t="s">
        <v>6</v>
      </c>
      <c r="B15" s="397" t="s">
        <v>311</v>
      </c>
      <c r="C15" s="64">
        <v>1063473</v>
      </c>
      <c r="D15" s="391">
        <f>SUM(C15:C15)</f>
        <v>1063473</v>
      </c>
      <c r="E15" s="392">
        <v>104059</v>
      </c>
      <c r="F15" s="391">
        <v>67747.149999999994</v>
      </c>
      <c r="G15" s="391">
        <f>F15+M15</f>
        <v>67747.149999999994</v>
      </c>
      <c r="H15" s="64">
        <v>58604.86</v>
      </c>
      <c r="I15" s="64">
        <v>58604.86</v>
      </c>
      <c r="J15" s="64">
        <f>+E15-G15</f>
        <v>36311.850000000006</v>
      </c>
      <c r="K15" s="64">
        <f>+D15-G15</f>
        <v>995725.85</v>
      </c>
      <c r="L15" s="396">
        <f>+G15/E15*100</f>
        <v>65.104556069153077</v>
      </c>
    </row>
    <row r="16" spans="1:14" ht="24.95" customHeight="1">
      <c r="A16" s="395"/>
      <c r="B16" s="397"/>
      <c r="C16" s="64"/>
      <c r="D16" s="391"/>
      <c r="E16" s="392"/>
      <c r="F16" s="391"/>
      <c r="G16" s="391">
        <f>F16+M16</f>
        <v>0</v>
      </c>
      <c r="H16" s="64"/>
      <c r="I16" s="64"/>
      <c r="J16" s="64">
        <f>+E16-G16</f>
        <v>0</v>
      </c>
      <c r="K16" s="64" t="s">
        <v>6</v>
      </c>
      <c r="L16" s="396"/>
    </row>
    <row r="17" spans="1:14" ht="24.95" customHeight="1">
      <c r="A17" s="395" t="s">
        <v>6</v>
      </c>
      <c r="B17" s="389" t="s">
        <v>312</v>
      </c>
      <c r="C17" s="64">
        <v>35488163</v>
      </c>
      <c r="D17" s="391">
        <f>SUM(C17:C17)</f>
        <v>35488163</v>
      </c>
      <c r="E17" s="392">
        <v>7302296</v>
      </c>
      <c r="F17" s="391">
        <v>1163216.8799999999</v>
      </c>
      <c r="G17" s="391">
        <f>F17+M17</f>
        <v>1163216.8799999999</v>
      </c>
      <c r="H17" s="64">
        <v>919478.26</v>
      </c>
      <c r="I17" s="64">
        <v>917650.46</v>
      </c>
      <c r="J17" s="64">
        <f>+E17-G17</f>
        <v>6139079.1200000001</v>
      </c>
      <c r="K17" s="64">
        <f>+D17-G17</f>
        <v>34324946.119999997</v>
      </c>
      <c r="L17" s="396">
        <f>+G17/E17*100</f>
        <v>15.929467663321233</v>
      </c>
      <c r="N17" s="78"/>
    </row>
    <row r="18" spans="1:14" ht="24.95" customHeight="1">
      <c r="A18" s="395"/>
      <c r="B18" s="389"/>
      <c r="C18" s="64"/>
      <c r="D18" s="391"/>
      <c r="E18" s="392"/>
      <c r="F18" s="391" t="s">
        <v>6</v>
      </c>
      <c r="G18" s="391" t="s">
        <v>6</v>
      </c>
      <c r="H18" s="64"/>
      <c r="I18" s="64"/>
      <c r="J18" s="64" t="s">
        <v>6</v>
      </c>
      <c r="K18" s="64" t="s">
        <v>6</v>
      </c>
      <c r="L18" s="396"/>
    </row>
    <row r="19" spans="1:14" ht="24.95" customHeight="1">
      <c r="A19" s="395" t="s">
        <v>6</v>
      </c>
      <c r="B19" s="389" t="s">
        <v>313</v>
      </c>
      <c r="C19" s="64">
        <v>2449976</v>
      </c>
      <c r="D19" s="391">
        <f>SUM(C19:C19)</f>
        <v>2449976</v>
      </c>
      <c r="E19" s="392">
        <v>267983</v>
      </c>
      <c r="F19" s="391">
        <v>81527.539999999994</v>
      </c>
      <c r="G19" s="391">
        <f>F19+M19</f>
        <v>81527.539999999994</v>
      </c>
      <c r="H19" s="64">
        <v>71537.7</v>
      </c>
      <c r="I19" s="390">
        <v>71537.100000000006</v>
      </c>
      <c r="J19" s="64">
        <f>+E19-G19</f>
        <v>186455.46000000002</v>
      </c>
      <c r="K19" s="64">
        <f>+D19-G19</f>
        <v>2368448.46</v>
      </c>
      <c r="L19" s="396">
        <f>+G19/E19*100</f>
        <v>30.422653675792866</v>
      </c>
    </row>
    <row r="20" spans="1:14" ht="24.95" customHeight="1">
      <c r="A20" s="395"/>
      <c r="B20" s="389"/>
      <c r="C20" s="64"/>
      <c r="D20" s="391" t="s">
        <v>6</v>
      </c>
      <c r="E20" s="392"/>
      <c r="F20" s="391"/>
      <c r="G20" s="391">
        <f>F20</f>
        <v>0</v>
      </c>
      <c r="H20" s="64"/>
      <c r="I20" s="64"/>
      <c r="J20" s="64">
        <f>+E20-G20</f>
        <v>0</v>
      </c>
      <c r="K20" s="64" t="s">
        <v>6</v>
      </c>
      <c r="L20" s="396"/>
    </row>
    <row r="21" spans="1:14" ht="24.95" customHeight="1">
      <c r="A21" s="398">
        <v>2</v>
      </c>
      <c r="B21" s="386" t="s">
        <v>35</v>
      </c>
      <c r="C21" s="379">
        <f t="shared" ref="C21:D21" si="1">SUM(C23:C27)</f>
        <v>73122532</v>
      </c>
      <c r="D21" s="387">
        <f t="shared" si="1"/>
        <v>73122532</v>
      </c>
      <c r="E21" s="388">
        <f>SUM(E23:E27)</f>
        <v>7497441</v>
      </c>
      <c r="F21" s="387">
        <f>SUM(F23:F27)</f>
        <v>4402839.0299999993</v>
      </c>
      <c r="G21" s="387">
        <f>F21+M21</f>
        <v>4402839.0299999993</v>
      </c>
      <c r="H21" s="379">
        <f>SUM(H23:H27)</f>
        <v>3826085.15</v>
      </c>
      <c r="I21" s="379">
        <f>SUM(I23:I27)</f>
        <v>3825436.25</v>
      </c>
      <c r="J21" s="379">
        <f>+E21-G21</f>
        <v>3094601.9700000007</v>
      </c>
      <c r="K21" s="379">
        <f>+D21-G21</f>
        <v>68719692.969999999</v>
      </c>
      <c r="L21" s="380">
        <f>+G21/E21*100</f>
        <v>58.724557218923088</v>
      </c>
    </row>
    <row r="22" spans="1:14" ht="24.95" customHeight="1">
      <c r="A22" s="399"/>
      <c r="B22" s="389"/>
      <c r="C22" s="64"/>
      <c r="D22" s="391"/>
      <c r="E22" s="392"/>
      <c r="F22" s="391"/>
      <c r="G22" s="391">
        <f>F22</f>
        <v>0</v>
      </c>
      <c r="H22" s="64"/>
      <c r="I22" s="64"/>
      <c r="J22" s="64">
        <f>+E22-G22</f>
        <v>0</v>
      </c>
      <c r="K22" s="64" t="s">
        <v>6</v>
      </c>
      <c r="L22" s="396" t="s">
        <v>6</v>
      </c>
    </row>
    <row r="23" spans="1:14" ht="24.95" customHeight="1">
      <c r="A23" s="400" t="s">
        <v>6</v>
      </c>
      <c r="B23" s="389" t="s">
        <v>314</v>
      </c>
      <c r="C23" s="64">
        <v>3496882</v>
      </c>
      <c r="D23" s="391">
        <f>SUM(C23:C23)</f>
        <v>3496882</v>
      </c>
      <c r="E23" s="392">
        <v>610066</v>
      </c>
      <c r="F23" s="391">
        <v>133017.17000000001</v>
      </c>
      <c r="G23" s="391">
        <f>F23+M23</f>
        <v>133017.17000000001</v>
      </c>
      <c r="H23" s="64">
        <v>112267.93</v>
      </c>
      <c r="I23" s="64">
        <v>112267.93</v>
      </c>
      <c r="J23" s="64">
        <f>+E23-G23</f>
        <v>477048.82999999996</v>
      </c>
      <c r="K23" s="64">
        <f>+D23-G23</f>
        <v>3363864.83</v>
      </c>
      <c r="L23" s="396">
        <f>+G23/E23*100</f>
        <v>21.803734350053929</v>
      </c>
    </row>
    <row r="24" spans="1:14" ht="24.95" customHeight="1">
      <c r="A24" s="400"/>
      <c r="B24" s="389"/>
      <c r="C24" s="64"/>
      <c r="D24" s="391" t="s">
        <v>6</v>
      </c>
      <c r="E24" s="392" t="s">
        <v>6</v>
      </c>
      <c r="F24" s="391"/>
      <c r="G24" s="391">
        <f>F24+M24</f>
        <v>0</v>
      </c>
      <c r="H24" s="64"/>
      <c r="I24" s="64"/>
      <c r="J24" s="64" t="s">
        <v>6</v>
      </c>
      <c r="K24" s="64" t="s">
        <v>6</v>
      </c>
      <c r="L24" s="396"/>
    </row>
    <row r="25" spans="1:14" ht="24.95" customHeight="1">
      <c r="A25" s="400" t="s">
        <v>6</v>
      </c>
      <c r="B25" s="389" t="s">
        <v>315</v>
      </c>
      <c r="C25" s="64">
        <v>36159943</v>
      </c>
      <c r="D25" s="391">
        <f>SUM(C25:C25)</f>
        <v>36159943</v>
      </c>
      <c r="E25" s="392">
        <v>3520521</v>
      </c>
      <c r="F25" s="391">
        <v>2231123.7999999998</v>
      </c>
      <c r="G25" s="391">
        <v>1702244.66</v>
      </c>
      <c r="H25" s="64">
        <v>1936625.91</v>
      </c>
      <c r="I25" s="390">
        <v>1936625.91</v>
      </c>
      <c r="J25" s="64">
        <f>+E25-G25</f>
        <v>1818276.34</v>
      </c>
      <c r="K25" s="64">
        <f>+D25-G25</f>
        <v>34457698.340000004</v>
      </c>
      <c r="L25" s="396">
        <f>+G25/E25*100</f>
        <v>48.352066640136499</v>
      </c>
    </row>
    <row r="26" spans="1:14" ht="24.95" customHeight="1">
      <c r="A26" s="400"/>
      <c r="B26" s="389"/>
      <c r="C26" s="64"/>
      <c r="D26" s="391"/>
      <c r="E26" s="392"/>
      <c r="F26" s="391"/>
      <c r="G26" s="391">
        <f>F26+M26</f>
        <v>0</v>
      </c>
      <c r="H26" s="64"/>
      <c r="I26" s="64"/>
      <c r="J26" s="64">
        <f>+E26-G26</f>
        <v>0</v>
      </c>
      <c r="K26" s="64" t="e">
        <f>+#REF!-G26</f>
        <v>#REF!</v>
      </c>
      <c r="L26" s="396"/>
    </row>
    <row r="27" spans="1:14" ht="24.95" customHeight="1">
      <c r="A27" s="400" t="s">
        <v>6</v>
      </c>
      <c r="B27" s="389" t="s">
        <v>316</v>
      </c>
      <c r="C27" s="64">
        <v>33465707</v>
      </c>
      <c r="D27" s="391">
        <f>SUM(C27:C27)</f>
        <v>33465707</v>
      </c>
      <c r="E27" s="392">
        <v>3366854</v>
      </c>
      <c r="F27" s="391">
        <v>2038698.06</v>
      </c>
      <c r="G27" s="391">
        <f>F27+M27</f>
        <v>2038698.06</v>
      </c>
      <c r="H27" s="64">
        <v>1777191.31</v>
      </c>
      <c r="I27" s="64">
        <v>1776542.41</v>
      </c>
      <c r="J27" s="64">
        <f>+E27-G27</f>
        <v>1328155.94</v>
      </c>
      <c r="K27" s="64">
        <f>+D27-G27</f>
        <v>31427008.940000001</v>
      </c>
      <c r="L27" s="396">
        <f>+G27/E27*100</f>
        <v>60.552018590648714</v>
      </c>
      <c r="N27" s="77"/>
    </row>
    <row r="28" spans="1:14" ht="24.95" customHeight="1">
      <c r="A28" s="401"/>
      <c r="B28" s="389"/>
      <c r="C28" s="64"/>
      <c r="D28" s="391"/>
      <c r="E28" s="392"/>
      <c r="F28" s="391"/>
      <c r="G28" s="391">
        <f>F28+M28</f>
        <v>0</v>
      </c>
      <c r="H28" s="64"/>
      <c r="I28" s="64"/>
      <c r="J28" s="64">
        <f>+E28-G28</f>
        <v>0</v>
      </c>
      <c r="K28" s="64" t="s">
        <v>6</v>
      </c>
      <c r="L28" s="396" t="s">
        <v>6</v>
      </c>
    </row>
    <row r="29" spans="1:14" ht="24.95" customHeight="1">
      <c r="A29" s="402" t="s">
        <v>277</v>
      </c>
      <c r="B29" s="386" t="s">
        <v>36</v>
      </c>
      <c r="C29" s="379">
        <v>15898148</v>
      </c>
      <c r="D29" s="387">
        <f>SUM(C29:C29)</f>
        <v>15898148</v>
      </c>
      <c r="E29" s="388">
        <v>2544148</v>
      </c>
      <c r="F29" s="387">
        <v>715773.07</v>
      </c>
      <c r="G29" s="387">
        <f>F29+M29</f>
        <v>715773.07</v>
      </c>
      <c r="H29" s="379">
        <v>616684.82999999996</v>
      </c>
      <c r="I29" s="379">
        <v>616448.86</v>
      </c>
      <c r="J29" s="379">
        <f>+E29-G29</f>
        <v>1828374.9300000002</v>
      </c>
      <c r="K29" s="379">
        <f>+D29-G29</f>
        <v>15182374.93</v>
      </c>
      <c r="L29" s="380">
        <f>+G29/E29*100</f>
        <v>28.1340971515808</v>
      </c>
    </row>
    <row r="30" spans="1:14" ht="24.95" customHeight="1" thickBot="1">
      <c r="A30" s="403"/>
      <c r="B30" s="404"/>
      <c r="C30" s="405"/>
      <c r="D30" s="405" t="s">
        <v>6</v>
      </c>
      <c r="E30" s="406"/>
      <c r="F30" s="405"/>
      <c r="G30" s="405" t="s">
        <v>6</v>
      </c>
      <c r="H30" s="405"/>
      <c r="I30" s="405"/>
      <c r="J30" s="405"/>
      <c r="K30" s="405" t="s">
        <v>6</v>
      </c>
      <c r="L30" s="407" t="s">
        <v>6</v>
      </c>
      <c r="M30" t="s">
        <v>6</v>
      </c>
    </row>
    <row r="31" spans="1:14" ht="24.95" customHeight="1" thickTop="1">
      <c r="A31" s="25"/>
      <c r="B31" s="26"/>
      <c r="C31" s="27"/>
      <c r="D31" s="27"/>
      <c r="E31" s="27"/>
      <c r="F31" s="27"/>
      <c r="G31" s="27" t="s">
        <v>6</v>
      </c>
      <c r="H31" s="27"/>
      <c r="I31" s="27"/>
      <c r="J31" s="27"/>
      <c r="K31" s="27" t="s">
        <v>6</v>
      </c>
    </row>
    <row r="32" spans="1:14" ht="24.95" customHeight="1">
      <c r="A32" s="28"/>
      <c r="B32" s="29"/>
      <c r="C32" s="30"/>
      <c r="D32" s="30"/>
      <c r="E32" s="30"/>
      <c r="F32" s="30"/>
      <c r="G32" s="31"/>
      <c r="H32" s="31"/>
      <c r="I32" s="31"/>
      <c r="J32" s="31"/>
      <c r="K32" s="32"/>
    </row>
    <row r="38" spans="12:12">
      <c r="L38" s="24" t="s">
        <v>6</v>
      </c>
    </row>
  </sheetData>
  <mergeCells count="12">
    <mergeCell ref="B1:L1"/>
    <mergeCell ref="B2:L2"/>
    <mergeCell ref="A6:A7"/>
    <mergeCell ref="B6:B7"/>
    <mergeCell ref="L6:L7"/>
    <mergeCell ref="A3:L3"/>
    <mergeCell ref="A4:L4"/>
    <mergeCell ref="I6:I7"/>
    <mergeCell ref="H6:H7"/>
    <mergeCell ref="C6:E6"/>
    <mergeCell ref="F6:G6"/>
    <mergeCell ref="J6:K7"/>
  </mergeCells>
  <phoneticPr fontId="3" type="noConversion"/>
  <pageMargins left="0.23622047244094491" right="0" top="0.55118110236220474" bottom="0.35433070866141736" header="0.51181102362204722" footer="0.98425196850393704"/>
  <pageSetup scale="80" firstPageNumber="0" fitToWidth="0" fitToHeight="0" orientation="portrait" r:id="rId1"/>
  <headerFooter alignWithMargins="0">
    <oddFooter xml:space="preserve">&amp;R&amp;"Times New Roman,Normal"&amp;12 </oddFooter>
  </headerFooter>
  <ignoredErrors>
    <ignoredError sqref="G9 G20:G21 D11 D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16</vt:i4>
      </vt:variant>
    </vt:vector>
  </HeadingPairs>
  <TitlesOfParts>
    <vt:vector size="27" baseType="lpstr">
      <vt:lpstr>Resumen Pto</vt:lpstr>
      <vt:lpstr>Balance Ingresos</vt:lpstr>
      <vt:lpstr>Ingresos</vt:lpstr>
      <vt:lpstr>Financiamiento</vt:lpstr>
      <vt:lpstr>Flujo</vt:lpstr>
      <vt:lpstr>Balance gastos</vt:lpstr>
      <vt:lpstr>Funcionamiento</vt:lpstr>
      <vt:lpstr>Func Cta.</vt:lpstr>
      <vt:lpstr>Estruc Prog.</vt:lpstr>
      <vt:lpstr>Proyectos</vt:lpstr>
      <vt:lpstr>INVxOBJETO</vt:lpstr>
      <vt:lpstr>'Balance gastos'!Área_de_impresión</vt:lpstr>
      <vt:lpstr>'Estruc Prog.'!Área_de_impresión</vt:lpstr>
      <vt:lpstr>Financiamiento!Área_de_impresión</vt:lpstr>
      <vt:lpstr>Flujo!Área_de_impresión</vt:lpstr>
      <vt:lpstr>'Func Cta.'!Área_de_impresión</vt:lpstr>
      <vt:lpstr>Ingresos!Área_de_impresión</vt:lpstr>
      <vt:lpstr>INVxOBJETO!Área_de_impresión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'Balance gastos'!Títulos_a_imprimir</vt:lpstr>
      <vt:lpstr>'Balance Ingresos'!Títulos_a_imprimir</vt:lpstr>
      <vt:lpstr>Funcionamiento!Títulos_a_imprimir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2025-02-13T16:07:11Z</cp:lastPrinted>
  <dcterms:created xsi:type="dcterms:W3CDTF">2010-01-07T20:52:23Z</dcterms:created>
  <dcterms:modified xsi:type="dcterms:W3CDTF">2025-02-13T19:51:21Z</dcterms:modified>
</cp:coreProperties>
</file>