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ueva carpeta (3)\"/>
    </mc:Choice>
  </mc:AlternateContent>
  <bookViews>
    <workbookView xWindow="0" yWindow="0" windowWidth="11670" windowHeight="4545" tabRatio="875" activeTab="9"/>
  </bookViews>
  <sheets>
    <sheet name="RESUMEN" sheetId="18" r:id="rId1"/>
    <sheet name="RECAUDACION" sheetId="8" r:id="rId2"/>
    <sheet name="INGRESOS" sheetId="9" r:id="rId3"/>
    <sheet name="FINANCIAMIENTO" sheetId="10" r:id="rId4"/>
    <sheet name="FLUJO" sheetId="11" r:id="rId5"/>
    <sheet name="BALANCE" sheetId="12" r:id="rId6"/>
    <sheet name="EJEC GASTOS" sheetId="24" r:id="rId7"/>
    <sheet name="FUNC CTA" sheetId="26" r:id="rId8"/>
    <sheet name="EST PROG" sheetId="15" r:id="rId9"/>
    <sheet name="PROYECTOS INV" sheetId="60" r:id="rId10"/>
  </sheets>
  <externalReferences>
    <externalReference r:id="rId11"/>
    <externalReference r:id="rId12"/>
  </externalReferences>
  <definedNames>
    <definedName name="a">"$#REF!.$CP$1"</definedName>
    <definedName name="_xlnm.Print_Area" localSheetId="5">BALANCE!$A$6:$K$53</definedName>
    <definedName name="_xlnm.Print_Area" localSheetId="8">'EST PROG'!$A$3:$L$32</definedName>
    <definedName name="_xlnm.Print_Area" localSheetId="3">FINANCIAMIENTO!$A$1:$H$35</definedName>
    <definedName name="_xlnm.Print_Area" localSheetId="4">FLUJO!$A$3:$I$54</definedName>
    <definedName name="_xlnm.Print_Area" localSheetId="7">'FUNC CTA'!$A$1:$L$59</definedName>
    <definedName name="_xlnm.Print_Area" localSheetId="2">INGRESOS!$A$1:$J$33</definedName>
    <definedName name="_xlnm.Print_Area" localSheetId="9">'PROYECTOS INV'!$A$8:$K$44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RECAUDACION!$B$3:$I$47</definedName>
    <definedName name="Excel_BuiltIn_Print_Area_7_1">RECAUDACION!$B$3:$I$41</definedName>
    <definedName name="Excel_BuiltIn_Print_Area_7_1_1">RECAUDACION!$B$3:$I$47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FINANCIAMIENTO!$A$4:$H$36</definedName>
    <definedName name="Excel_BuiltIn_Print_Titles_11">BALANCE!$4:$5</definedName>
    <definedName name="Excel_BuiltIn_Print_Titles_12_1">"$#REF!.$A$1:$B$65535;$#REF!.$A$1:$IV$7"</definedName>
    <definedName name="Excel_BuiltIn_Print_Titles_7">RECAUDACION!$3:$4</definedName>
    <definedName name="Excel_BuiltIn_Print_Titles_7_1">"$cuadro_A_1.$#REF!$#REF!:$#REF!$#REF!"</definedName>
    <definedName name="Excel_BuiltIn_Print_Titles_8_1">[1]INGRESOS!$A$1:$IV$5</definedName>
    <definedName name="_xlnm.Print_Titles" localSheetId="5">BALANCE!$1:$5</definedName>
    <definedName name="_xlnm.Print_Titles" localSheetId="6">'EJEC GASTOS'!$4:$10</definedName>
    <definedName name="_xlnm.Print_Titles" localSheetId="9">'PROYECTOS INV'!$1:$7</definedName>
    <definedName name="_xlnm.Print_Titles" localSheetId="1">RECAUDACION!$1:$4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5" l="1"/>
  <c r="G11" i="15"/>
  <c r="H17" i="12"/>
  <c r="E16" i="18"/>
  <c r="E26" i="18"/>
  <c r="E25" i="18" s="1"/>
  <c r="G9" i="15"/>
  <c r="G21" i="15"/>
  <c r="N9" i="15" l="1"/>
  <c r="N37" i="24"/>
  <c r="N83" i="24"/>
  <c r="N76" i="24"/>
  <c r="N73" i="24"/>
  <c r="N67" i="24"/>
  <c r="N62" i="24"/>
  <c r="N58" i="24"/>
  <c r="N55" i="24"/>
  <c r="N45" i="24"/>
  <c r="G45" i="24" s="1"/>
  <c r="N38" i="24"/>
  <c r="G38" i="24"/>
  <c r="G37" i="24"/>
  <c r="N50" i="24"/>
  <c r="G50" i="24" s="1"/>
  <c r="D82" i="24"/>
  <c r="D71" i="24"/>
  <c r="C21" i="10"/>
  <c r="G26" i="10"/>
  <c r="H24" i="9"/>
  <c r="F28" i="9"/>
  <c r="F27" i="9"/>
  <c r="F26" i="9"/>
  <c r="E13" i="8"/>
  <c r="E32" i="8"/>
  <c r="E28" i="8"/>
  <c r="E29" i="8"/>
  <c r="E27" i="8"/>
  <c r="E25" i="8"/>
  <c r="E18" i="8"/>
  <c r="E19" i="8"/>
  <c r="D25" i="8"/>
  <c r="D28" i="8"/>
  <c r="D13" i="15"/>
  <c r="N25" i="15"/>
  <c r="D29" i="15"/>
  <c r="E29" i="15"/>
  <c r="G25" i="15"/>
  <c r="G8" i="60" l="1"/>
  <c r="N27" i="15" l="1"/>
  <c r="N23" i="15"/>
  <c r="N13" i="15"/>
  <c r="G13" i="15"/>
  <c r="E27" i="15" l="1"/>
  <c r="D27" i="15"/>
  <c r="E25" i="15"/>
  <c r="D25" i="15"/>
  <c r="E23" i="15"/>
  <c r="E19" i="15"/>
  <c r="D19" i="15"/>
  <c r="E17" i="15"/>
  <c r="D17" i="15"/>
  <c r="E13" i="15"/>
  <c r="E82" i="24"/>
  <c r="E71" i="24"/>
  <c r="N82" i="24"/>
  <c r="N71" i="24"/>
  <c r="I41" i="26"/>
  <c r="G94" i="24"/>
  <c r="N134" i="24"/>
  <c r="N114" i="24"/>
  <c r="G114" i="24" s="1"/>
  <c r="N110" i="24"/>
  <c r="N98" i="24"/>
  <c r="G98" i="24" s="1"/>
  <c r="H83" i="24"/>
  <c r="H38" i="24"/>
  <c r="N145" i="24"/>
  <c r="N144" i="24" s="1"/>
  <c r="G153" i="24"/>
  <c r="N133" i="24"/>
  <c r="N128" i="24" s="1"/>
  <c r="N127" i="24"/>
  <c r="G127" i="24" s="1"/>
  <c r="N124" i="24"/>
  <c r="G124" i="24" s="1"/>
  <c r="N122" i="24"/>
  <c r="G122" i="24" s="1"/>
  <c r="N108" i="24"/>
  <c r="N109" i="24"/>
  <c r="G109" i="24" s="1"/>
  <c r="N96" i="24"/>
  <c r="N95" i="24" s="1"/>
  <c r="G95" i="24" s="1"/>
  <c r="G97" i="24"/>
  <c r="N89" i="24"/>
  <c r="N72" i="24"/>
  <c r="G72" i="24"/>
  <c r="N63" i="24"/>
  <c r="N59" i="24"/>
  <c r="G59" i="24" s="1"/>
  <c r="G46" i="24"/>
  <c r="G67" i="24" l="1"/>
  <c r="G89" i="24"/>
  <c r="G82" i="24"/>
  <c r="G133" i="24"/>
  <c r="G63" i="24"/>
  <c r="G96" i="24"/>
  <c r="G58" i="24"/>
  <c r="N104" i="24"/>
  <c r="G104" i="24" s="1"/>
  <c r="G145" i="24"/>
  <c r="G108" i="24"/>
  <c r="N120" i="24"/>
  <c r="G120" i="24" s="1"/>
  <c r="G110" i="24"/>
  <c r="H134" i="24"/>
  <c r="D72" i="24" l="1"/>
  <c r="D73" i="24"/>
  <c r="D174" i="24"/>
  <c r="D63" i="24"/>
  <c r="D64" i="24"/>
  <c r="D59" i="24"/>
  <c r="D61" i="24"/>
  <c r="D132" i="24"/>
  <c r="D147" i="24"/>
  <c r="D112" i="24"/>
  <c r="D138" i="24"/>
  <c r="D130" i="24"/>
  <c r="D80" i="24"/>
  <c r="D78" i="24"/>
  <c r="D57" i="24"/>
  <c r="D41" i="24" l="1"/>
  <c r="D60" i="24"/>
  <c r="D49" i="24" l="1"/>
  <c r="D96" i="24"/>
  <c r="D129" i="24"/>
  <c r="D127" i="24"/>
  <c r="D126" i="24"/>
  <c r="D124" i="24"/>
  <c r="D123" i="24"/>
  <c r="D118" i="24"/>
  <c r="D102" i="24"/>
  <c r="D100" i="24"/>
  <c r="D125" i="24"/>
  <c r="D116" i="24"/>
  <c r="D81" i="24"/>
  <c r="D79" i="24"/>
  <c r="D65" i="24"/>
  <c r="D58" i="24"/>
  <c r="D151" i="24"/>
  <c r="D146" i="24"/>
  <c r="D142" i="24"/>
  <c r="D140" i="24"/>
  <c r="D139" i="24"/>
  <c r="D137" i="24"/>
  <c r="D135" i="24"/>
  <c r="D133" i="24"/>
  <c r="D121" i="24"/>
  <c r="D119" i="24"/>
  <c r="D117" i="24"/>
  <c r="D113" i="24"/>
  <c r="D111" i="24"/>
  <c r="D108" i="24"/>
  <c r="D106" i="24"/>
  <c r="D103" i="24"/>
  <c r="D99" i="24"/>
  <c r="D97" i="24"/>
  <c r="D21" i="24"/>
  <c r="D20" i="24"/>
  <c r="D19" i="24"/>
  <c r="D13" i="24"/>
  <c r="D44" i="24"/>
  <c r="D92" i="24"/>
  <c r="D88" i="24"/>
  <c r="D77" i="24"/>
  <c r="D66" i="24"/>
  <c r="D54" i="24"/>
  <c r="D170" i="24"/>
  <c r="D168" i="24" s="1"/>
  <c r="D166" i="24"/>
  <c r="D164" i="24"/>
  <c r="D101" i="24"/>
  <c r="D136" i="24"/>
  <c r="D131" i="24"/>
  <c r="D56" i="24"/>
  <c r="D95" i="24" l="1"/>
  <c r="D62" i="24"/>
  <c r="D76" i="24"/>
  <c r="D98" i="24"/>
  <c r="D115" i="24"/>
  <c r="E81" i="24"/>
  <c r="D67" i="24"/>
  <c r="D55" i="24"/>
  <c r="D45" i="24"/>
  <c r="D40" i="24"/>
  <c r="D38" i="24" s="1"/>
  <c r="G158" i="24" l="1"/>
  <c r="H128" i="24"/>
  <c r="D181" i="24"/>
  <c r="D178" i="24" s="1"/>
  <c r="I40" i="60" l="1"/>
  <c r="I38" i="60"/>
  <c r="I20" i="60"/>
  <c r="I17" i="60"/>
  <c r="I18" i="60"/>
  <c r="I10" i="60"/>
  <c r="I9" i="60"/>
  <c r="G24" i="9"/>
  <c r="F38" i="8"/>
  <c r="F37" i="8" s="1"/>
  <c r="F42" i="8"/>
  <c r="F41" i="8" s="1"/>
  <c r="D172" i="24" l="1"/>
  <c r="D163" i="24"/>
  <c r="D162" i="24" s="1"/>
  <c r="D144" i="24"/>
  <c r="D26" i="9"/>
  <c r="H55" i="24"/>
  <c r="H29" i="24"/>
  <c r="F24" i="9" l="1"/>
  <c r="G156" i="24"/>
  <c r="D46" i="26" l="1"/>
  <c r="D128" i="24"/>
  <c r="D114" i="24"/>
  <c r="D110" i="24"/>
  <c r="D104" i="24"/>
  <c r="D120" i="24"/>
  <c r="D134" i="24"/>
  <c r="D11" i="15" l="1"/>
  <c r="D94" i="24"/>
  <c r="L34" i="24"/>
  <c r="I22" i="60" l="1"/>
  <c r="E16" i="60"/>
  <c r="C8" i="60"/>
  <c r="C16" i="60"/>
  <c r="C33" i="60"/>
  <c r="H30" i="9"/>
  <c r="G29" i="8"/>
  <c r="I114" i="24"/>
  <c r="H120" i="24"/>
  <c r="G123" i="24"/>
  <c r="H98" i="24"/>
  <c r="I95" i="24"/>
  <c r="G100" i="24"/>
  <c r="D155" i="24"/>
  <c r="C42" i="60" l="1"/>
  <c r="H45" i="24"/>
  <c r="G28" i="26"/>
  <c r="G62" i="24"/>
  <c r="G85" i="24"/>
  <c r="G65" i="24"/>
  <c r="F26" i="8"/>
  <c r="G28" i="8"/>
  <c r="H15" i="9" l="1"/>
  <c r="F11" i="15" l="1"/>
  <c r="H144" i="24"/>
  <c r="I45" i="24"/>
  <c r="E157" i="24"/>
  <c r="D157" i="24"/>
  <c r="G150" i="24"/>
  <c r="G138" i="24"/>
  <c r="G116" i="24"/>
  <c r="L116" i="24" s="1"/>
  <c r="E83" i="24"/>
  <c r="M15" i="8" l="1"/>
  <c r="M21" i="8" s="1"/>
  <c r="I39" i="60" l="1"/>
  <c r="G16" i="60"/>
  <c r="F14" i="60"/>
  <c r="I14" i="60" s="1"/>
  <c r="B9" i="60"/>
  <c r="H62" i="24" l="1"/>
  <c r="H46" i="26"/>
  <c r="G87" i="24"/>
  <c r="L87" i="24" s="1"/>
  <c r="J19" i="15"/>
  <c r="G27" i="15"/>
  <c r="L25" i="15"/>
  <c r="G23" i="15"/>
  <c r="G15" i="15"/>
  <c r="F21" i="15"/>
  <c r="F9" i="15" s="1"/>
  <c r="G28" i="15"/>
  <c r="E21" i="15"/>
  <c r="I73" i="24"/>
  <c r="H162" i="24"/>
  <c r="C49" i="24"/>
  <c r="G164" i="24"/>
  <c r="H47" i="26"/>
  <c r="E120" i="24"/>
  <c r="G152" i="24"/>
  <c r="G151" i="24"/>
  <c r="G149" i="24"/>
  <c r="G148" i="24"/>
  <c r="G147" i="24"/>
  <c r="G146" i="24"/>
  <c r="G135" i="24"/>
  <c r="G125" i="24"/>
  <c r="G105" i="24"/>
  <c r="I83" i="24"/>
  <c r="G51" i="24"/>
  <c r="G54" i="24"/>
  <c r="G49" i="24"/>
  <c r="H19" i="26"/>
  <c r="G31" i="24"/>
  <c r="L31" i="24" s="1"/>
  <c r="L23" i="15" l="1"/>
  <c r="L27" i="15"/>
  <c r="H45" i="26"/>
  <c r="J23" i="15"/>
  <c r="J25" i="15"/>
  <c r="J27" i="15"/>
  <c r="G23" i="24"/>
  <c r="G20" i="24"/>
  <c r="L20" i="24" s="1"/>
  <c r="G18" i="24"/>
  <c r="G56" i="24"/>
  <c r="D16" i="11"/>
  <c r="D15" i="11" s="1"/>
  <c r="D12" i="11" s="1"/>
  <c r="D18" i="11"/>
  <c r="D19" i="11"/>
  <c r="D23" i="11"/>
  <c r="D21" i="11" s="1"/>
  <c r="H24" i="11"/>
  <c r="B26" i="11"/>
  <c r="B25" i="11" s="1"/>
  <c r="D26" i="11"/>
  <c r="D25" i="11" s="1"/>
  <c r="E45" i="11"/>
  <c r="E43" i="11" s="1"/>
  <c r="C46" i="11"/>
  <c r="H46" i="11"/>
  <c r="C47" i="11"/>
  <c r="H48" i="11"/>
  <c r="J20" i="24" l="1"/>
  <c r="D29" i="11"/>
  <c r="K27" i="60"/>
  <c r="K21" i="60"/>
  <c r="E23" i="18" l="1"/>
  <c r="K40" i="60"/>
  <c r="G42" i="12"/>
  <c r="H16" i="60"/>
  <c r="D16" i="60"/>
  <c r="K28" i="60"/>
  <c r="F16" i="60"/>
  <c r="K22" i="60"/>
  <c r="K20" i="60"/>
  <c r="I11" i="15"/>
  <c r="H15" i="26"/>
  <c r="H16" i="26"/>
  <c r="H18" i="26"/>
  <c r="L91" i="24"/>
  <c r="E178" i="24"/>
  <c r="G132" i="24"/>
  <c r="H73" i="24"/>
  <c r="G64" i="24"/>
  <c r="L64" i="24" s="1"/>
  <c r="G81" i="24"/>
  <c r="L81" i="24" s="1"/>
  <c r="G80" i="24"/>
  <c r="L80" i="24" s="1"/>
  <c r="G79" i="24"/>
  <c r="L79" i="24" s="1"/>
  <c r="G78" i="24"/>
  <c r="G13" i="24"/>
  <c r="K9" i="60" l="1"/>
  <c r="K24" i="60"/>
  <c r="I24" i="60"/>
  <c r="K41" i="60"/>
  <c r="I41" i="60"/>
  <c r="K35" i="60"/>
  <c r="H11" i="15"/>
  <c r="H27" i="9"/>
  <c r="G19" i="8"/>
  <c r="D19" i="18" l="1"/>
  <c r="J27" i="9"/>
  <c r="I37" i="60" l="1"/>
  <c r="K30" i="60"/>
  <c r="K26" i="60"/>
  <c r="K29" i="60"/>
  <c r="D8" i="60"/>
  <c r="G19" i="15"/>
  <c r="H55" i="26"/>
  <c r="H51" i="26"/>
  <c r="G19" i="24"/>
  <c r="H174" i="24"/>
  <c r="G32" i="12" s="1"/>
  <c r="H168" i="24"/>
  <c r="H52" i="26" s="1"/>
  <c r="D154" i="24"/>
  <c r="H155" i="24"/>
  <c r="H154" i="24" s="1"/>
  <c r="H43" i="26"/>
  <c r="H35" i="26"/>
  <c r="H31" i="26"/>
  <c r="H25" i="26"/>
  <c r="G88" i="24"/>
  <c r="J87" i="24"/>
  <c r="D27" i="26"/>
  <c r="D12" i="24"/>
  <c r="G11" i="26"/>
  <c r="G14" i="24"/>
  <c r="G15" i="24"/>
  <c r="C53" i="26"/>
  <c r="B10" i="10"/>
  <c r="C24" i="9"/>
  <c r="C22" i="9" s="1"/>
  <c r="C20" i="9"/>
  <c r="C18" i="9"/>
  <c r="C17" i="9"/>
  <c r="C16" i="9"/>
  <c r="C15" i="9"/>
  <c r="C14" i="9"/>
  <c r="C13" i="9"/>
  <c r="C38" i="8"/>
  <c r="C37" i="8" s="1"/>
  <c r="C42" i="8"/>
  <c r="C41" i="8" s="1"/>
  <c r="C40" i="8" s="1"/>
  <c r="C31" i="8"/>
  <c r="C26" i="8"/>
  <c r="C17" i="8"/>
  <c r="C15" i="8" s="1"/>
  <c r="B16" i="11" s="1"/>
  <c r="C23" i="8"/>
  <c r="C21" i="8" s="1"/>
  <c r="D23" i="18"/>
  <c r="B20" i="18"/>
  <c r="D12" i="26"/>
  <c r="G26" i="12"/>
  <c r="G25" i="12"/>
  <c r="G24" i="12"/>
  <c r="G23" i="12"/>
  <c r="H21" i="15"/>
  <c r="I21" i="15"/>
  <c r="H42" i="26"/>
  <c r="H29" i="26"/>
  <c r="H24" i="26"/>
  <c r="H12" i="26"/>
  <c r="H11" i="26"/>
  <c r="H172" i="24"/>
  <c r="H160" i="24"/>
  <c r="H41" i="26"/>
  <c r="H40" i="26"/>
  <c r="H39" i="26"/>
  <c r="H114" i="24"/>
  <c r="H38" i="26" s="1"/>
  <c r="H110" i="24"/>
  <c r="H37" i="26" s="1"/>
  <c r="H104" i="24"/>
  <c r="H36" i="26" s="1"/>
  <c r="H95" i="24"/>
  <c r="H34" i="26" s="1"/>
  <c r="H76" i="24"/>
  <c r="H30" i="26" s="1"/>
  <c r="H67" i="24"/>
  <c r="H28" i="26" s="1"/>
  <c r="H27" i="26"/>
  <c r="H58" i="24"/>
  <c r="H23" i="26"/>
  <c r="H16" i="24"/>
  <c r="H14" i="26" s="1"/>
  <c r="H12" i="24"/>
  <c r="I53" i="26"/>
  <c r="G53" i="26"/>
  <c r="F53" i="26"/>
  <c r="E53" i="26"/>
  <c r="D53" i="26"/>
  <c r="D22" i="24"/>
  <c r="D17" i="26" s="1"/>
  <c r="H33" i="60"/>
  <c r="G33" i="60"/>
  <c r="G43" i="12" s="1"/>
  <c r="E33" i="60"/>
  <c r="D33" i="60"/>
  <c r="B33" i="60"/>
  <c r="B43" i="12" s="1"/>
  <c r="B16" i="60"/>
  <c r="B42" i="12" s="1"/>
  <c r="B8" i="60"/>
  <c r="B41" i="12" s="1"/>
  <c r="I128" i="24"/>
  <c r="I120" i="24"/>
  <c r="I110" i="24"/>
  <c r="I104" i="24"/>
  <c r="I98" i="24"/>
  <c r="I76" i="24"/>
  <c r="I168" i="24"/>
  <c r="E168" i="24"/>
  <c r="C168" i="24"/>
  <c r="E174" i="24"/>
  <c r="E172" i="24"/>
  <c r="C32" i="12"/>
  <c r="K172" i="24"/>
  <c r="J172" i="24"/>
  <c r="I172" i="24"/>
  <c r="G172" i="24"/>
  <c r="F172" i="24"/>
  <c r="C172" i="24"/>
  <c r="D160" i="24"/>
  <c r="E73" i="24"/>
  <c r="E45" i="24"/>
  <c r="C73" i="24"/>
  <c r="C45" i="24"/>
  <c r="C55" i="24"/>
  <c r="C58" i="24"/>
  <c r="C62" i="24"/>
  <c r="C67" i="24"/>
  <c r="C76" i="24"/>
  <c r="B19" i="11" l="1"/>
  <c r="B28" i="10"/>
  <c r="B23" i="11"/>
  <c r="B21" i="11" s="1"/>
  <c r="B17" i="11"/>
  <c r="B18" i="11"/>
  <c r="B15" i="11" s="1"/>
  <c r="B12" i="11" s="1"/>
  <c r="B29" i="11" s="1"/>
  <c r="D159" i="24"/>
  <c r="H11" i="24"/>
  <c r="H54" i="26"/>
  <c r="H37" i="24"/>
  <c r="G12" i="24"/>
  <c r="D52" i="26"/>
  <c r="D42" i="60"/>
  <c r="E28" i="18"/>
  <c r="K16" i="60"/>
  <c r="H33" i="26"/>
  <c r="G28" i="12"/>
  <c r="G22" i="12" s="1"/>
  <c r="G42" i="60"/>
  <c r="K38" i="60"/>
  <c r="C43" i="12"/>
  <c r="D30" i="18"/>
  <c r="G41" i="12"/>
  <c r="K37" i="60"/>
  <c r="H9" i="15"/>
  <c r="H50" i="26"/>
  <c r="G18" i="12"/>
  <c r="E39" i="11"/>
  <c r="C39" i="11"/>
  <c r="D39" i="11"/>
  <c r="H22" i="26"/>
  <c r="C41" i="12"/>
  <c r="D26" i="18"/>
  <c r="E21" i="18"/>
  <c r="C28" i="12"/>
  <c r="C22" i="12" s="1"/>
  <c r="C18" i="12"/>
  <c r="B39" i="12"/>
  <c r="C11" i="9"/>
  <c r="C9" i="9" s="1"/>
  <c r="B30" i="10"/>
  <c r="B26" i="10" s="1"/>
  <c r="C36" i="8"/>
  <c r="C34" i="8" s="1"/>
  <c r="C13" i="8"/>
  <c r="I9" i="15"/>
  <c r="J13" i="24"/>
  <c r="H94" i="24"/>
  <c r="H159" i="24"/>
  <c r="H26" i="26"/>
  <c r="H13" i="26"/>
  <c r="H10" i="26" s="1"/>
  <c r="H9" i="26" s="1"/>
  <c r="D29" i="24"/>
  <c r="D16" i="24"/>
  <c r="G17" i="24"/>
  <c r="C16" i="24"/>
  <c r="B13" i="18" l="1"/>
  <c r="D11" i="24"/>
  <c r="H49" i="26"/>
  <c r="H182" i="24"/>
  <c r="G39" i="12"/>
  <c r="G36" i="12" s="1"/>
  <c r="H21" i="26"/>
  <c r="H56" i="26" s="1"/>
  <c r="G20" i="12"/>
  <c r="G17" i="12"/>
  <c r="C38" i="11"/>
  <c r="E38" i="11"/>
  <c r="D38" i="11"/>
  <c r="G16" i="12"/>
  <c r="D19" i="26"/>
  <c r="C17" i="12"/>
  <c r="C11" i="8"/>
  <c r="G15" i="12"/>
  <c r="D15" i="8"/>
  <c r="D17" i="8"/>
  <c r="D23" i="8"/>
  <c r="D21" i="8" s="1"/>
  <c r="D26" i="8"/>
  <c r="D31" i="8"/>
  <c r="D38" i="8"/>
  <c r="D37" i="8" s="1"/>
  <c r="D42" i="8"/>
  <c r="D45" i="8"/>
  <c r="E26" i="11" l="1"/>
  <c r="E25" i="11" s="1"/>
  <c r="C26" i="11"/>
  <c r="C25" i="11" s="1"/>
  <c r="C19" i="11"/>
  <c r="E19" i="11"/>
  <c r="C16" i="11"/>
  <c r="E16" i="11"/>
  <c r="C9" i="8"/>
  <c r="B11" i="18"/>
  <c r="C18" i="11"/>
  <c r="E18" i="11"/>
  <c r="C30" i="10"/>
  <c r="C17" i="11"/>
  <c r="D17" i="11"/>
  <c r="E17" i="11"/>
  <c r="G13" i="12"/>
  <c r="G11" i="12" s="1"/>
  <c r="G9" i="12" s="1"/>
  <c r="D36" i="11"/>
  <c r="E36" i="11"/>
  <c r="C36" i="11"/>
  <c r="C15" i="12"/>
  <c r="D41" i="8"/>
  <c r="D40" i="8" s="1"/>
  <c r="D36" i="8"/>
  <c r="D13" i="8"/>
  <c r="D11" i="8" s="1"/>
  <c r="C10" i="10" s="1"/>
  <c r="C15" i="11" l="1"/>
  <c r="C12" i="11" s="1"/>
  <c r="C23" i="11"/>
  <c r="C21" i="11" s="1"/>
  <c r="E23" i="11"/>
  <c r="E21" i="11" s="1"/>
  <c r="E15" i="11"/>
  <c r="E12" i="11" s="1"/>
  <c r="E29" i="11" s="1"/>
  <c r="D34" i="8"/>
  <c r="D24" i="9"/>
  <c r="D22" i="9" s="1"/>
  <c r="C46" i="26"/>
  <c r="C42" i="26"/>
  <c r="C24" i="26"/>
  <c r="C16" i="26"/>
  <c r="C15" i="26"/>
  <c r="C13" i="26"/>
  <c r="C12" i="26"/>
  <c r="C11" i="26"/>
  <c r="L164" i="24"/>
  <c r="C162" i="24"/>
  <c r="C51" i="26" s="1"/>
  <c r="E98" i="24"/>
  <c r="G117" i="24"/>
  <c r="L117" i="24" s="1"/>
  <c r="F13" i="9"/>
  <c r="F14" i="9"/>
  <c r="F15" i="9"/>
  <c r="F16" i="9"/>
  <c r="F17" i="9"/>
  <c r="F18" i="9"/>
  <c r="D9" i="8" l="1"/>
  <c r="C29" i="11"/>
  <c r="K117" i="24"/>
  <c r="C10" i="26"/>
  <c r="J117" i="24"/>
  <c r="G18" i="8" l="1"/>
  <c r="D10" i="10" l="1"/>
  <c r="D13" i="10"/>
  <c r="F20" i="9"/>
  <c r="E20" i="9"/>
  <c r="E18" i="9"/>
  <c r="E17" i="9"/>
  <c r="E16" i="9"/>
  <c r="E15" i="9"/>
  <c r="E14" i="9"/>
  <c r="E13" i="9"/>
  <c r="D20" i="9"/>
  <c r="D18" i="9"/>
  <c r="D17" i="9"/>
  <c r="D16" i="9"/>
  <c r="D15" i="9"/>
  <c r="D14" i="9"/>
  <c r="D13" i="9"/>
  <c r="D11" i="9" l="1"/>
  <c r="B23" i="18"/>
  <c r="B22" i="18"/>
  <c r="E22" i="18"/>
  <c r="E20" i="18"/>
  <c r="B30" i="18" l="1"/>
  <c r="C9" i="18"/>
  <c r="C18" i="18"/>
  <c r="C25" i="18"/>
  <c r="G102" i="24"/>
  <c r="L102" i="24" s="1"/>
  <c r="I67" i="24"/>
  <c r="E67" i="24"/>
  <c r="C28" i="26"/>
  <c r="C23" i="26" l="1"/>
  <c r="C16" i="18"/>
  <c r="G18" i="9" l="1"/>
  <c r="G17" i="9"/>
  <c r="G16" i="9"/>
  <c r="G15" i="9"/>
  <c r="G19" i="9"/>
  <c r="G14" i="9"/>
  <c r="G13" i="9"/>
  <c r="G39" i="8"/>
  <c r="H39" i="8" s="1"/>
  <c r="J46" i="24" l="1"/>
  <c r="G25" i="8" l="1"/>
  <c r="H25" i="8" s="1"/>
  <c r="G43" i="8"/>
  <c r="G32" i="8"/>
  <c r="G27" i="8"/>
  <c r="H17" i="9" s="1"/>
  <c r="H43" i="8" l="1"/>
  <c r="K25" i="60" l="1"/>
  <c r="F33" i="60"/>
  <c r="I33" i="60" l="1"/>
  <c r="K33" i="60"/>
  <c r="E30" i="18"/>
  <c r="F43" i="12"/>
  <c r="F8" i="60"/>
  <c r="I8" i="60" s="1"/>
  <c r="F42" i="60" l="1"/>
  <c r="M5" i="60"/>
  <c r="E55" i="24" l="1"/>
  <c r="G24" i="26"/>
  <c r="I27" i="24"/>
  <c r="F40" i="8" l="1"/>
  <c r="G20" i="9" s="1"/>
  <c r="G11" i="9" s="1"/>
  <c r="G42" i="8" l="1"/>
  <c r="G41" i="8" s="1"/>
  <c r="H20" i="9"/>
  <c r="I20" i="9" s="1"/>
  <c r="E144" i="24"/>
  <c r="H26" i="9" l="1"/>
  <c r="K29" i="15" l="1"/>
  <c r="H16" i="9"/>
  <c r="H18" i="9"/>
  <c r="F36" i="8"/>
  <c r="F34" i="8" s="1"/>
  <c r="F31" i="8"/>
  <c r="G31" i="8" s="1"/>
  <c r="G19" i="11" s="1"/>
  <c r="J16" i="9" l="1"/>
  <c r="H19" i="11"/>
  <c r="G26" i="8"/>
  <c r="G18" i="11" s="1"/>
  <c r="G38" i="8"/>
  <c r="G37" i="8" s="1"/>
  <c r="G26" i="11" s="1"/>
  <c r="H38" i="8"/>
  <c r="H37" i="8" s="1"/>
  <c r="H36" i="8" s="1"/>
  <c r="H14" i="9"/>
  <c r="E38" i="8"/>
  <c r="G25" i="11" l="1"/>
  <c r="H26" i="11"/>
  <c r="H18" i="11"/>
  <c r="G30" i="10"/>
  <c r="G36" i="8"/>
  <c r="H25" i="11" l="1"/>
  <c r="G34" i="26" l="1"/>
  <c r="L96" i="24"/>
  <c r="G83" i="24"/>
  <c r="J91" i="24"/>
  <c r="G52" i="24"/>
  <c r="J52" i="24" l="1"/>
  <c r="L52" i="24"/>
  <c r="I43" i="8" l="1"/>
  <c r="E37" i="8"/>
  <c r="F30" i="10" s="1"/>
  <c r="H30" i="10" s="1"/>
  <c r="G40" i="8"/>
  <c r="G34" i="8" l="1"/>
  <c r="G23" i="11"/>
  <c r="E13" i="18"/>
  <c r="E36" i="8"/>
  <c r="E42" i="8"/>
  <c r="H42" i="8" s="1"/>
  <c r="I25" i="8"/>
  <c r="G23" i="8"/>
  <c r="G21" i="8" s="1"/>
  <c r="F23" i="8"/>
  <c r="E23" i="8"/>
  <c r="E21" i="8" s="1"/>
  <c r="F17" i="11" s="1"/>
  <c r="G17" i="11" l="1"/>
  <c r="H17" i="11" s="1"/>
  <c r="H21" i="8"/>
  <c r="I17" i="11"/>
  <c r="H23" i="11"/>
  <c r="G21" i="11"/>
  <c r="I42" i="8"/>
  <c r="E41" i="8"/>
  <c r="F21" i="8"/>
  <c r="E17" i="8"/>
  <c r="E15" i="8" s="1"/>
  <c r="F16" i="11" l="1"/>
  <c r="H21" i="11"/>
  <c r="E40" i="8"/>
  <c r="F17" i="8"/>
  <c r="E34" i="8" l="1"/>
  <c r="H34" i="8" s="1"/>
  <c r="F23" i="11"/>
  <c r="G17" i="8"/>
  <c r="G15" i="8" s="1"/>
  <c r="G16" i="11" s="1"/>
  <c r="F47" i="8"/>
  <c r="I23" i="11" l="1"/>
  <c r="H16" i="11"/>
  <c r="I16" i="11"/>
  <c r="F22" i="9"/>
  <c r="I12" i="24" l="1"/>
  <c r="J45" i="24" l="1"/>
  <c r="H8" i="60"/>
  <c r="H41" i="12" l="1"/>
  <c r="H42" i="60"/>
  <c r="E26" i="8"/>
  <c r="F18" i="11" s="1"/>
  <c r="I18" i="11" l="1"/>
  <c r="F15" i="8"/>
  <c r="F13" i="8" s="1"/>
  <c r="F11" i="8" l="1"/>
  <c r="G13" i="8"/>
  <c r="G15" i="11" s="1"/>
  <c r="G12" i="11" l="1"/>
  <c r="H15" i="11"/>
  <c r="L151" i="24"/>
  <c r="G11" i="8"/>
  <c r="E58" i="24"/>
  <c r="G36" i="26" l="1"/>
  <c r="G29" i="11"/>
  <c r="H12" i="11"/>
  <c r="E9" i="18"/>
  <c r="G10" i="10"/>
  <c r="E24" i="9"/>
  <c r="E11" i="9"/>
  <c r="H29" i="11" l="1"/>
  <c r="F11" i="9"/>
  <c r="I18" i="9"/>
  <c r="I16" i="9"/>
  <c r="I14" i="9"/>
  <c r="J14" i="9"/>
  <c r="J18" i="9"/>
  <c r="I26" i="9" l="1"/>
  <c r="J26" i="9" l="1"/>
  <c r="I36" i="60" l="1"/>
  <c r="I35" i="60"/>
  <c r="G84" i="24"/>
  <c r="L88" i="24" l="1"/>
  <c r="G22" i="9" l="1"/>
  <c r="H22" i="9" s="1"/>
  <c r="I22" i="9" s="1"/>
  <c r="F45" i="8"/>
  <c r="G45" i="8" s="1"/>
  <c r="G9" i="9" l="1"/>
  <c r="I25" i="60"/>
  <c r="J25" i="60"/>
  <c r="E8" i="60"/>
  <c r="E42" i="60" s="1"/>
  <c r="E41" i="12" l="1"/>
  <c r="H43" i="12"/>
  <c r="E43" i="12"/>
  <c r="B28" i="18"/>
  <c r="B26" i="18"/>
  <c r="B42" i="60"/>
  <c r="F9" i="8"/>
  <c r="G9" i="8" s="1"/>
  <c r="D43" i="12"/>
  <c r="H42" i="12"/>
  <c r="D42" i="12"/>
  <c r="D41" i="12"/>
  <c r="B45" i="11" l="1"/>
  <c r="B43" i="11" s="1"/>
  <c r="F45" i="11"/>
  <c r="F43" i="11" s="1"/>
  <c r="H39" i="12"/>
  <c r="C42" i="12"/>
  <c r="D28" i="18"/>
  <c r="D25" i="18" s="1"/>
  <c r="B36" i="12"/>
  <c r="B21" i="10"/>
  <c r="B19" i="10" s="1"/>
  <c r="F21" i="10"/>
  <c r="D21" i="10"/>
  <c r="B25" i="18"/>
  <c r="I157" i="24"/>
  <c r="I144" i="24"/>
  <c r="E134" i="24"/>
  <c r="I62" i="24"/>
  <c r="G92" i="24"/>
  <c r="L92" i="24" s="1"/>
  <c r="G90" i="24"/>
  <c r="L90" i="24" s="1"/>
  <c r="J51" i="24"/>
  <c r="I38" i="24"/>
  <c r="E16" i="24"/>
  <c r="I94" i="24" l="1"/>
  <c r="C45" i="11"/>
  <c r="C43" i="11" s="1"/>
  <c r="D45" i="11"/>
  <c r="D43" i="11" s="1"/>
  <c r="K51" i="24"/>
  <c r="L89" i="24"/>
  <c r="L51" i="24"/>
  <c r="E104" i="24" l="1"/>
  <c r="L104" i="24" s="1"/>
  <c r="G181" i="24"/>
  <c r="L181" i="24" s="1"/>
  <c r="I155" i="24"/>
  <c r="L148" i="24"/>
  <c r="G111" i="24"/>
  <c r="E95" i="24"/>
  <c r="I29" i="24"/>
  <c r="J148" i="24" l="1"/>
  <c r="J86" i="24"/>
  <c r="K148" i="24"/>
  <c r="K27" i="15" l="1"/>
  <c r="K23" i="15"/>
  <c r="K19" i="15"/>
  <c r="D84" i="24" l="1"/>
  <c r="D83" i="24" s="1"/>
  <c r="D37" i="24" s="1"/>
  <c r="K86" i="24"/>
  <c r="D37" i="11" l="1"/>
  <c r="D35" i="11" s="1"/>
  <c r="C37" i="11"/>
  <c r="C35" i="11" s="1"/>
  <c r="E37" i="11"/>
  <c r="E35" i="11" s="1"/>
  <c r="L83" i="24"/>
  <c r="I42" i="26"/>
  <c r="F42" i="26"/>
  <c r="E42" i="26"/>
  <c r="I24" i="26"/>
  <c r="F24" i="26"/>
  <c r="E24" i="26"/>
  <c r="I18" i="26"/>
  <c r="I16" i="26"/>
  <c r="F16" i="26"/>
  <c r="E16" i="26"/>
  <c r="I15" i="26"/>
  <c r="F15" i="26"/>
  <c r="E15" i="26"/>
  <c r="I13" i="26"/>
  <c r="F13" i="26"/>
  <c r="E13" i="26"/>
  <c r="I12" i="26"/>
  <c r="F12" i="26"/>
  <c r="E12" i="26"/>
  <c r="I11" i="26"/>
  <c r="F11" i="26"/>
  <c r="E11" i="26"/>
  <c r="C16" i="12" l="1"/>
  <c r="C13" i="12" s="1"/>
  <c r="D182" i="24"/>
  <c r="I10" i="26"/>
  <c r="C19" i="10" l="1"/>
  <c r="C39" i="12" l="1"/>
  <c r="C36" i="12" s="1"/>
  <c r="E22" i="9" l="1"/>
  <c r="E9" i="9" s="1"/>
  <c r="D30" i="10" l="1"/>
  <c r="J181" i="24" l="1"/>
  <c r="E55" i="26"/>
  <c r="L85" i="24"/>
  <c r="I31" i="26"/>
  <c r="F31" i="26"/>
  <c r="E31" i="26"/>
  <c r="C83" i="24"/>
  <c r="G177" i="24"/>
  <c r="G176" i="24"/>
  <c r="L176" i="24" s="1"/>
  <c r="G175" i="24"/>
  <c r="G170" i="24"/>
  <c r="G169" i="24"/>
  <c r="G167" i="24"/>
  <c r="G166" i="24"/>
  <c r="L166" i="24" s="1"/>
  <c r="G165" i="24"/>
  <c r="L165" i="24" s="1"/>
  <c r="G163" i="24"/>
  <c r="G161" i="24"/>
  <c r="G46" i="26"/>
  <c r="G42" i="26"/>
  <c r="G142" i="24"/>
  <c r="G141" i="24"/>
  <c r="G140" i="24"/>
  <c r="L140" i="24" s="1"/>
  <c r="G139" i="24"/>
  <c r="G137" i="24"/>
  <c r="G136" i="24"/>
  <c r="G131" i="24"/>
  <c r="G130" i="24"/>
  <c r="G129" i="24"/>
  <c r="L129" i="24" s="1"/>
  <c r="G126" i="24"/>
  <c r="J126" i="24" s="1"/>
  <c r="G121" i="24"/>
  <c r="G119" i="24"/>
  <c r="G118" i="24"/>
  <c r="L118" i="24" s="1"/>
  <c r="G115" i="24"/>
  <c r="L115" i="24" s="1"/>
  <c r="G113" i="24"/>
  <c r="G112" i="24"/>
  <c r="G107" i="24"/>
  <c r="G106" i="24"/>
  <c r="L106" i="24" s="1"/>
  <c r="L105" i="24"/>
  <c r="G103" i="24"/>
  <c r="L103" i="24" s="1"/>
  <c r="G101" i="24"/>
  <c r="L101" i="24" s="1"/>
  <c r="L100" i="24"/>
  <c r="G99" i="24"/>
  <c r="L99" i="24" s="1"/>
  <c r="L97" i="24"/>
  <c r="L82" i="24"/>
  <c r="G77" i="24"/>
  <c r="G75" i="24"/>
  <c r="G71" i="24"/>
  <c r="G70" i="24"/>
  <c r="G69" i="24"/>
  <c r="G66" i="24"/>
  <c r="L66" i="24" s="1"/>
  <c r="L63" i="24"/>
  <c r="G61" i="24"/>
  <c r="G60" i="24"/>
  <c r="L59" i="24"/>
  <c r="G57" i="24"/>
  <c r="J50" i="24"/>
  <c r="J49" i="24"/>
  <c r="G48" i="24"/>
  <c r="J48" i="24" s="1"/>
  <c r="G47" i="24"/>
  <c r="G44" i="24"/>
  <c r="J44" i="24" s="1"/>
  <c r="G42" i="24"/>
  <c r="G41" i="24"/>
  <c r="G40" i="24"/>
  <c r="G39" i="24"/>
  <c r="J47" i="24" l="1"/>
  <c r="K65" i="24"/>
  <c r="L65" i="24"/>
  <c r="G168" i="24"/>
  <c r="L168" i="24" s="1"/>
  <c r="C31" i="26"/>
  <c r="D31" i="26"/>
  <c r="L175" i="24"/>
  <c r="L177" i="24"/>
  <c r="L170" i="24"/>
  <c r="L70" i="24"/>
  <c r="L40" i="24"/>
  <c r="L44" i="24"/>
  <c r="L57" i="24"/>
  <c r="L75" i="24"/>
  <c r="L46" i="24"/>
  <c r="L41" i="24"/>
  <c r="L54" i="24"/>
  <c r="L60" i="24"/>
  <c r="L71" i="24"/>
  <c r="L39" i="24"/>
  <c r="L48" i="24"/>
  <c r="L56" i="24"/>
  <c r="L61" i="24"/>
  <c r="J142" i="24"/>
  <c r="L72" i="24"/>
  <c r="L78" i="24"/>
  <c r="L50" i="24"/>
  <c r="L49" i="24"/>
  <c r="L47" i="24"/>
  <c r="J85" i="24"/>
  <c r="K89" i="24"/>
  <c r="K85" i="24"/>
  <c r="J89" i="24"/>
  <c r="G24" i="15"/>
  <c r="G16" i="15"/>
  <c r="G26" i="15"/>
  <c r="E19" i="18" l="1"/>
  <c r="J83" i="24"/>
  <c r="G31" i="26"/>
  <c r="L31" i="26" s="1"/>
  <c r="K83" i="24"/>
  <c r="E18" i="18" l="1"/>
  <c r="G46" i="8" l="1"/>
  <c r="G33" i="8"/>
  <c r="H19" i="9" s="1"/>
  <c r="G30" i="8"/>
  <c r="H30" i="8" s="1"/>
  <c r="G24" i="8"/>
  <c r="G22" i="8"/>
  <c r="H23" i="9"/>
  <c r="H21" i="9"/>
  <c r="E28" i="26" l="1"/>
  <c r="E29" i="26"/>
  <c r="J28" i="15"/>
  <c r="G22" i="15"/>
  <c r="J22" i="15" s="1"/>
  <c r="G20" i="15"/>
  <c r="J20" i="15" s="1"/>
  <c r="J16" i="15"/>
  <c r="C29" i="26" l="1"/>
  <c r="C45" i="26"/>
  <c r="F10" i="26"/>
  <c r="E10" i="26"/>
  <c r="J31" i="26" l="1"/>
  <c r="L42" i="26"/>
  <c r="K31" i="26" l="1"/>
  <c r="J24" i="26" l="1"/>
  <c r="L24" i="26"/>
  <c r="D13" i="26" l="1"/>
  <c r="D15" i="26"/>
  <c r="D16" i="26"/>
  <c r="D28" i="24"/>
  <c r="D24" i="26"/>
  <c r="K24" i="26" s="1"/>
  <c r="C26" i="26" l="1"/>
  <c r="D11" i="26"/>
  <c r="D10" i="26" s="1"/>
  <c r="D28" i="26"/>
  <c r="D27" i="24"/>
  <c r="E45" i="8"/>
  <c r="F26" i="11" s="1"/>
  <c r="F25" i="11" l="1"/>
  <c r="I26" i="11"/>
  <c r="I25" i="11" l="1"/>
  <c r="F21" i="11"/>
  <c r="I21" i="11" s="1"/>
  <c r="G35" i="24" l="1"/>
  <c r="L35" i="24" s="1"/>
  <c r="G33" i="24"/>
  <c r="L33" i="24" s="1"/>
  <c r="G32" i="24"/>
  <c r="L32" i="24" s="1"/>
  <c r="G30" i="24"/>
  <c r="L30" i="24" s="1"/>
  <c r="G28" i="24"/>
  <c r="E34" i="26"/>
  <c r="K28" i="24" l="1"/>
  <c r="F34" i="26" l="1"/>
  <c r="L34" i="26" l="1"/>
  <c r="J156" i="24" l="1"/>
  <c r="J139" i="24"/>
  <c r="J137" i="24"/>
  <c r="J133" i="24"/>
  <c r="J132" i="24"/>
  <c r="J127" i="24"/>
  <c r="J125" i="24"/>
  <c r="J124" i="24"/>
  <c r="J123" i="24"/>
  <c r="J122" i="24"/>
  <c r="J42" i="24"/>
  <c r="J28" i="24"/>
  <c r="C11" i="15" l="1"/>
  <c r="E11" i="15"/>
  <c r="C21" i="15"/>
  <c r="B21" i="18" s="1"/>
  <c r="D21" i="15"/>
  <c r="D9" i="15" s="1"/>
  <c r="K26" i="15"/>
  <c r="B19" i="18" l="1"/>
  <c r="C9" i="15"/>
  <c r="D21" i="18"/>
  <c r="D18" i="18" s="1"/>
  <c r="K9" i="15"/>
  <c r="K21" i="15"/>
  <c r="B18" i="18"/>
  <c r="E9" i="15"/>
  <c r="J9" i="15" s="1"/>
  <c r="D16" i="18" l="1"/>
  <c r="B16" i="18"/>
  <c r="J113" i="24"/>
  <c r="J112" i="24"/>
  <c r="J111" i="24"/>
  <c r="J109" i="24"/>
  <c r="J108" i="24"/>
  <c r="J107" i="24"/>
  <c r="J105" i="24"/>
  <c r="J102" i="24"/>
  <c r="J101" i="24"/>
  <c r="J100" i="24"/>
  <c r="J99" i="24"/>
  <c r="J97" i="24"/>
  <c r="E39" i="26" l="1"/>
  <c r="J96" i="24"/>
  <c r="J135" i="24" l="1"/>
  <c r="J72" i="24"/>
  <c r="J63" i="24"/>
  <c r="J43" i="24"/>
  <c r="J39" i="24"/>
  <c r="J32" i="24"/>
  <c r="G21" i="24"/>
  <c r="L21" i="24" s="1"/>
  <c r="K20" i="24"/>
  <c r="G179" i="24"/>
  <c r="J177" i="24"/>
  <c r="J175" i="24"/>
  <c r="J167" i="24"/>
  <c r="J166" i="24"/>
  <c r="J165" i="24"/>
  <c r="J164" i="24"/>
  <c r="J163" i="24"/>
  <c r="L158" i="24"/>
  <c r="L145" i="24"/>
  <c r="J143" i="24"/>
  <c r="J42" i="26" s="1"/>
  <c r="J141" i="24"/>
  <c r="J140" i="24"/>
  <c r="J138" i="24"/>
  <c r="J136" i="24"/>
  <c r="J131" i="24"/>
  <c r="J130" i="24"/>
  <c r="J129" i="24"/>
  <c r="J121" i="24"/>
  <c r="J119" i="24"/>
  <c r="J118" i="24"/>
  <c r="J116" i="24"/>
  <c r="J115" i="24"/>
  <c r="J82" i="24"/>
  <c r="J81" i="24"/>
  <c r="J80" i="24"/>
  <c r="J79" i="24"/>
  <c r="J78" i="24"/>
  <c r="J77" i="24"/>
  <c r="J75" i="24"/>
  <c r="J71" i="24"/>
  <c r="J70" i="24"/>
  <c r="J69" i="24"/>
  <c r="J66" i="24"/>
  <c r="J64" i="24"/>
  <c r="J61" i="24"/>
  <c r="J60" i="24"/>
  <c r="J59" i="24"/>
  <c r="J57" i="24"/>
  <c r="J56" i="24"/>
  <c r="J54" i="24"/>
  <c r="J40" i="24"/>
  <c r="J35" i="24"/>
  <c r="J33" i="24"/>
  <c r="J31" i="24"/>
  <c r="J30" i="24"/>
  <c r="G26" i="24"/>
  <c r="G25" i="24"/>
  <c r="G24" i="24"/>
  <c r="J18" i="24"/>
  <c r="G22" i="24" l="1"/>
  <c r="K13" i="24"/>
  <c r="L153" i="24"/>
  <c r="L150" i="24"/>
  <c r="L146" i="24"/>
  <c r="L152" i="24"/>
  <c r="L147" i="24"/>
  <c r="J179" i="24"/>
  <c r="J145" i="24"/>
  <c r="J26" i="24"/>
  <c r="J24" i="24"/>
  <c r="J23" i="24"/>
  <c r="J17" i="24"/>
  <c r="G16" i="26"/>
  <c r="L16" i="26"/>
  <c r="J146" i="24"/>
  <c r="J151" i="24"/>
  <c r="J147" i="24"/>
  <c r="J152" i="24"/>
  <c r="J149" i="24"/>
  <c r="J153" i="24"/>
  <c r="J150" i="24"/>
  <c r="F39" i="26"/>
  <c r="J14" i="24"/>
  <c r="J12" i="26" s="1"/>
  <c r="G12" i="26"/>
  <c r="J15" i="26"/>
  <c r="G15" i="26"/>
  <c r="J11" i="26"/>
  <c r="J15" i="24"/>
  <c r="J13" i="26" s="1"/>
  <c r="G13" i="26"/>
  <c r="J169" i="24"/>
  <c r="G157" i="24"/>
  <c r="L157" i="24" s="1"/>
  <c r="J158" i="24"/>
  <c r="J170" i="24"/>
  <c r="G160" i="24"/>
  <c r="J161" i="24"/>
  <c r="J21" i="24"/>
  <c r="J16" i="26" s="1"/>
  <c r="J41" i="24"/>
  <c r="G39" i="26" l="1"/>
  <c r="L39" i="26" s="1"/>
  <c r="G16" i="24"/>
  <c r="G47" i="26"/>
  <c r="J120" i="24"/>
  <c r="J39" i="26" s="1"/>
  <c r="G10" i="26"/>
  <c r="G50" i="26"/>
  <c r="G17" i="26"/>
  <c r="J19" i="24"/>
  <c r="G14" i="26" l="1"/>
  <c r="G45" i="26"/>
  <c r="K10" i="26"/>
  <c r="J10" i="26"/>
  <c r="J95" i="24" l="1"/>
  <c r="J34" i="26" s="1"/>
  <c r="F28" i="26" l="1"/>
  <c r="L67" i="24" l="1"/>
  <c r="J28" i="26"/>
  <c r="F9" i="9"/>
  <c r="E62" i="24"/>
  <c r="E27" i="26" s="1"/>
  <c r="I29" i="26"/>
  <c r="L28" i="26" l="1"/>
  <c r="K28" i="26"/>
  <c r="G26" i="26"/>
  <c r="F26" i="26"/>
  <c r="I27" i="26" l="1"/>
  <c r="E54" i="26"/>
  <c r="F27" i="26" l="1"/>
  <c r="K66" i="24"/>
  <c r="L62" i="24" l="1"/>
  <c r="G27" i="26"/>
  <c r="J27" i="26" s="1"/>
  <c r="J62" i="24"/>
  <c r="E162" i="24"/>
  <c r="E51" i="26" s="1"/>
  <c r="L27" i="26" l="1"/>
  <c r="J157" i="24"/>
  <c r="E47" i="26"/>
  <c r="L47" i="26" s="1"/>
  <c r="E43" i="26"/>
  <c r="E38" i="24"/>
  <c r="E22" i="26" s="1"/>
  <c r="J47" i="26" l="1"/>
  <c r="K27" i="24"/>
  <c r="K18" i="26" s="1"/>
  <c r="E18" i="26"/>
  <c r="C27" i="24"/>
  <c r="C18" i="26" s="1"/>
  <c r="G27" i="24" l="1"/>
  <c r="F18" i="26"/>
  <c r="L18" i="26" l="1"/>
  <c r="J27" i="24"/>
  <c r="J18" i="26" s="1"/>
  <c r="G18" i="26"/>
  <c r="E52" i="26"/>
  <c r="E155" i="24"/>
  <c r="E46" i="26" s="1"/>
  <c r="E45" i="26" s="1"/>
  <c r="L45" i="26" s="1"/>
  <c r="E114" i="24"/>
  <c r="E110" i="24"/>
  <c r="E37" i="26" s="1"/>
  <c r="E36" i="26"/>
  <c r="E35" i="26"/>
  <c r="E23" i="26"/>
  <c r="E41" i="26"/>
  <c r="E128" i="24"/>
  <c r="E76" i="24"/>
  <c r="E30" i="26" s="1"/>
  <c r="E25" i="26"/>
  <c r="E29" i="24"/>
  <c r="E19" i="26" s="1"/>
  <c r="E22" i="24"/>
  <c r="E12" i="24"/>
  <c r="E11" i="24" l="1"/>
  <c r="J12" i="24"/>
  <c r="F36" i="11"/>
  <c r="E159" i="24"/>
  <c r="D28" i="12"/>
  <c r="D22" i="12" s="1"/>
  <c r="E38" i="26"/>
  <c r="E94" i="24"/>
  <c r="F38" i="11" s="1"/>
  <c r="L58" i="24"/>
  <c r="E37" i="24"/>
  <c r="F37" i="11" s="1"/>
  <c r="E40" i="26"/>
  <c r="J58" i="24"/>
  <c r="E26" i="26"/>
  <c r="E21" i="26" s="1"/>
  <c r="G76" i="24"/>
  <c r="F30" i="26"/>
  <c r="F37" i="26"/>
  <c r="F36" i="26"/>
  <c r="G134" i="24"/>
  <c r="J134" i="24" s="1"/>
  <c r="F41" i="26"/>
  <c r="G128" i="24"/>
  <c r="F40" i="26"/>
  <c r="E50" i="26"/>
  <c r="F35" i="26"/>
  <c r="J22" i="24"/>
  <c r="J17" i="26" s="1"/>
  <c r="E17" i="26"/>
  <c r="J16" i="24"/>
  <c r="J14" i="26" s="1"/>
  <c r="E14" i="26"/>
  <c r="E9" i="26" s="1"/>
  <c r="J160" i="24"/>
  <c r="J67" i="24"/>
  <c r="E154" i="24"/>
  <c r="F39" i="11" s="1"/>
  <c r="L98" i="24" l="1"/>
  <c r="F15" i="10"/>
  <c r="F41" i="11"/>
  <c r="F35" i="11"/>
  <c r="E182" i="24"/>
  <c r="E33" i="26"/>
  <c r="G41" i="26"/>
  <c r="L41" i="26" s="1"/>
  <c r="G40" i="26"/>
  <c r="L40" i="26" s="1"/>
  <c r="G37" i="26"/>
  <c r="L37" i="26" s="1"/>
  <c r="L36" i="26"/>
  <c r="G35" i="26"/>
  <c r="L35" i="26" s="1"/>
  <c r="L76" i="24"/>
  <c r="G30" i="26"/>
  <c r="J110" i="24"/>
  <c r="J37" i="26" s="1"/>
  <c r="J41" i="26"/>
  <c r="J104" i="24"/>
  <c r="J36" i="26" s="1"/>
  <c r="J128" i="24"/>
  <c r="J40" i="26" s="1"/>
  <c r="J76" i="24"/>
  <c r="J50" i="26"/>
  <c r="L50" i="26"/>
  <c r="E49" i="26"/>
  <c r="J98" i="24"/>
  <c r="J35" i="26" s="1"/>
  <c r="J26" i="26"/>
  <c r="L26" i="26"/>
  <c r="E31" i="8"/>
  <c r="E56" i="26" l="1"/>
  <c r="F19" i="11"/>
  <c r="L30" i="26"/>
  <c r="F33" i="11"/>
  <c r="F50" i="11" s="1"/>
  <c r="F12" i="10"/>
  <c r="J30" i="26"/>
  <c r="F28" i="10"/>
  <c r="F26" i="10" s="1"/>
  <c r="I174" i="24"/>
  <c r="I54" i="26" s="1"/>
  <c r="I178" i="24"/>
  <c r="I55" i="26" s="1"/>
  <c r="I19" i="11" l="1"/>
  <c r="F15" i="11"/>
  <c r="H32" i="12"/>
  <c r="F12" i="11" l="1"/>
  <c r="I15" i="11"/>
  <c r="I40" i="26"/>
  <c r="F29" i="11" l="1"/>
  <c r="I29" i="11" s="1"/>
  <c r="I12" i="11"/>
  <c r="K164" i="24"/>
  <c r="K147" i="24" l="1"/>
  <c r="K150" i="24" l="1"/>
  <c r="F19" i="10" l="1"/>
  <c r="K146" i="24" l="1"/>
  <c r="C120" i="24" l="1"/>
  <c r="D32" i="12"/>
  <c r="C39" i="26" l="1"/>
  <c r="D15" i="12" l="1"/>
  <c r="D16" i="12"/>
  <c r="D17" i="12"/>
  <c r="D18" i="12"/>
  <c r="D20" i="12"/>
  <c r="D13" i="12" l="1"/>
  <c r="E32" i="12" l="1"/>
  <c r="F54" i="26"/>
  <c r="G174" i="24"/>
  <c r="G54" i="26" s="1"/>
  <c r="G178" i="24"/>
  <c r="L178" i="24" s="1"/>
  <c r="F55" i="26"/>
  <c r="J174" i="24" l="1"/>
  <c r="L174" i="24"/>
  <c r="G55" i="26"/>
  <c r="J54" i="26"/>
  <c r="F32" i="12"/>
  <c r="J178" i="24"/>
  <c r="J55" i="26" l="1"/>
  <c r="L54" i="26"/>
  <c r="H24" i="8" l="1"/>
  <c r="H22" i="8"/>
  <c r="D9" i="9"/>
  <c r="L107" i="24"/>
  <c r="L142" i="24"/>
  <c r="L139" i="24"/>
  <c r="L126" i="24"/>
  <c r="K41" i="24"/>
  <c r="K100" i="24"/>
  <c r="K96" i="24"/>
  <c r="L132" i="24"/>
  <c r="L122" i="24"/>
  <c r="C12" i="24"/>
  <c r="F12" i="24"/>
  <c r="F11" i="24" s="1"/>
  <c r="F14" i="26"/>
  <c r="I16" i="24"/>
  <c r="C22" i="24"/>
  <c r="I22" i="24"/>
  <c r="I17" i="26" s="1"/>
  <c r="K23" i="24"/>
  <c r="K24" i="24"/>
  <c r="I19" i="26"/>
  <c r="K35" i="24"/>
  <c r="C38" i="24"/>
  <c r="C37" i="24" s="1"/>
  <c r="B37" i="11" s="1"/>
  <c r="D23" i="26"/>
  <c r="I23" i="26"/>
  <c r="I55" i="24"/>
  <c r="K56" i="24"/>
  <c r="K57" i="24"/>
  <c r="D26" i="26"/>
  <c r="K26" i="26" s="1"/>
  <c r="I58" i="24"/>
  <c r="K59" i="24"/>
  <c r="K63" i="24"/>
  <c r="C95" i="24"/>
  <c r="C98" i="24"/>
  <c r="C104" i="24"/>
  <c r="L108" i="24"/>
  <c r="C110" i="24"/>
  <c r="C114" i="24"/>
  <c r="I38" i="26"/>
  <c r="K119" i="24"/>
  <c r="K122" i="24"/>
  <c r="K124" i="24"/>
  <c r="K125" i="24"/>
  <c r="K126" i="24"/>
  <c r="K127" i="24"/>
  <c r="L127" i="24"/>
  <c r="C128" i="24"/>
  <c r="L130" i="24"/>
  <c r="K132" i="24"/>
  <c r="C134" i="24"/>
  <c r="K138" i="24"/>
  <c r="K140" i="24"/>
  <c r="K141" i="24"/>
  <c r="K142" i="24"/>
  <c r="L143" i="24"/>
  <c r="C144" i="24"/>
  <c r="I43" i="26"/>
  <c r="K149" i="24"/>
  <c r="K151" i="24"/>
  <c r="C155" i="24"/>
  <c r="I46" i="26"/>
  <c r="L156" i="24"/>
  <c r="C157" i="24"/>
  <c r="I47" i="26"/>
  <c r="C160" i="24"/>
  <c r="I160" i="24"/>
  <c r="I162" i="24"/>
  <c r="I51" i="26" s="1"/>
  <c r="I52" i="26"/>
  <c r="C174" i="24"/>
  <c r="B32" i="12" s="1"/>
  <c r="C178" i="24"/>
  <c r="D11" i="12"/>
  <c r="F30" i="12"/>
  <c r="F35" i="12"/>
  <c r="D39" i="12"/>
  <c r="D36" i="12" s="1"/>
  <c r="H36" i="12"/>
  <c r="L124" i="24"/>
  <c r="L25" i="24"/>
  <c r="L125" i="24"/>
  <c r="L119" i="24"/>
  <c r="B28" i="12" l="1"/>
  <c r="B22" i="12" s="1"/>
  <c r="I37" i="24"/>
  <c r="B16" i="12"/>
  <c r="C159" i="24"/>
  <c r="B41" i="11" s="1"/>
  <c r="I159" i="24"/>
  <c r="C55" i="26"/>
  <c r="C40" i="26"/>
  <c r="D40" i="26"/>
  <c r="K40" i="26" s="1"/>
  <c r="C41" i="26"/>
  <c r="D41" i="26"/>
  <c r="K41" i="26" s="1"/>
  <c r="C52" i="26"/>
  <c r="C37" i="26"/>
  <c r="D37" i="26"/>
  <c r="K37" i="26" s="1"/>
  <c r="C50" i="26"/>
  <c r="C154" i="24"/>
  <c r="B39" i="11" s="1"/>
  <c r="C43" i="26"/>
  <c r="C38" i="26"/>
  <c r="D38" i="26"/>
  <c r="C22" i="26"/>
  <c r="D22" i="26"/>
  <c r="D36" i="26"/>
  <c r="K36" i="26" s="1"/>
  <c r="C36" i="26"/>
  <c r="D35" i="26"/>
  <c r="K35" i="26" s="1"/>
  <c r="C35" i="26"/>
  <c r="D34" i="26"/>
  <c r="K34" i="26" s="1"/>
  <c r="C34" i="26"/>
  <c r="C54" i="26"/>
  <c r="D30" i="26"/>
  <c r="K30" i="26" s="1"/>
  <c r="C30" i="26"/>
  <c r="K27" i="26"/>
  <c r="C27" i="26"/>
  <c r="C19" i="26"/>
  <c r="C17" i="26"/>
  <c r="D14" i="26"/>
  <c r="D9" i="26" s="1"/>
  <c r="C14" i="26"/>
  <c r="D25" i="26"/>
  <c r="C25" i="26"/>
  <c r="K181" i="24"/>
  <c r="D11" i="10"/>
  <c r="C28" i="10"/>
  <c r="C26" i="10" s="1"/>
  <c r="I25" i="26"/>
  <c r="I39" i="26"/>
  <c r="I37" i="26"/>
  <c r="I36" i="26"/>
  <c r="I35" i="26"/>
  <c r="I34" i="26"/>
  <c r="I33" i="26" s="1"/>
  <c r="I28" i="26"/>
  <c r="I30" i="26"/>
  <c r="E28" i="12"/>
  <c r="E22" i="12" s="1"/>
  <c r="I26" i="26"/>
  <c r="I11" i="24"/>
  <c r="F43" i="26"/>
  <c r="G144" i="24"/>
  <c r="H28" i="12"/>
  <c r="H22" i="12" s="1"/>
  <c r="D51" i="26"/>
  <c r="F28" i="12"/>
  <c r="F22" i="12" s="1"/>
  <c r="I22" i="26"/>
  <c r="F29" i="26"/>
  <c r="I45" i="26"/>
  <c r="I14" i="26"/>
  <c r="I9" i="26" s="1"/>
  <c r="F38" i="26"/>
  <c r="L45" i="24"/>
  <c r="F23" i="26"/>
  <c r="F47" i="26"/>
  <c r="G55" i="24"/>
  <c r="F25" i="26"/>
  <c r="G155" i="24"/>
  <c r="F46" i="26"/>
  <c r="F52" i="26"/>
  <c r="I50" i="26"/>
  <c r="I49" i="26" s="1"/>
  <c r="K143" i="24"/>
  <c r="D42" i="26"/>
  <c r="K42" i="26" s="1"/>
  <c r="F22" i="26"/>
  <c r="G162" i="24"/>
  <c r="G159" i="24" s="1"/>
  <c r="G41" i="11" s="1"/>
  <c r="F51" i="26"/>
  <c r="F50" i="26"/>
  <c r="F17" i="26"/>
  <c r="G73" i="24"/>
  <c r="G29" i="26" s="1"/>
  <c r="F14" i="10"/>
  <c r="D29" i="26"/>
  <c r="L111" i="24"/>
  <c r="L113" i="24"/>
  <c r="L15" i="26"/>
  <c r="L19" i="24"/>
  <c r="L17" i="24"/>
  <c r="D28" i="10"/>
  <c r="D26" i="10" s="1"/>
  <c r="I154" i="24"/>
  <c r="K14" i="24"/>
  <c r="K12" i="26" s="1"/>
  <c r="L14" i="24"/>
  <c r="L12" i="26" s="1"/>
  <c r="L13" i="24"/>
  <c r="L11" i="26" s="1"/>
  <c r="K11" i="26"/>
  <c r="K97" i="24"/>
  <c r="K78" i="24"/>
  <c r="K109" i="24"/>
  <c r="K166" i="24"/>
  <c r="L109" i="24"/>
  <c r="K19" i="24"/>
  <c r="K179" i="24"/>
  <c r="K165" i="24"/>
  <c r="K18" i="24"/>
  <c r="K69" i="24"/>
  <c r="K82" i="24"/>
  <c r="C11" i="24"/>
  <c r="D47" i="26"/>
  <c r="K47" i="26" s="1"/>
  <c r="C94" i="24"/>
  <c r="B38" i="11" s="1"/>
  <c r="K79" i="24"/>
  <c r="K161" i="24"/>
  <c r="L121" i="24"/>
  <c r="K153" i="24"/>
  <c r="K145" i="24"/>
  <c r="K112" i="24"/>
  <c r="K39" i="24"/>
  <c r="K176" i="24"/>
  <c r="K156" i="24"/>
  <c r="L131" i="24"/>
  <c r="K131" i="24"/>
  <c r="K64" i="24"/>
  <c r="K118" i="24"/>
  <c r="K61" i="24"/>
  <c r="K170" i="24"/>
  <c r="K137" i="24"/>
  <c r="L137" i="24"/>
  <c r="K113" i="24"/>
  <c r="K105" i="24"/>
  <c r="K50" i="24"/>
  <c r="K25" i="24"/>
  <c r="L23" i="24"/>
  <c r="K15" i="26"/>
  <c r="K177" i="24"/>
  <c r="L161" i="24"/>
  <c r="K130" i="24"/>
  <c r="L138" i="24"/>
  <c r="K152" i="24"/>
  <c r="K129" i="24"/>
  <c r="K102" i="24"/>
  <c r="K108" i="24"/>
  <c r="K101" i="24"/>
  <c r="K115" i="24"/>
  <c r="K31" i="24"/>
  <c r="K167" i="24"/>
  <c r="E11" i="8"/>
  <c r="K81" i="24"/>
  <c r="K77" i="24"/>
  <c r="L136" i="24"/>
  <c r="K136" i="24"/>
  <c r="L128" i="24"/>
  <c r="K133" i="24"/>
  <c r="L133" i="24"/>
  <c r="K116" i="24"/>
  <c r="K111" i="24"/>
  <c r="K99" i="24"/>
  <c r="K75" i="24"/>
  <c r="K60" i="24"/>
  <c r="K49" i="24"/>
  <c r="K48" i="24"/>
  <c r="K47" i="24"/>
  <c r="K46" i="24"/>
  <c r="K43" i="24"/>
  <c r="K33" i="24"/>
  <c r="L24" i="24"/>
  <c r="L19" i="26" s="1"/>
  <c r="L18" i="24"/>
  <c r="K158" i="24"/>
  <c r="K175" i="24"/>
  <c r="K169" i="24"/>
  <c r="K163" i="24"/>
  <c r="K139" i="24"/>
  <c r="K121" i="24"/>
  <c r="K107" i="24"/>
  <c r="K103" i="24"/>
  <c r="K54" i="24"/>
  <c r="K72" i="24"/>
  <c r="K80" i="24"/>
  <c r="K30" i="24"/>
  <c r="K15" i="24"/>
  <c r="K13" i="26" s="1"/>
  <c r="K44" i="24"/>
  <c r="K32" i="24"/>
  <c r="L15" i="24"/>
  <c r="L13" i="26" s="1"/>
  <c r="L26" i="24"/>
  <c r="K40" i="24"/>
  <c r="K26" i="24"/>
  <c r="D39" i="26"/>
  <c r="K39" i="26" s="1"/>
  <c r="K71" i="24"/>
  <c r="K106" i="24"/>
  <c r="L135" i="24"/>
  <c r="L123" i="24"/>
  <c r="K123" i="24"/>
  <c r="K70" i="24"/>
  <c r="K42" i="24"/>
  <c r="K17" i="24"/>
  <c r="K135" i="24"/>
  <c r="L112" i="24"/>
  <c r="O37" i="24" l="1"/>
  <c r="I182" i="24"/>
  <c r="B36" i="11"/>
  <c r="B15" i="12"/>
  <c r="G38" i="26"/>
  <c r="F182" i="24"/>
  <c r="G38" i="11"/>
  <c r="F10" i="10"/>
  <c r="D9" i="18"/>
  <c r="G37" i="11"/>
  <c r="B35" i="11"/>
  <c r="B33" i="11" s="1"/>
  <c r="B50" i="11" s="1"/>
  <c r="C182" i="24"/>
  <c r="D41" i="11"/>
  <c r="D33" i="11" s="1"/>
  <c r="D50" i="11" s="1"/>
  <c r="E41" i="11"/>
  <c r="E33" i="11" s="1"/>
  <c r="E50" i="11" s="1"/>
  <c r="E52" i="11" s="1"/>
  <c r="C41" i="11"/>
  <c r="C33" i="11" s="1"/>
  <c r="C50" i="11" s="1"/>
  <c r="H18" i="12"/>
  <c r="H16" i="12"/>
  <c r="I41" i="11"/>
  <c r="D21" i="26"/>
  <c r="C15" i="10"/>
  <c r="C20" i="12"/>
  <c r="L144" i="24"/>
  <c r="G43" i="26"/>
  <c r="L43" i="26" s="1"/>
  <c r="G154" i="24"/>
  <c r="G39" i="11" s="1"/>
  <c r="D43" i="26"/>
  <c r="D33" i="26" s="1"/>
  <c r="B17" i="12"/>
  <c r="B20" i="12"/>
  <c r="B15" i="10"/>
  <c r="B18" i="12"/>
  <c r="B13" i="12" s="1"/>
  <c r="C49" i="26"/>
  <c r="C33" i="26"/>
  <c r="C21" i="26"/>
  <c r="C9" i="26"/>
  <c r="E16" i="12"/>
  <c r="E20" i="12"/>
  <c r="E18" i="12"/>
  <c r="E17" i="12"/>
  <c r="H15" i="12"/>
  <c r="J162" i="24"/>
  <c r="J168" i="24"/>
  <c r="L73" i="24"/>
  <c r="L55" i="24"/>
  <c r="I21" i="26"/>
  <c r="L38" i="26"/>
  <c r="L38" i="24"/>
  <c r="H20" i="12"/>
  <c r="F33" i="26"/>
  <c r="J144" i="24"/>
  <c r="G22" i="26"/>
  <c r="G23" i="26"/>
  <c r="L23" i="26" s="1"/>
  <c r="L29" i="26"/>
  <c r="J55" i="24"/>
  <c r="J114" i="24"/>
  <c r="J38" i="26" s="1"/>
  <c r="G51" i="26"/>
  <c r="G52" i="26"/>
  <c r="K52" i="26" s="1"/>
  <c r="L114" i="24"/>
  <c r="F45" i="26"/>
  <c r="K55" i="24"/>
  <c r="F21" i="26"/>
  <c r="G25" i="26"/>
  <c r="K25" i="26" s="1"/>
  <c r="K155" i="24"/>
  <c r="L155" i="24"/>
  <c r="K178" i="24"/>
  <c r="D55" i="26"/>
  <c r="K55" i="26" s="1"/>
  <c r="F49" i="26"/>
  <c r="D54" i="26"/>
  <c r="K54" i="26" s="1"/>
  <c r="D50" i="26"/>
  <c r="J38" i="24"/>
  <c r="J155" i="24"/>
  <c r="J73" i="24"/>
  <c r="L162" i="24"/>
  <c r="L160" i="24"/>
  <c r="L12" i="24"/>
  <c r="L10" i="26" s="1"/>
  <c r="L16" i="24"/>
  <c r="L14" i="26" s="1"/>
  <c r="K22" i="24"/>
  <c r="K17" i="26" s="1"/>
  <c r="K157" i="24"/>
  <c r="K144" i="24"/>
  <c r="K38" i="24"/>
  <c r="K160" i="24"/>
  <c r="K168" i="24"/>
  <c r="E9" i="8"/>
  <c r="K104" i="24"/>
  <c r="K174" i="24"/>
  <c r="K58" i="24"/>
  <c r="K62" i="24"/>
  <c r="K67" i="24"/>
  <c r="K128" i="24"/>
  <c r="K120" i="24"/>
  <c r="L120" i="24"/>
  <c r="K12" i="24"/>
  <c r="K16" i="24"/>
  <c r="K14" i="26" s="1"/>
  <c r="D9" i="12"/>
  <c r="K76" i="24"/>
  <c r="K162" i="24"/>
  <c r="K98" i="24"/>
  <c r="K73" i="24"/>
  <c r="K45" i="24"/>
  <c r="L22" i="24"/>
  <c r="L17" i="26" s="1"/>
  <c r="L110" i="24"/>
  <c r="K110" i="24"/>
  <c r="K114" i="24"/>
  <c r="L95" i="24"/>
  <c r="K95" i="24"/>
  <c r="L134" i="24"/>
  <c r="K134" i="24"/>
  <c r="G21" i="26" l="1"/>
  <c r="K21" i="26" s="1"/>
  <c r="I56" i="26"/>
  <c r="H41" i="11"/>
  <c r="I37" i="11"/>
  <c r="H37" i="11"/>
  <c r="I39" i="11"/>
  <c r="H39" i="11"/>
  <c r="I38" i="11"/>
  <c r="H38" i="11"/>
  <c r="C56" i="26"/>
  <c r="B11" i="12"/>
  <c r="B14" i="10"/>
  <c r="B12" i="10" s="1"/>
  <c r="B9" i="18"/>
  <c r="C14" i="10"/>
  <c r="J46" i="26"/>
  <c r="L46" i="26"/>
  <c r="K38" i="26"/>
  <c r="G33" i="26"/>
  <c r="L51" i="26"/>
  <c r="G49" i="26"/>
  <c r="L22" i="26"/>
  <c r="J94" i="24"/>
  <c r="L154" i="24"/>
  <c r="K29" i="26"/>
  <c r="J29" i="26"/>
  <c r="K22" i="26"/>
  <c r="J22" i="26"/>
  <c r="J43" i="26"/>
  <c r="K43" i="26"/>
  <c r="J154" i="24"/>
  <c r="K154" i="24"/>
  <c r="F18" i="12"/>
  <c r="J18" i="12" s="1"/>
  <c r="K23" i="26"/>
  <c r="J23" i="26"/>
  <c r="J51" i="26"/>
  <c r="G15" i="10"/>
  <c r="H15" i="10" s="1"/>
  <c r="J159" i="24"/>
  <c r="F20" i="12"/>
  <c r="K51" i="26"/>
  <c r="L52" i="26"/>
  <c r="F17" i="12"/>
  <c r="J52" i="26"/>
  <c r="J25" i="26"/>
  <c r="L25" i="26"/>
  <c r="J37" i="24"/>
  <c r="D45" i="26"/>
  <c r="K46" i="26"/>
  <c r="D49" i="26"/>
  <c r="K50" i="26"/>
  <c r="L37" i="24"/>
  <c r="F16" i="12"/>
  <c r="K37" i="24"/>
  <c r="D19" i="10"/>
  <c r="D14" i="10"/>
  <c r="K32" i="12"/>
  <c r="J32" i="12"/>
  <c r="I32" i="12"/>
  <c r="D15" i="10"/>
  <c r="K159" i="24"/>
  <c r="L159" i="24"/>
  <c r="K94" i="24"/>
  <c r="L94" i="24"/>
  <c r="B9" i="12" l="1"/>
  <c r="C11" i="12"/>
  <c r="C12" i="10" s="1"/>
  <c r="D56" i="26"/>
  <c r="J33" i="26"/>
  <c r="J45" i="26"/>
  <c r="K45" i="26"/>
  <c r="K33" i="26"/>
  <c r="L33" i="26"/>
  <c r="L49" i="26"/>
  <c r="L21" i="26"/>
  <c r="J49" i="26"/>
  <c r="K49" i="26"/>
  <c r="J21" i="26"/>
  <c r="K18" i="12"/>
  <c r="I18" i="12"/>
  <c r="J20" i="12"/>
  <c r="K20" i="12"/>
  <c r="I20" i="12"/>
  <c r="K17" i="12"/>
  <c r="I17" i="12"/>
  <c r="J17" i="12"/>
  <c r="J16" i="12"/>
  <c r="K16" i="12"/>
  <c r="I16" i="12"/>
  <c r="C9" i="12" l="1"/>
  <c r="I22" i="12"/>
  <c r="I28" i="12" s="1"/>
  <c r="K22" i="12"/>
  <c r="J22" i="12"/>
  <c r="J28" i="12" s="1"/>
  <c r="K28" i="12"/>
  <c r="K21" i="24" l="1"/>
  <c r="K16" i="26" s="1"/>
  <c r="D12" i="10" l="1"/>
  <c r="J90" i="24" l="1"/>
  <c r="K90" i="24"/>
  <c r="K92" i="24"/>
  <c r="J92" i="24"/>
  <c r="J35" i="60"/>
  <c r="J36" i="60" l="1"/>
  <c r="J20" i="9"/>
  <c r="I30" i="9" l="1"/>
  <c r="J30" i="9" l="1"/>
  <c r="H28" i="9" l="1"/>
  <c r="I28" i="9" l="1"/>
  <c r="J28" i="9"/>
  <c r="J22" i="9" l="1"/>
  <c r="J24" i="9" l="1"/>
  <c r="I24" i="9" l="1"/>
  <c r="J10" i="60" l="1"/>
  <c r="J26" i="60"/>
  <c r="K15" i="60"/>
  <c r="I19" i="60"/>
  <c r="K19" i="60" l="1"/>
  <c r="K10" i="60"/>
  <c r="K8" i="60"/>
  <c r="K43" i="12"/>
  <c r="J43" i="12"/>
  <c r="I43" i="12"/>
  <c r="I26" i="60"/>
  <c r="J15" i="60"/>
  <c r="J19" i="60"/>
  <c r="J9" i="60"/>
  <c r="I15" i="60"/>
  <c r="J33" i="60"/>
  <c r="K17" i="60"/>
  <c r="F41" i="12" l="1"/>
  <c r="J8" i="60"/>
  <c r="J41" i="12" l="1"/>
  <c r="I41" i="12"/>
  <c r="K41" i="12"/>
  <c r="H13" i="12" l="1"/>
  <c r="H11" i="12" s="1"/>
  <c r="K15" i="15"/>
  <c r="L29" i="15"/>
  <c r="K13" i="15"/>
  <c r="K17" i="15"/>
  <c r="H9" i="12" l="1"/>
  <c r="K25" i="15"/>
  <c r="J13" i="15"/>
  <c r="J15" i="15"/>
  <c r="L13" i="15"/>
  <c r="L9" i="15"/>
  <c r="L19" i="15"/>
  <c r="J17" i="15"/>
  <c r="J29" i="15"/>
  <c r="L17" i="15"/>
  <c r="L15" i="15"/>
  <c r="K11" i="15" l="1"/>
  <c r="L21" i="15"/>
  <c r="J21" i="15"/>
  <c r="L11" i="15"/>
  <c r="J11" i="15"/>
  <c r="G47" i="8" l="1"/>
  <c r="I23" i="8"/>
  <c r="I41" i="8"/>
  <c r="I47" i="8" l="1"/>
  <c r="I45" i="8"/>
  <c r="H45" i="8"/>
  <c r="G28" i="10"/>
  <c r="H47" i="8"/>
  <c r="H23" i="8"/>
  <c r="H41" i="8"/>
  <c r="H28" i="10" l="1"/>
  <c r="H26" i="10"/>
  <c r="J17" i="9" l="1"/>
  <c r="I27" i="8"/>
  <c r="H27" i="8"/>
  <c r="I28" i="8" l="1"/>
  <c r="I17" i="9"/>
  <c r="H28" i="8"/>
  <c r="J15" i="9" l="1"/>
  <c r="I15" i="9"/>
  <c r="H32" i="8"/>
  <c r="I32" i="8"/>
  <c r="I31" i="8" l="1"/>
  <c r="H31" i="8"/>
  <c r="I39" i="8" l="1"/>
  <c r="I21" i="8"/>
  <c r="I38" i="8" l="1"/>
  <c r="I37" i="8"/>
  <c r="I36" i="8" s="1"/>
  <c r="I34" i="8" l="1"/>
  <c r="H29" i="8"/>
  <c r="I29" i="8"/>
  <c r="H40" i="8" l="1"/>
  <c r="I40" i="8"/>
  <c r="H19" i="8" l="1"/>
  <c r="I19" i="8"/>
  <c r="H17" i="8" l="1"/>
  <c r="I17" i="8"/>
  <c r="H15" i="8"/>
  <c r="I15" i="8"/>
  <c r="H13" i="8" l="1"/>
  <c r="I13" i="8"/>
  <c r="I11" i="8"/>
  <c r="H11" i="8" l="1"/>
  <c r="H10" i="10"/>
  <c r="H26" i="8" l="1"/>
  <c r="I26" i="8"/>
  <c r="H18" i="8" l="1"/>
  <c r="H13" i="9"/>
  <c r="I18" i="8"/>
  <c r="H11" i="9" l="1"/>
  <c r="H9" i="9" s="1"/>
  <c r="I9" i="9" s="1"/>
  <c r="I13" i="9"/>
  <c r="J11" i="9"/>
  <c r="J13" i="9"/>
  <c r="I11" i="9" l="1"/>
  <c r="J9" i="9"/>
  <c r="E42" i="12" l="1"/>
  <c r="E39" i="12" s="1"/>
  <c r="E36" i="12" s="1"/>
  <c r="J16" i="60"/>
  <c r="I16" i="60"/>
  <c r="G45" i="11" l="1"/>
  <c r="F42" i="12"/>
  <c r="K42" i="60" l="1"/>
  <c r="J42" i="60"/>
  <c r="F39" i="12"/>
  <c r="I42" i="60"/>
  <c r="G21" i="10"/>
  <c r="G19" i="10" s="1"/>
  <c r="G43" i="11"/>
  <c r="I43" i="11" s="1"/>
  <c r="I45" i="11"/>
  <c r="H45" i="11"/>
  <c r="I42" i="12"/>
  <c r="J42" i="12"/>
  <c r="K42" i="12"/>
  <c r="H21" i="10" l="1"/>
  <c r="H43" i="11"/>
  <c r="H19" i="10"/>
  <c r="I39" i="12"/>
  <c r="K39" i="12"/>
  <c r="F36" i="12"/>
  <c r="J39" i="12"/>
  <c r="J36" i="12" l="1"/>
  <c r="I36" i="12"/>
  <c r="K36" i="12"/>
  <c r="F19" i="26"/>
  <c r="F9" i="26" s="1"/>
  <c r="F56" i="26" s="1"/>
  <c r="G29" i="24"/>
  <c r="K29" i="24" l="1"/>
  <c r="K19" i="26" s="1"/>
  <c r="L29" i="24"/>
  <c r="G11" i="24"/>
  <c r="G182" i="24" s="1"/>
  <c r="G187" i="24" s="1"/>
  <c r="E15" i="12"/>
  <c r="E13" i="12" s="1"/>
  <c r="E11" i="12" s="1"/>
  <c r="E9" i="12" s="1"/>
  <c r="J29" i="24"/>
  <c r="J19" i="26" s="1"/>
  <c r="G19" i="26"/>
  <c r="G9" i="26" s="1"/>
  <c r="G56" i="26" s="1"/>
  <c r="G36" i="11" l="1"/>
  <c r="J11" i="24"/>
  <c r="K9" i="26"/>
  <c r="J9" i="26"/>
  <c r="L11" i="24"/>
  <c r="L9" i="26" s="1"/>
  <c r="K11" i="24"/>
  <c r="F15" i="12"/>
  <c r="H36" i="11" l="1"/>
  <c r="I36" i="11"/>
  <c r="G35" i="11"/>
  <c r="G12" i="10"/>
  <c r="G17" i="10" s="1"/>
  <c r="G32" i="10" s="1"/>
  <c r="K182" i="24"/>
  <c r="J182" i="24"/>
  <c r="L182" i="24"/>
  <c r="I15" i="12"/>
  <c r="J15" i="12"/>
  <c r="K15" i="12"/>
  <c r="F13" i="12"/>
  <c r="K56" i="26"/>
  <c r="J56" i="26"/>
  <c r="L56" i="26"/>
  <c r="H35" i="11" l="1"/>
  <c r="I35" i="11"/>
  <c r="G33" i="11"/>
  <c r="F11" i="12"/>
  <c r="F9" i="12" s="1"/>
  <c r="I13" i="12"/>
  <c r="J13" i="12"/>
  <c r="K13" i="12"/>
  <c r="H12" i="10"/>
  <c r="G14" i="10"/>
  <c r="H14" i="10" s="1"/>
  <c r="H33" i="11" l="1"/>
  <c r="H50" i="11" s="1"/>
  <c r="G50" i="11"/>
  <c r="I33" i="11"/>
  <c r="I11" i="12"/>
  <c r="J11" i="12"/>
  <c r="K11" i="12"/>
  <c r="I50" i="11" l="1"/>
  <c r="G52" i="11"/>
  <c r="K9" i="12"/>
  <c r="J9" i="12"/>
  <c r="I9" i="12"/>
  <c r="I9" i="8"/>
  <c r="H9" i="8"/>
  <c r="A54" i="12" l="1" a="1"/>
  <c r="A54" i="12" s="1"/>
  <c r="U54" i="24"/>
  <c r="E26" i="12"/>
  <c r="F26" i="12"/>
  <c r="F25" i="12"/>
  <c r="E25" i="12"/>
  <c r="E23" i="12"/>
  <c r="F23" i="12"/>
  <c r="E24" i="12"/>
  <c r="F24" i="1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<sst xmlns="http://schemas.openxmlformats.org/spreadsheetml/2006/main" count="1094" uniqueCount="545">
  <si>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</si>
  <si>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</si>
  <si>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</si>
  <si>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</si>
  <si>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</si>
  <si>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</si>
  <si>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</si>
  <si>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</si>
  <si>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</si>
  <si>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   3. Tasa y Derechos</t>
  </si>
  <si>
    <t xml:space="preserve">    4. Ingresos Varios</t>
  </si>
  <si>
    <t xml:space="preserve"> II  Ingreso de Capital</t>
  </si>
  <si>
    <t>MODIFICADO</t>
  </si>
  <si>
    <t>EJECUTADO</t>
  </si>
  <si>
    <t>T   O   T   A   L</t>
  </si>
  <si>
    <t>INGRESOS PROPIOS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</si>
  <si>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</si>
  <si>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</si>
  <si>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</si>
  <si>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</si>
  <si>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</si>
  <si>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</si>
  <si>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EJECUCION PORCENTUAL</t>
  </si>
  <si>
    <t>ANUAL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</si>
  <si>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</si>
  <si>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</si>
  <si>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</si>
  <si>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</si>
  <si>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</si>
  <si>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</si>
  <si>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</si>
  <si>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FUNCIONAMIENTO</t>
  </si>
  <si>
    <t>INVERSIONES</t>
  </si>
  <si>
    <t>PRESUPUESTO</t>
  </si>
  <si>
    <t>DIRECCION Y ADMON  GENERAL</t>
  </si>
  <si>
    <t>EDUC. SUPERIOR TECNOLOGICA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</si>
  <si>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</si>
  <si>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</si>
  <si>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</si>
  <si>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</si>
  <si>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</si>
  <si>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</si>
  <si>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 xml:space="preserve">           RECAUDACION</t>
  </si>
  <si>
    <t>ACUMULADA</t>
  </si>
  <si>
    <t xml:space="preserve"> 1.2.1.4.99</t>
  </si>
  <si>
    <t>1.2.4.1.24</t>
  </si>
  <si>
    <t>1.2.4.2.26</t>
  </si>
  <si>
    <t>TRANSFERENCIAS CORRIENTES</t>
  </si>
  <si>
    <t>1.2.3.1.07</t>
  </si>
  <si>
    <t>TRANSFERENCIAS DE CAPITAL</t>
  </si>
  <si>
    <t>2.3.2.1.07</t>
  </si>
  <si>
    <t xml:space="preserve"> I.  Ingresos Corrientes</t>
  </si>
  <si>
    <t xml:space="preserve"> II. Gastos Corrientes</t>
  </si>
  <si>
    <t xml:space="preserve">        Transferencias Corrientes  (6)</t>
  </si>
  <si>
    <t xml:space="preserve"> IV.  Gasto  de Capital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</si>
  <si>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</si>
  <si>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</si>
  <si>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</si>
  <si>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</si>
  <si>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</si>
  <si>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</si>
  <si>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</si>
  <si>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</si>
  <si>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</si>
  <si>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</si>
  <si>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</si>
  <si>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</si>
  <si>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</si>
  <si>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</si>
  <si>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</si>
  <si>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</si>
  <si>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</si>
  <si>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</si>
  <si>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</si>
  <si>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</si>
  <si>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</si>
  <si>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</si>
  <si>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</si>
  <si>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</si>
  <si>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</si>
  <si>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</si>
  <si>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</si>
  <si>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</si>
  <si>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>EJECUCIÓN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</si>
  <si>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</si>
  <si>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</si>
  <si>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</si>
  <si>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</si>
  <si>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</si>
  <si>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</si>
  <si>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</si>
  <si>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</si>
  <si>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</si>
  <si>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</si>
  <si>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</si>
  <si>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</si>
  <si>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</si>
  <si>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</si>
  <si>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</si>
  <si>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</si>
  <si>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</si>
  <si>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</si>
  <si>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</si>
  <si>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</si>
  <si>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</si>
  <si>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</si>
  <si>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</si>
  <si>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</si>
  <si>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</si>
  <si>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</si>
  <si>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</si>
  <si>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</si>
  <si>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</si>
  <si>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</si>
  <si>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</si>
  <si>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</si>
  <si>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</si>
  <si>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</si>
  <si>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</si>
  <si>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</si>
  <si>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</si>
  <si>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</si>
  <si>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</si>
  <si>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</si>
  <si>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</si>
  <si>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</si>
  <si>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</si>
  <si>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</si>
  <si>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</si>
  <si>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</si>
  <si>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</si>
  <si>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</si>
  <si>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</si>
  <si>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</si>
  <si>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</si>
  <si>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</si>
  <si>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</si>
  <si>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</si>
  <si>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</si>
  <si>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</si>
  <si>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</si>
  <si>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</si>
  <si>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</si>
  <si>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</si>
  <si>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</si>
  <si>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</si>
  <si>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</si>
  <si>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</si>
  <si>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</si>
  <si>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</si>
  <si>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</si>
  <si>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</si>
  <si>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</si>
  <si>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</si>
  <si>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</si>
  <si>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</si>
  <si>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</si>
  <si>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</si>
  <si>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</si>
  <si>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</si>
  <si>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</si>
  <si>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</si>
  <si>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</si>
  <si>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</si>
  <si>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</si>
  <si>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</si>
  <si>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</si>
  <si>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</si>
  <si>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</si>
  <si>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</si>
  <si>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</si>
  <si>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</si>
  <si>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</si>
  <si>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</si>
  <si>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</si>
  <si>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</si>
  <si>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</si>
  <si>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</si>
  <si>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</si>
  <si>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</si>
  <si>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OTROS MANTENIMIENTO</t>
  </si>
  <si>
    <t>CR.REC.POR S. NO PERS.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</si>
  <si>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</si>
  <si>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</si>
  <si>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</si>
  <si>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</si>
  <si>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</si>
  <si>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</si>
  <si>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</si>
  <si>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</si>
  <si>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</si>
  <si>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</si>
  <si>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</si>
  <si>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</si>
  <si>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</si>
  <si>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</si>
  <si>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</si>
  <si>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</si>
  <si>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</si>
  <si>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</si>
  <si>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</si>
  <si>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</si>
  <si>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</si>
  <si>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</si>
  <si>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</si>
  <si>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</si>
  <si>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</si>
  <si>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</si>
  <si>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</si>
  <si>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</si>
  <si>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</si>
  <si>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</si>
  <si>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</si>
  <si>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</si>
  <si>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</si>
  <si>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</si>
  <si>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</si>
  <si>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</si>
  <si>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</si>
  <si>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</si>
  <si>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</si>
  <si>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</si>
  <si>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</si>
  <si>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</si>
  <si>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</si>
  <si>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</si>
  <si>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</si>
  <si>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</si>
  <si>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</si>
  <si>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</si>
  <si>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</si>
  <si>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</si>
  <si>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</si>
  <si>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</si>
  <si>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</si>
  <si>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</si>
  <si>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</si>
  <si>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</si>
  <si>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</si>
  <si>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</si>
  <si>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</si>
  <si>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</si>
  <si>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</si>
  <si>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</si>
  <si>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</si>
  <si>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</si>
  <si>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</si>
  <si>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</si>
  <si>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</si>
  <si>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</si>
  <si>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</si>
  <si>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</si>
  <si>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</si>
  <si>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</si>
  <si>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</si>
  <si>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</si>
  <si>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</si>
  <si>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</si>
  <si>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</si>
  <si>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</si>
  <si>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</si>
  <si>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</si>
  <si>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</si>
  <si>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</si>
  <si>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</si>
  <si>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</si>
  <si>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</si>
  <si>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</si>
  <si>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</si>
  <si>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</si>
  <si>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</si>
  <si>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</si>
  <si>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</si>
  <si>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</si>
  <si>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</si>
  <si>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</si>
  <si>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</si>
  <si>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</si>
  <si>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</si>
  <si>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</si>
  <si>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</si>
  <si>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</si>
  <si>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</si>
  <si>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</si>
  <si>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</si>
  <si>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</si>
  <si>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</si>
  <si>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</si>
  <si>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</si>
  <si>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</si>
  <si>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</si>
  <si>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</si>
  <si>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</si>
  <si>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</si>
  <si>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</si>
  <si>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</si>
  <si>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P</t>
  </si>
  <si>
    <t>SALDO A LA FECHA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</si>
  <si>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</si>
  <si>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</si>
  <si>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</si>
  <si>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</si>
  <si>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</si>
  <si>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</si>
  <si>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</si>
  <si>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</si>
  <si>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>163</t>
  </si>
  <si>
    <t>GASTOS JUDICIALES</t>
  </si>
  <si>
    <t>GAS</t>
  </si>
  <si>
    <t>Ingresos Corrientes</t>
  </si>
  <si>
    <t>Ingresos de Capital</t>
  </si>
  <si>
    <t>EGRESOS</t>
  </si>
  <si>
    <t>Construcciones Educativas</t>
  </si>
  <si>
    <t>Mobiliario, Libros y Equipos Educ.</t>
  </si>
  <si>
    <t>PROGRAMA DE CONSTRUCCIONES</t>
  </si>
  <si>
    <t>CONSTRUCCION II FASE DEL PROYECTO DEL CAMPUS CENTRAL</t>
  </si>
  <si>
    <t>PROGRAMA DE MOBILIARIO</t>
  </si>
  <si>
    <t>PROGRAMAS-PROYECTOS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</si>
  <si>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</si>
  <si>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</si>
  <si>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</si>
  <si>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</si>
  <si>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</si>
  <si>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</si>
  <si>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</si>
  <si>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</si>
  <si>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</si>
  <si>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</si>
  <si>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</si>
  <si>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</si>
  <si>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</si>
  <si>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        1.  Servicios Personales</t>
  </si>
  <si>
    <t xml:space="preserve">    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</si>
  <si>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</si>
  <si>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</si>
  <si>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</si>
  <si>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</si>
  <si>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</si>
  <si>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</si>
  <si>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 xml:space="preserve">   SALDO EN CAJA (CAPITAL)</t>
  </si>
  <si>
    <t>FORTALECIMIENTO DE LA SEDE REGIONAL</t>
  </si>
  <si>
    <t>094</t>
  </si>
  <si>
    <t>CRED. REC. GASTOS E REPRES.</t>
  </si>
  <si>
    <t>MAT. Y EQUIPO DE SEGURIDAD</t>
  </si>
  <si>
    <t>PAGADO</t>
  </si>
  <si>
    <t>FORTALECIMIENTO DE LA GESTIÓN DE PATENTES TECNOLÓGICAS</t>
  </si>
  <si>
    <t>CD.REC. TEXTILES Y VESTUARIOS</t>
  </si>
  <si>
    <t>MANTENIMIENTO PREVENTIVO Y CORRECTIVO DE LA INFRAESTRUCTURA FISICA Y PATRIMONIAL DE LA UTP A NIVEL NACIONAL.</t>
  </si>
  <si>
    <t>INVESTIGACION Y TRANSFERENCIA DE TECNOLOGÍA</t>
  </si>
  <si>
    <t>CD.REC.POR MATERIALES CONST.</t>
  </si>
  <si>
    <t>INDEMNIZACIONES LABORALES</t>
  </si>
  <si>
    <t>Transferencia de Tecnología</t>
  </si>
  <si>
    <t>Dirección y Administración General</t>
  </si>
  <si>
    <t>Educación Superior Tecnológica</t>
  </si>
  <si>
    <t>081</t>
  </si>
  <si>
    <t>GRATIFICACIÓN O AGUINALDO</t>
  </si>
  <si>
    <t>DESARROLLO DEL CENTRO DE ESTUDIOS MULTIDISCIPLINARIO EN CIENCIAS</t>
  </si>
  <si>
    <t>CR.REC.PROD. QUIMICOS Y CONEXOS</t>
  </si>
  <si>
    <t>Investigación, Post Grado y Extensión</t>
  </si>
  <si>
    <t>TRANSPORTE DE BIENES</t>
  </si>
  <si>
    <t>P R E S U P U E S T O</t>
  </si>
  <si>
    <t>MAT. Y SUMINISTROS DE COMP.</t>
  </si>
  <si>
    <t>TRANSFERENCIAS CORR.</t>
  </si>
  <si>
    <t>PORCENTUAL</t>
  </si>
  <si>
    <t xml:space="preserve">   B. Transf. de Capital</t>
  </si>
  <si>
    <t>ABOLUTA</t>
  </si>
  <si>
    <t>O/G</t>
  </si>
  <si>
    <t>CTA.</t>
  </si>
  <si>
    <t>EJECUCIÓN  PORCENTUAL</t>
  </si>
  <si>
    <t>EJECUCIÓN PORCENTUAL</t>
  </si>
  <si>
    <t>SALDO ANUAL</t>
  </si>
  <si>
    <t>MEJORAMIENTO DEL CENTRO DE DATOS DE LA UTP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</si>
  <si>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</si>
  <si>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</si>
  <si>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</si>
  <si>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</si>
  <si>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</si>
  <si>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>UNIVERSIDAD TECNOLÓGICA DE PANAMA</t>
  </si>
  <si>
    <t xml:space="preserve">CUADRO A-6A. EJECUCION PRESUPUESTARIA  DE FUNCIONAMIENTO </t>
  </si>
  <si>
    <t>OTRAS PENSIONES Y JUBILACIONES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</si>
  <si>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</si>
  <si>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</si>
  <si>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</si>
  <si>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</si>
  <si>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</si>
  <si>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CRED. REC. POR TRANSF.</t>
  </si>
  <si>
    <t>PENSIÓN Y JUBILACIONES</t>
  </si>
  <si>
    <t>SERVICIO TRASMISION DATOS</t>
  </si>
  <si>
    <t>CD.REC. PRODUCTO DE PAPEL</t>
  </si>
  <si>
    <t>MEJORAMIENTO LABORATORIOS FACULTADES Y CENTROS REGIONALES</t>
  </si>
  <si>
    <t>CRED. REC. POR SOBRESURLDOS</t>
  </si>
  <si>
    <t>SERVICIO DE TELEFONÍA CELULAR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</si>
  <si>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</si>
  <si>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</si>
  <si>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</si>
  <si>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</si>
  <si>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</si>
  <si>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</si>
  <si>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</si>
  <si>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</si>
  <si>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</si>
  <si>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 A.  Inversiones Fìsicas</t>
  </si>
  <si>
    <t xml:space="preserve">      C   Transf. de Capital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</si>
  <si>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</si>
  <si>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</si>
  <si>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</si>
  <si>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</si>
  <si>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2. Maquinaria y Equipo.</t>
  </si>
  <si>
    <t xml:space="preserve">          3. Investig. Y Transf. de Tec.</t>
  </si>
  <si>
    <t>013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</si>
  <si>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</si>
  <si>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</si>
  <si>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</si>
  <si>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</si>
  <si>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</si>
  <si>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</si>
  <si>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 xml:space="preserve"> 1.95.1.2.3.1</t>
  </si>
  <si>
    <t>1.95.2.3.1.07</t>
  </si>
  <si>
    <t>1.95.1.2.4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</si>
  <si>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</si>
  <si>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</si>
  <si>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</si>
  <si>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</si>
  <si>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</si>
  <si>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</si>
  <si>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</si>
  <si>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</si>
  <si>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</si>
  <si>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</si>
  <si>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2.1.1  Ministerio de Educación.</t>
  </si>
  <si>
    <t xml:space="preserve">             1.1.1.1 Ministerio de Educación</t>
  </si>
  <si>
    <t>1.95.1.2.1.4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</si>
  <si>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</si>
  <si>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</si>
  <si>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</si>
  <si>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CRE.REC.POR CONT. SGURIDAD SOC.</t>
  </si>
  <si>
    <t>CRE.REC.POR OTROS SERVICIOS ESP.</t>
  </si>
  <si>
    <t>HERRAMIENTAS  E INSTRUMENTOS</t>
  </si>
  <si>
    <t>CR. REC.P'OR BECAS DE ESTUDIOS</t>
  </si>
  <si>
    <t>MODIFICAD0</t>
  </si>
  <si>
    <t>OTROS SERVICIOS BASICOS</t>
  </si>
  <si>
    <t xml:space="preserve">CONSULTORIAS </t>
  </si>
  <si>
    <t>OTRAS BECAS</t>
  </si>
  <si>
    <t>TRANSF. CORRIENTES A INST. PUB.</t>
  </si>
  <si>
    <t>AL GOBIERNO CENTRAL</t>
  </si>
  <si>
    <t>.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</si>
  <si>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</si>
  <si>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</si>
  <si>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</si>
  <si>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</si>
  <si>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</si>
  <si>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</si>
  <si>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</si>
  <si>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</si>
  <si>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</si>
  <si>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</si>
  <si>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</si>
  <si>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</si>
  <si>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</si>
  <si>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</si>
  <si>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</si>
  <si>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</si>
  <si>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</si>
  <si>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</si>
  <si>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</si>
  <si>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</si>
  <si>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</si>
  <si>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</si>
  <si>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</si>
  <si>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DEVENGADO ACUMULADO</t>
  </si>
  <si>
    <t>SALDO  A LA FECHA</t>
  </si>
  <si>
    <t>1.95.1.2.1.4.12</t>
  </si>
  <si>
    <t>1.95.2.4.1</t>
  </si>
  <si>
    <t>1.95.2.4.1.2</t>
  </si>
  <si>
    <t>1.95.2.4.1.2.01</t>
  </si>
  <si>
    <t>097</t>
  </si>
  <si>
    <t>CRED.REC.POR INFORMACIÓN Y PUB.</t>
  </si>
  <si>
    <t xml:space="preserve">        4.  Inversiones Fínancieras</t>
  </si>
  <si>
    <t xml:space="preserve">          4.  Inversiones Directas</t>
  </si>
  <si>
    <t>Fuente: Dirección Nacional de Presupuesto.</t>
  </si>
  <si>
    <t xml:space="preserve">  Fuente: Dirección Nacional de Presupuesto.</t>
  </si>
  <si>
    <t xml:space="preserve">   Fuente: Dirección nacional de Presupuesto.</t>
  </si>
  <si>
    <t xml:space="preserve">    Fuente: Dirección Nacional de Presupuesto.</t>
  </si>
  <si>
    <t xml:space="preserve">        Inversión Financiera</t>
  </si>
  <si>
    <t xml:space="preserve">        Transferencia de capital (7)</t>
  </si>
  <si>
    <t xml:space="preserve">        Amortización de la Deuda (8)</t>
  </si>
  <si>
    <t xml:space="preserve">    1. Otros Ingresos de Capital</t>
  </si>
  <si>
    <t xml:space="preserve">     2. Saldo en Caja y Banco</t>
  </si>
  <si>
    <t xml:space="preserve">      1.1  Renta de Activos</t>
  </si>
  <si>
    <t xml:space="preserve">          1.1.1 Ing. por Vtas. de Servicios</t>
  </si>
  <si>
    <t xml:space="preserve">              1.1.1.1 Lab. y C. Especializados.</t>
  </si>
  <si>
    <t xml:space="preserve">              1.1.1.2 Otros Servicios-Autogestión.</t>
  </si>
  <si>
    <t xml:space="preserve">      2. 1  Gobierno Central</t>
  </si>
  <si>
    <t xml:space="preserve">      3.1 Tasas por Servicios</t>
  </si>
  <si>
    <t xml:space="preserve">      3.2. Derechos</t>
  </si>
  <si>
    <t xml:space="preserve">      3.3. Otros  -Biblioteca</t>
  </si>
  <si>
    <t xml:space="preserve">       4.1. Otros Ing. Varios</t>
  </si>
  <si>
    <t xml:space="preserve">      1.1  Transferencias de Capital</t>
  </si>
  <si>
    <t xml:space="preserve">          2.1.1  Instituc. Descentralizadas</t>
  </si>
  <si>
    <t xml:space="preserve">          1.1.1  Gobierno Central</t>
  </si>
  <si>
    <t xml:space="preserve">   SALDO EN CAJA  (CORRIENTE)</t>
  </si>
  <si>
    <t xml:space="preserve">   APORTE LIBRE</t>
  </si>
  <si>
    <t xml:space="preserve">   I.D.A.A.N.</t>
  </si>
  <si>
    <t xml:space="preserve">  FLUJO PRESUPUESTARIO DE INGRESOS Y GASTOS</t>
  </si>
  <si>
    <t xml:space="preserve"> BALANCE PRESUPUESTARIO ACUMULADO DE GASTO</t>
  </si>
  <si>
    <t xml:space="preserve">  EJECUCION PRESUPUESTARIA SEGÚN ESTRUCTURA PROGRAMATICA  </t>
  </si>
  <si>
    <t xml:space="preserve"> EJECUCION PRESUPUESTARIA  DE FUNCIONAMIENTO </t>
  </si>
  <si>
    <t xml:space="preserve">        2. Transferencias al Exterior</t>
  </si>
  <si>
    <t xml:space="preserve">         1.  Al Sector Público.</t>
  </si>
  <si>
    <t xml:space="preserve">           a. Gobierno Central</t>
  </si>
  <si>
    <t xml:space="preserve">           b. Entidades   Descent.ral. </t>
  </si>
  <si>
    <t xml:space="preserve">           c. Empresasa Públicas</t>
  </si>
  <si>
    <t xml:space="preserve">    B.  Transf. Corrientes</t>
  </si>
  <si>
    <t>Fuente: Dirección Nacional de Presupuesto</t>
  </si>
  <si>
    <t>DEVENGADO</t>
  </si>
  <si>
    <t>RECAUDACIÓN PRESUPUESTARIA SEGÚN GRUPO DE INGRESOS</t>
  </si>
  <si>
    <t>COMPROMETIDO</t>
  </si>
  <si>
    <t>FINANCIAMIENTO PRESUPUESTARIO DE INGRESOS Y GASTOS</t>
  </si>
  <si>
    <t xml:space="preserve">COMPROMISO PRESUPUESTARIO DE INVERSIONES </t>
  </si>
  <si>
    <t xml:space="preserve">                                    ,   </t>
  </si>
  <si>
    <t>RECAUDACIÓN PRESUPUESTARIA SEGÚN OBJETO DE INGRESOS</t>
  </si>
  <si>
    <t>CONTRIBUCIÓN A LA S. S</t>
  </si>
  <si>
    <t>}</t>
  </si>
  <si>
    <t>CIFRA TOPE MODIFICADO</t>
  </si>
  <si>
    <t xml:space="preserve">        Gastos  de Operación ( 0-1-2-3-4)</t>
  </si>
  <si>
    <t xml:space="preserve"> CIFRA TOPE MODIFICADO</t>
  </si>
  <si>
    <t>1.95.1.2.4.2.26</t>
  </si>
  <si>
    <t>1.95.1.2.4.1.97</t>
  </si>
  <si>
    <t>1.95.1.2.6.1.99</t>
  </si>
  <si>
    <t xml:space="preserve">             2.1.1.1 Saldo de Capital</t>
  </si>
  <si>
    <t xml:space="preserve">      2.1. Disponible en Caja y  Banco.</t>
  </si>
  <si>
    <t xml:space="preserve"> 1.2.1.4.12</t>
  </si>
  <si>
    <t>1.2.4.1.97</t>
  </si>
  <si>
    <t>1.2.6.1.99</t>
  </si>
  <si>
    <t>1.4.1.2.01</t>
  </si>
  <si>
    <t>2.4.1.2.01</t>
  </si>
  <si>
    <t xml:space="preserve">    LABORATORIOS Y C. ESPECIALIZADOS</t>
  </si>
  <si>
    <t>COLUMNA SUMATORIA</t>
  </si>
  <si>
    <t>|</t>
  </si>
  <si>
    <t xml:space="preserve"> OBJETO DE GASTO: AL 30 DE AGOSTO  DE 2025</t>
  </si>
  <si>
    <t xml:space="preserve"> NIVEL DE CUENTA AL 30 DE AGOSTO DE 2025 (En Balboas) (P)</t>
  </si>
  <si>
    <t>POR PROGRAMA  AL 30 DE  AGOSTO DE 2025 (En Balboas)</t>
  </si>
  <si>
    <t xml:space="preserve">   AL 30 DE AGOSTO DE 2025 (En Balboas)</t>
  </si>
  <si>
    <t>AL 30 DE AGOSTO DE 2025 (En Balboas)</t>
  </si>
  <si>
    <t>AL 30 DE AGOSTO DE 2025 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</si>
</sst>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dd/mmm"/>
    <numFmt numFmtId="171" formatCode="#,##0.0\ ;\(#,##0.0\)"/>
    <numFmt numFmtId="172" formatCode="#,##0.0_);[Red]\(#,##0.0\)"/>
    <numFmt numFmtId="173" formatCode="#,##0.0\ ;\(#,###\)"/>
  </numFmts>
  <fonts count="58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8"/>
      <color rgb="FFFF0000"/>
      <name val="Arial"/>
      <family val="2"/>
    </font>
    <font>
      <sz val="10"/>
      <color rgb="FF000066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0.5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 Rounded MT Bold"/>
      <family val="2"/>
    </font>
    <font>
      <sz val="10"/>
      <name val="Arial Rounded MT Bold"/>
      <family val="2"/>
    </font>
    <font>
      <b/>
      <u/>
      <sz val="10"/>
      <name val="Arial Rounded MT Bold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215">
    <border>
      <left/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3" tint="-0.499984740745262"/>
      </left>
      <right/>
      <top style="medium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2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/>
      <right style="thin">
        <color indexed="62"/>
      </right>
      <top/>
      <bottom style="medium">
        <color auto="1"/>
      </bottom>
      <diagonal/>
    </border>
    <border>
      <left/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auto="1"/>
      </bottom>
      <diagonal/>
    </border>
  </borders>
  <cellStyleXfs count="4">
    <xf numFmtId="0" fontId="0" fillId="0" borderId="0"/>
    <xf numFmtId="164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</cellStyleXfs>
  <cellXfs count="69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6" fillId="0" borderId="0" xfId="0" applyFont="1"/>
    <xf numFmtId="0" fontId="0" fillId="3" borderId="0" xfId="0" applyFill="1"/>
    <xf numFmtId="3" fontId="6" fillId="0" borderId="0" xfId="0" applyNumberFormat="1" applyFont="1" applyAlignment="1">
      <alignment horizontal="center"/>
    </xf>
    <xf numFmtId="1" fontId="0" fillId="0" borderId="0" xfId="0" applyNumberFormat="1"/>
    <xf numFmtId="0" fontId="12" fillId="0" borderId="0" xfId="0" applyFont="1"/>
    <xf numFmtId="3" fontId="15" fillId="0" borderId="0" xfId="0" applyNumberFormat="1" applyFont="1"/>
    <xf numFmtId="0" fontId="15" fillId="0" borderId="0" xfId="0" applyFont="1"/>
    <xf numFmtId="0" fontId="17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3" fontId="17" fillId="0" borderId="0" xfId="0" applyNumberFormat="1" applyFont="1"/>
    <xf numFmtId="3" fontId="12" fillId="0" borderId="0" xfId="0" applyNumberFormat="1" applyFont="1"/>
    <xf numFmtId="2" fontId="19" fillId="0" borderId="0" xfId="0" applyNumberFormat="1" applyFont="1"/>
    <xf numFmtId="168" fontId="19" fillId="0" borderId="0" xfId="0" applyNumberFormat="1" applyFont="1"/>
    <xf numFmtId="0" fontId="16" fillId="0" borderId="0" xfId="0" applyFont="1"/>
    <xf numFmtId="3" fontId="13" fillId="0" borderId="0" xfId="0" applyNumberFormat="1" applyFont="1"/>
    <xf numFmtId="0" fontId="13" fillId="0" borderId="0" xfId="0" applyFont="1"/>
    <xf numFmtId="3" fontId="5" fillId="0" borderId="0" xfId="0" applyNumberFormat="1" applyFont="1"/>
    <xf numFmtId="0" fontId="11" fillId="0" borderId="0" xfId="0" applyFont="1"/>
    <xf numFmtId="3" fontId="25" fillId="0" borderId="0" xfId="0" applyNumberFormat="1" applyFont="1" applyAlignment="1">
      <alignment horizontal="left"/>
    </xf>
    <xf numFmtId="49" fontId="25" fillId="0" borderId="0" xfId="0" applyNumberFormat="1" applyFont="1"/>
    <xf numFmtId="4" fontId="0" fillId="0" borderId="0" xfId="0" applyNumberFormat="1"/>
    <xf numFmtId="0" fontId="23" fillId="0" borderId="0" xfId="0" applyFont="1"/>
    <xf numFmtId="4" fontId="23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applyFont="1"/>
    <xf numFmtId="3" fontId="26" fillId="0" borderId="0" xfId="0" applyNumberFormat="1" applyFont="1"/>
    <xf numFmtId="166" fontId="0" fillId="0" borderId="0" xfId="0" applyNumberFormat="1"/>
    <xf numFmtId="0" fontId="27" fillId="0" borderId="0" xfId="0" applyFont="1"/>
    <xf numFmtId="0" fontId="10" fillId="5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>
      <alignment horizontal="center"/>
    </xf>
    <xf numFmtId="3" fontId="9" fillId="0" borderId="0" xfId="0" applyNumberFormat="1" applyFont="1"/>
    <xf numFmtId="0" fontId="29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3" fontId="30" fillId="0" borderId="0" xfId="0" applyNumberFormat="1" applyFont="1"/>
    <xf numFmtId="0" fontId="31" fillId="0" borderId="0" xfId="0" applyFont="1"/>
    <xf numFmtId="0" fontId="0" fillId="0" borderId="54" xfId="0" applyBorder="1"/>
    <xf numFmtId="3" fontId="3" fillId="0" borderId="0" xfId="0" applyNumberFormat="1" applyFont="1"/>
    <xf numFmtId="0" fontId="34" fillId="0" borderId="0" xfId="0" applyFont="1"/>
    <xf numFmtId="3" fontId="29" fillId="0" borderId="12" xfId="0" applyNumberFormat="1" applyFont="1" applyBorder="1" applyAlignment="1">
      <alignment horizontal="left"/>
    </xf>
    <xf numFmtId="3" fontId="29" fillId="0" borderId="7" xfId="0" applyNumberFormat="1" applyFont="1" applyBorder="1" applyAlignment="1">
      <alignment horizontal="left"/>
    </xf>
    <xf numFmtId="3" fontId="29" fillId="0" borderId="7" xfId="0" applyNumberFormat="1" applyFont="1" applyBorder="1"/>
    <xf numFmtId="3" fontId="35" fillId="0" borderId="12" xfId="0" applyNumberFormat="1" applyFont="1" applyBorder="1" applyAlignment="1">
      <alignment horizontal="left"/>
    </xf>
    <xf numFmtId="3" fontId="35" fillId="0" borderId="7" xfId="0" applyNumberFormat="1" applyFont="1" applyBorder="1" applyAlignment="1">
      <alignment horizontal="left"/>
    </xf>
    <xf numFmtId="3" fontId="35" fillId="0" borderId="7" xfId="0" applyNumberFormat="1" applyFont="1" applyBorder="1"/>
    <xf numFmtId="3" fontId="29" fillId="0" borderId="7" xfId="0" applyNumberFormat="1" applyFont="1" applyBorder="1" applyAlignment="1">
      <alignment horizontal="right"/>
    </xf>
    <xf numFmtId="3" fontId="29" fillId="0" borderId="12" xfId="0" applyNumberFormat="1" applyFont="1" applyBorder="1"/>
    <xf numFmtId="3" fontId="35" fillId="0" borderId="12" xfId="0" applyNumberFormat="1" applyFont="1" applyBorder="1"/>
    <xf numFmtId="3" fontId="35" fillId="0" borderId="12" xfId="0" applyNumberFormat="1" applyFont="1" applyBorder="1" applyAlignment="1">
      <alignment horizontal="left" vertical="center" wrapText="1"/>
    </xf>
    <xf numFmtId="3" fontId="35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3" fontId="35" fillId="0" borderId="1" xfId="0" applyNumberFormat="1" applyFont="1" applyBorder="1" applyAlignment="1">
      <alignment horizontal="left" vertical="center"/>
    </xf>
    <xf numFmtId="3" fontId="29" fillId="0" borderId="0" xfId="0" applyNumberFormat="1" applyFont="1"/>
    <xf numFmtId="3" fontId="35" fillId="0" borderId="0" xfId="0" applyNumberFormat="1" applyFont="1"/>
    <xf numFmtId="3" fontId="35" fillId="0" borderId="0" xfId="0" applyNumberFormat="1" applyFont="1" applyAlignment="1">
      <alignment vertical="center"/>
    </xf>
    <xf numFmtId="3" fontId="29" fillId="0" borderId="46" xfId="0" applyNumberFormat="1" applyFont="1" applyBorder="1" applyAlignment="1">
      <alignment horizontal="left"/>
    </xf>
    <xf numFmtId="3" fontId="35" fillId="0" borderId="7" xfId="0" applyNumberFormat="1" applyFont="1" applyBorder="1" applyAlignment="1">
      <alignment vertical="center" wrapText="1"/>
    </xf>
    <xf numFmtId="3" fontId="29" fillId="0" borderId="29" xfId="0" applyNumberFormat="1" applyFont="1" applyBorder="1" applyAlignment="1">
      <alignment horizontal="left"/>
    </xf>
    <xf numFmtId="0" fontId="29" fillId="0" borderId="29" xfId="0" applyFont="1" applyBorder="1"/>
    <xf numFmtId="3" fontId="29" fillId="0" borderId="31" xfId="0" applyNumberFormat="1" applyFont="1" applyBorder="1" applyAlignment="1">
      <alignment horizontal="left"/>
    </xf>
    <xf numFmtId="3" fontId="29" fillId="0" borderId="31" xfId="0" applyNumberFormat="1" applyFont="1" applyBorder="1"/>
    <xf numFmtId="3" fontId="35" fillId="0" borderId="27" xfId="0" applyNumberFormat="1" applyFont="1" applyBorder="1" applyAlignment="1">
      <alignment vertical="center"/>
    </xf>
    <xf numFmtId="3" fontId="35" fillId="0" borderId="7" xfId="0" applyNumberFormat="1" applyFont="1" applyBorder="1" applyAlignment="1">
      <alignment vertical="center"/>
    </xf>
    <xf numFmtId="3" fontId="35" fillId="0" borderId="27" xfId="0" applyNumberFormat="1" applyFont="1" applyBorder="1"/>
    <xf numFmtId="3" fontId="29" fillId="0" borderId="21" xfId="0" applyNumberFormat="1" applyFont="1" applyBorder="1"/>
    <xf numFmtId="3" fontId="35" fillId="0" borderId="19" xfId="0" applyNumberFormat="1" applyFont="1" applyBorder="1" applyAlignment="1">
      <alignment vertical="center"/>
    </xf>
    <xf numFmtId="3" fontId="29" fillId="0" borderId="18" xfId="0" applyNumberFormat="1" applyFont="1" applyBorder="1"/>
    <xf numFmtId="3" fontId="35" fillId="0" borderId="18" xfId="0" applyNumberFormat="1" applyFont="1" applyBorder="1" applyAlignment="1">
      <alignment vertical="center"/>
    </xf>
    <xf numFmtId="3" fontId="35" fillId="0" borderId="25" xfId="0" applyNumberFormat="1" applyFont="1" applyBorder="1"/>
    <xf numFmtId="3" fontId="29" fillId="0" borderId="25" xfId="0" applyNumberFormat="1" applyFont="1" applyBorder="1" applyAlignment="1">
      <alignment horizontal="left"/>
    </xf>
    <xf numFmtId="3" fontId="29" fillId="0" borderId="25" xfId="0" applyNumberFormat="1" applyFont="1" applyBorder="1"/>
    <xf numFmtId="0" fontId="29" fillId="0" borderId="25" xfId="0" applyFont="1" applyBorder="1"/>
    <xf numFmtId="3" fontId="35" fillId="0" borderId="21" xfId="0" applyNumberFormat="1" applyFont="1" applyBorder="1"/>
    <xf numFmtId="3" fontId="29" fillId="0" borderId="43" xfId="0" applyNumberFormat="1" applyFont="1" applyBorder="1"/>
    <xf numFmtId="3" fontId="6" fillId="0" borderId="23" xfId="0" applyNumberFormat="1" applyFont="1" applyBorder="1" applyAlignment="1">
      <alignment horizontal="left" vertical="center"/>
    </xf>
    <xf numFmtId="3" fontId="35" fillId="0" borderId="8" xfId="0" applyNumberFormat="1" applyFont="1" applyBorder="1" applyAlignment="1">
      <alignment horizontal="left" vertical="center"/>
    </xf>
    <xf numFmtId="3" fontId="35" fillId="0" borderId="8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horizontal="left" vertical="center"/>
    </xf>
    <xf numFmtId="3" fontId="35" fillId="0" borderId="45" xfId="0" applyNumberFormat="1" applyFont="1" applyBorder="1" applyAlignment="1">
      <alignment horizontal="left" vertical="center"/>
    </xf>
    <xf numFmtId="3" fontId="35" fillId="0" borderId="37" xfId="0" applyNumberFormat="1" applyFont="1" applyBorder="1" applyAlignment="1">
      <alignment vertical="center"/>
    </xf>
    <xf numFmtId="3" fontId="35" fillId="0" borderId="39" xfId="0" applyNumberFormat="1" applyFont="1" applyBorder="1" applyAlignment="1">
      <alignment vertical="center"/>
    </xf>
    <xf numFmtId="3" fontId="35" fillId="0" borderId="4" xfId="0" applyNumberFormat="1" applyFont="1" applyBorder="1" applyAlignment="1">
      <alignment horizontal="left" vertical="center"/>
    </xf>
    <xf numFmtId="3" fontId="35" fillId="0" borderId="58" xfId="0" applyNumberFormat="1" applyFont="1" applyBorder="1" applyAlignment="1">
      <alignment horizontal="left" vertical="center"/>
    </xf>
    <xf numFmtId="3" fontId="35" fillId="0" borderId="58" xfId="0" applyNumberFormat="1" applyFont="1" applyBorder="1" applyAlignment="1">
      <alignment vertical="center"/>
    </xf>
    <xf numFmtId="3" fontId="35" fillId="0" borderId="52" xfId="0" applyNumberFormat="1" applyFont="1" applyBorder="1" applyAlignment="1">
      <alignment horizontal="left" vertical="center"/>
    </xf>
    <xf numFmtId="3" fontId="35" fillId="0" borderId="21" xfId="0" applyNumberFormat="1" applyFont="1" applyBorder="1" applyAlignment="1">
      <alignment vertical="center"/>
    </xf>
    <xf numFmtId="3" fontId="29" fillId="0" borderId="28" xfId="0" applyNumberFormat="1" applyFont="1" applyBorder="1"/>
    <xf numFmtId="3" fontId="29" fillId="0" borderId="21" xfId="0" applyNumberFormat="1" applyFont="1" applyBorder="1" applyAlignment="1">
      <alignment horizontal="left"/>
    </xf>
    <xf numFmtId="3" fontId="35" fillId="0" borderId="28" xfId="0" applyNumberFormat="1" applyFont="1" applyBorder="1" applyAlignment="1">
      <alignment vertical="center"/>
    </xf>
    <xf numFmtId="3" fontId="29" fillId="0" borderId="53" xfId="0" applyNumberFormat="1" applyFont="1" applyBorder="1" applyAlignment="1">
      <alignment horizontal="left"/>
    </xf>
    <xf numFmtId="3" fontId="29" fillId="0" borderId="52" xfId="0" applyNumberFormat="1" applyFont="1" applyBorder="1"/>
    <xf numFmtId="3" fontId="35" fillId="0" borderId="53" xfId="0" applyNumberFormat="1" applyFont="1" applyBorder="1" applyAlignment="1">
      <alignment vertical="center"/>
    </xf>
    <xf numFmtId="3" fontId="35" fillId="0" borderId="52" xfId="0" applyNumberFormat="1" applyFont="1" applyBorder="1" applyAlignment="1">
      <alignment vertical="center"/>
    </xf>
    <xf numFmtId="3" fontId="35" fillId="0" borderId="28" xfId="0" applyNumberFormat="1" applyFont="1" applyBorder="1"/>
    <xf numFmtId="3" fontId="35" fillId="0" borderId="21" xfId="0" applyNumberFormat="1" applyFont="1" applyBorder="1" applyAlignment="1">
      <alignment horizontal="left"/>
    </xf>
    <xf numFmtId="3" fontId="6" fillId="0" borderId="66" xfId="0" applyNumberFormat="1" applyFont="1" applyBorder="1" applyAlignment="1">
      <alignment horizontal="left" vertical="center"/>
    </xf>
    <xf numFmtId="3" fontId="6" fillId="0" borderId="66" xfId="0" applyNumberFormat="1" applyFont="1" applyBorder="1" applyAlignment="1">
      <alignment vertical="center"/>
    </xf>
    <xf numFmtId="3" fontId="6" fillId="0" borderId="4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33" fillId="0" borderId="0" xfId="0" applyNumberFormat="1" applyFont="1"/>
    <xf numFmtId="3" fontId="38" fillId="0" borderId="0" xfId="0" applyNumberFormat="1" applyFont="1"/>
    <xf numFmtId="3" fontId="37" fillId="0" borderId="0" xfId="0" applyNumberFormat="1" applyFont="1"/>
    <xf numFmtId="168" fontId="22" fillId="0" borderId="0" xfId="0" applyNumberFormat="1" applyFont="1"/>
    <xf numFmtId="0" fontId="35" fillId="0" borderId="0" xfId="0" applyFont="1"/>
    <xf numFmtId="49" fontId="29" fillId="0" borderId="12" xfId="0" applyNumberFormat="1" applyFont="1" applyBorder="1" applyAlignment="1">
      <alignment horizontal="left"/>
    </xf>
    <xf numFmtId="4" fontId="15" fillId="0" borderId="0" xfId="0" applyNumberFormat="1" applyFont="1"/>
    <xf numFmtId="166" fontId="12" fillId="0" borderId="0" xfId="0" applyNumberFormat="1" applyFont="1"/>
    <xf numFmtId="166" fontId="35" fillId="0" borderId="17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/>
    </xf>
    <xf numFmtId="166" fontId="29" fillId="0" borderId="10" xfId="0" applyNumberFormat="1" applyFont="1" applyBorder="1" applyAlignment="1">
      <alignment horizontal="center"/>
    </xf>
    <xf numFmtId="166" fontId="35" fillId="0" borderId="38" xfId="0" applyNumberFormat="1" applyFont="1" applyBorder="1" applyAlignment="1">
      <alignment horizontal="center" vertical="center"/>
    </xf>
    <xf numFmtId="166" fontId="35" fillId="0" borderId="3" xfId="0" applyNumberFormat="1" applyFont="1" applyBorder="1" applyAlignment="1">
      <alignment horizontal="center" vertical="center"/>
    </xf>
    <xf numFmtId="166" fontId="29" fillId="0" borderId="3" xfId="0" applyNumberFormat="1" applyFont="1" applyBorder="1" applyAlignment="1">
      <alignment horizontal="center"/>
    </xf>
    <xf numFmtId="166" fontId="35" fillId="0" borderId="3" xfId="0" applyNumberFormat="1" applyFont="1" applyBorder="1" applyAlignment="1">
      <alignment horizontal="center"/>
    </xf>
    <xf numFmtId="166" fontId="6" fillId="0" borderId="67" xfId="0" applyNumberFormat="1" applyFont="1" applyBorder="1" applyAlignment="1">
      <alignment horizontal="center" vertical="center"/>
    </xf>
    <xf numFmtId="3" fontId="4" fillId="0" borderId="0" xfId="0" applyNumberFormat="1" applyFont="1"/>
    <xf numFmtId="4" fontId="13" fillId="0" borderId="0" xfId="0" applyNumberFormat="1" applyFont="1" applyAlignment="1">
      <alignment vertical="center"/>
    </xf>
    <xf numFmtId="3" fontId="29" fillId="0" borderId="26" xfId="0" applyNumberFormat="1" applyFont="1" applyBorder="1"/>
    <xf numFmtId="3" fontId="29" fillId="0" borderId="12" xfId="0" applyNumberFormat="1" applyFont="1" applyBorder="1" applyAlignment="1">
      <alignment horizontal="left" vertical="center" wrapText="1"/>
    </xf>
    <xf numFmtId="3" fontId="29" fillId="0" borderId="7" xfId="0" applyNumberFormat="1" applyFont="1" applyBorder="1" applyAlignment="1">
      <alignment vertical="center" wrapText="1"/>
    </xf>
    <xf numFmtId="166" fontId="29" fillId="0" borderId="28" xfId="0" applyNumberFormat="1" applyFont="1" applyBorder="1" applyAlignment="1">
      <alignment horizontal="center"/>
    </xf>
    <xf numFmtId="3" fontId="6" fillId="0" borderId="147" xfId="0" applyNumberFormat="1" applyFont="1" applyBorder="1" applyAlignment="1">
      <alignment vertical="center"/>
    </xf>
    <xf numFmtId="3" fontId="39" fillId="0" borderId="0" xfId="0" applyNumberFormat="1" applyFont="1"/>
    <xf numFmtId="0" fontId="0" fillId="0" borderId="86" xfId="0" applyBorder="1"/>
    <xf numFmtId="0" fontId="35" fillId="8" borderId="152" xfId="0" applyFont="1" applyFill="1" applyBorder="1" applyAlignment="1">
      <alignment horizontal="center" vertical="center" wrapText="1"/>
    </xf>
    <xf numFmtId="3" fontId="35" fillId="8" borderId="152" xfId="0" applyNumberFormat="1" applyFont="1" applyFill="1" applyBorder="1" applyAlignment="1">
      <alignment horizontal="center" vertical="center" wrapText="1"/>
    </xf>
    <xf numFmtId="3" fontId="40" fillId="0" borderId="0" xfId="0" applyNumberFormat="1" applyFont="1"/>
    <xf numFmtId="3" fontId="32" fillId="4" borderId="0" xfId="0" applyNumberFormat="1" applyFont="1" applyFill="1"/>
    <xf numFmtId="3" fontId="6" fillId="0" borderId="0" xfId="0" applyNumberFormat="1" applyFont="1"/>
    <xf numFmtId="3" fontId="41" fillId="0" borderId="0" xfId="0" applyNumberFormat="1" applyFont="1"/>
    <xf numFmtId="3" fontId="42" fillId="0" borderId="0" xfId="0" applyNumberFormat="1" applyFont="1"/>
    <xf numFmtId="0" fontId="22" fillId="0" borderId="0" xfId="0" applyFont="1" applyAlignment="1">
      <alignment horizontal="center"/>
    </xf>
    <xf numFmtId="0" fontId="35" fillId="8" borderId="9" xfId="0" applyFont="1" applyFill="1" applyBorder="1" applyAlignment="1">
      <alignment horizontal="center" vertical="center"/>
    </xf>
    <xf numFmtId="3" fontId="0" fillId="0" borderId="18" xfId="0" applyNumberFormat="1" applyBorder="1"/>
    <xf numFmtId="0" fontId="36" fillId="0" borderId="0" xfId="0" applyFont="1"/>
    <xf numFmtId="0" fontId="35" fillId="8" borderId="103" xfId="0" applyFont="1" applyFill="1" applyBorder="1" applyAlignment="1">
      <alignment horizontal="center" vertical="center" wrapText="1"/>
    </xf>
    <xf numFmtId="0" fontId="35" fillId="8" borderId="142" xfId="0" applyFont="1" applyFill="1" applyBorder="1" applyAlignment="1">
      <alignment horizontal="center" vertical="center" wrapText="1"/>
    </xf>
    <xf numFmtId="0" fontId="35" fillId="8" borderId="106" xfId="0" applyFont="1" applyFill="1" applyBorder="1" applyAlignment="1">
      <alignment horizontal="center" vertical="center" wrapText="1"/>
    </xf>
    <xf numFmtId="0" fontId="35" fillId="8" borderId="107" xfId="0" applyFont="1" applyFill="1" applyBorder="1" applyAlignment="1">
      <alignment horizontal="center" vertical="center" wrapText="1"/>
    </xf>
    <xf numFmtId="0" fontId="35" fillId="8" borderId="105" xfId="0" applyFont="1" applyFill="1" applyBorder="1" applyAlignment="1">
      <alignment horizontal="center" vertical="center" wrapText="1"/>
    </xf>
    <xf numFmtId="0" fontId="35" fillId="8" borderId="143" xfId="0" applyFont="1" applyFill="1" applyBorder="1" applyAlignment="1">
      <alignment horizontal="center" vertical="center" wrapText="1"/>
    </xf>
    <xf numFmtId="0" fontId="35" fillId="8" borderId="104" xfId="0" applyFont="1" applyFill="1" applyBorder="1" applyAlignment="1">
      <alignment horizontal="center" vertical="center" wrapText="1"/>
    </xf>
    <xf numFmtId="0" fontId="6" fillId="0" borderId="90" xfId="0" applyFont="1" applyBorder="1"/>
    <xf numFmtId="3" fontId="0" fillId="0" borderId="19" xfId="0" applyNumberFormat="1" applyBorder="1"/>
    <xf numFmtId="3" fontId="0" fillId="0" borderId="90" xfId="0" applyNumberFormat="1" applyBorder="1"/>
    <xf numFmtId="0" fontId="0" fillId="0" borderId="19" xfId="0" applyBorder="1"/>
    <xf numFmtId="0" fontId="37" fillId="0" borderId="90" xfId="0" applyFont="1" applyBorder="1"/>
    <xf numFmtId="3" fontId="37" fillId="0" borderId="90" xfId="0" applyNumberFormat="1" applyFont="1" applyBorder="1"/>
    <xf numFmtId="3" fontId="37" fillId="2" borderId="18" xfId="0" applyNumberFormat="1" applyFont="1" applyFill="1" applyBorder="1"/>
    <xf numFmtId="165" fontId="37" fillId="2" borderId="18" xfId="0" applyNumberFormat="1" applyFont="1" applyFill="1" applyBorder="1"/>
    <xf numFmtId="166" fontId="37" fillId="0" borderId="19" xfId="0" applyNumberFormat="1" applyFont="1" applyBorder="1" applyAlignment="1">
      <alignment horizontal="center"/>
    </xf>
    <xf numFmtId="3" fontId="37" fillId="0" borderId="18" xfId="0" applyNumberFormat="1" applyFont="1" applyBorder="1"/>
    <xf numFmtId="0" fontId="37" fillId="0" borderId="19" xfId="0" applyFont="1" applyBorder="1" applyAlignment="1">
      <alignment horizontal="center"/>
    </xf>
    <xf numFmtId="0" fontId="37" fillId="0" borderId="90" xfId="0" applyFont="1" applyBorder="1" applyAlignment="1">
      <alignment horizontal="left"/>
    </xf>
    <xf numFmtId="3" fontId="37" fillId="0" borderId="90" xfId="0" applyNumberFormat="1" applyFont="1" applyBorder="1" applyAlignment="1">
      <alignment horizontal="right"/>
    </xf>
    <xf numFmtId="0" fontId="43" fillId="0" borderId="90" xfId="0" applyFont="1" applyBorder="1" applyAlignment="1">
      <alignment horizontal="left"/>
    </xf>
    <xf numFmtId="3" fontId="43" fillId="0" borderId="90" xfId="0" applyNumberFormat="1" applyFont="1" applyBorder="1" applyAlignment="1">
      <alignment horizontal="left"/>
    </xf>
    <xf numFmtId="0" fontId="43" fillId="0" borderId="18" xfId="0" applyFont="1" applyBorder="1"/>
    <xf numFmtId="3" fontId="43" fillId="0" borderId="18" xfId="0" applyNumberFormat="1" applyFont="1" applyBorder="1"/>
    <xf numFmtId="165" fontId="43" fillId="2" borderId="18" xfId="0" applyNumberFormat="1" applyFont="1" applyFill="1" applyBorder="1"/>
    <xf numFmtId="166" fontId="43" fillId="0" borderId="19" xfId="0" applyNumberFormat="1" applyFont="1" applyBorder="1" applyAlignment="1">
      <alignment horizontal="center"/>
    </xf>
    <xf numFmtId="0" fontId="43" fillId="0" borderId="90" xfId="0" applyFont="1" applyBorder="1"/>
    <xf numFmtId="3" fontId="43" fillId="0" borderId="90" xfId="0" applyNumberFormat="1" applyFont="1" applyBorder="1"/>
    <xf numFmtId="167" fontId="37" fillId="0" borderId="90" xfId="2" applyFont="1" applyFill="1" applyBorder="1" applyAlignment="1" applyProtection="1"/>
    <xf numFmtId="3" fontId="37" fillId="0" borderId="90" xfId="2" applyNumberFormat="1" applyFont="1" applyFill="1" applyBorder="1" applyAlignment="1" applyProtection="1"/>
    <xf numFmtId="3" fontId="37" fillId="0" borderId="18" xfId="0" applyNumberFormat="1" applyFont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0" fontId="37" fillId="0" borderId="117" xfId="0" applyFont="1" applyBorder="1" applyAlignment="1">
      <alignment horizontal="left"/>
    </xf>
    <xf numFmtId="3" fontId="43" fillId="0" borderId="99" xfId="0" applyNumberFormat="1" applyFont="1" applyBorder="1"/>
    <xf numFmtId="166" fontId="43" fillId="0" borderId="100" xfId="0" applyNumberFormat="1" applyFont="1" applyBorder="1" applyAlignment="1">
      <alignment horizontal="center"/>
    </xf>
    <xf numFmtId="37" fontId="43" fillId="0" borderId="18" xfId="0" applyNumberFormat="1" applyFont="1" applyBorder="1"/>
    <xf numFmtId="0" fontId="43" fillId="0" borderId="91" xfId="0" applyFont="1" applyBorder="1"/>
    <xf numFmtId="0" fontId="43" fillId="0" borderId="164" xfId="0" applyFont="1" applyBorder="1"/>
    <xf numFmtId="0" fontId="43" fillId="0" borderId="99" xfId="0" applyFont="1" applyBorder="1"/>
    <xf numFmtId="37" fontId="43" fillId="0" borderId="99" xfId="0" applyNumberFormat="1" applyFont="1" applyBorder="1"/>
    <xf numFmtId="0" fontId="43" fillId="0" borderId="100" xfId="0" applyFont="1" applyBorder="1"/>
    <xf numFmtId="0" fontId="43" fillId="0" borderId="86" xfId="0" applyFont="1" applyBorder="1"/>
    <xf numFmtId="0" fontId="43" fillId="0" borderId="0" xfId="0" applyFont="1"/>
    <xf numFmtId="3" fontId="43" fillId="0" borderId="86" xfId="0" applyNumberFormat="1" applyFont="1" applyBorder="1"/>
    <xf numFmtId="37" fontId="43" fillId="0" borderId="86" xfId="0" applyNumberFormat="1" applyFont="1" applyBorder="1"/>
    <xf numFmtId="0" fontId="35" fillId="0" borderId="0" xfId="0" applyFont="1" applyAlignment="1">
      <alignment horizontal="left"/>
    </xf>
    <xf numFmtId="37" fontId="0" fillId="0" borderId="0" xfId="0" applyNumberFormat="1"/>
    <xf numFmtId="0" fontId="35" fillId="8" borderId="155" xfId="0" applyFont="1" applyFill="1" applyBorder="1" applyAlignment="1">
      <alignment horizontal="center" vertical="center"/>
    </xf>
    <xf numFmtId="0" fontId="35" fillId="8" borderId="94" xfId="0" applyFont="1" applyFill="1" applyBorder="1" applyAlignment="1">
      <alignment horizontal="center" vertical="center" wrapText="1"/>
    </xf>
    <xf numFmtId="0" fontId="0" fillId="0" borderId="90" xfId="0" applyBorder="1"/>
    <xf numFmtId="0" fontId="0" fillId="0" borderId="116" xfId="0" applyBorder="1"/>
    <xf numFmtId="0" fontId="6" fillId="0" borderId="18" xfId="0" applyFont="1" applyBorder="1" applyAlignment="1">
      <alignment horizontal="center"/>
    </xf>
    <xf numFmtId="170" fontId="6" fillId="0" borderId="19" xfId="0" applyNumberFormat="1" applyFont="1" applyBorder="1" applyAlignment="1">
      <alignment horizontal="center"/>
    </xf>
    <xf numFmtId="3" fontId="37" fillId="4" borderId="18" xfId="0" applyNumberFormat="1" applyFont="1" applyFill="1" applyBorder="1"/>
    <xf numFmtId="168" fontId="37" fillId="4" borderId="19" xfId="0" applyNumberFormat="1" applyFont="1" applyFill="1" applyBorder="1"/>
    <xf numFmtId="168" fontId="37" fillId="0" borderId="19" xfId="0" applyNumberFormat="1" applyFont="1" applyBorder="1"/>
    <xf numFmtId="0" fontId="37" fillId="4" borderId="90" xfId="0" applyFont="1" applyFill="1" applyBorder="1" applyAlignment="1">
      <alignment horizontal="left"/>
    </xf>
    <xf numFmtId="3" fontId="37" fillId="4" borderId="90" xfId="0" applyNumberFormat="1" applyFont="1" applyFill="1" applyBorder="1"/>
    <xf numFmtId="0" fontId="34" fillId="4" borderId="90" xfId="0" applyFont="1" applyFill="1" applyBorder="1" applyAlignment="1">
      <alignment horizontal="left"/>
    </xf>
    <xf numFmtId="3" fontId="34" fillId="4" borderId="18" xfId="0" applyNumberFormat="1" applyFont="1" applyFill="1" applyBorder="1"/>
    <xf numFmtId="168" fontId="34" fillId="4" borderId="19" xfId="0" applyNumberFormat="1" applyFont="1" applyFill="1" applyBorder="1"/>
    <xf numFmtId="0" fontId="43" fillId="4" borderId="90" xfId="0" applyFont="1" applyFill="1" applyBorder="1"/>
    <xf numFmtId="3" fontId="43" fillId="4" borderId="18" xfId="0" applyNumberFormat="1" applyFont="1" applyFill="1" applyBorder="1"/>
    <xf numFmtId="168" fontId="43" fillId="4" borderId="19" xfId="0" applyNumberFormat="1" applyFont="1" applyFill="1" applyBorder="1"/>
    <xf numFmtId="0" fontId="43" fillId="4" borderId="90" xfId="0" applyFont="1" applyFill="1" applyBorder="1" applyAlignment="1">
      <alignment horizontal="left"/>
    </xf>
    <xf numFmtId="0" fontId="43" fillId="4" borderId="18" xfId="0" applyFont="1" applyFill="1" applyBorder="1" applyAlignment="1">
      <alignment horizontal="left"/>
    </xf>
    <xf numFmtId="0" fontId="37" fillId="4" borderId="18" xfId="0" applyFont="1" applyFill="1" applyBorder="1" applyAlignment="1">
      <alignment horizontal="left"/>
    </xf>
    <xf numFmtId="3" fontId="37" fillId="4" borderId="18" xfId="0" applyNumberFormat="1" applyFont="1" applyFill="1" applyBorder="1" applyAlignment="1">
      <alignment horizontal="right"/>
    </xf>
    <xf numFmtId="165" fontId="37" fillId="4" borderId="18" xfId="0" applyNumberFormat="1" applyFont="1" applyFill="1" applyBorder="1" applyAlignment="1">
      <alignment horizontal="right"/>
    </xf>
    <xf numFmtId="3" fontId="37" fillId="4" borderId="90" xfId="0" applyNumberFormat="1" applyFont="1" applyFill="1" applyBorder="1" applyAlignment="1">
      <alignment horizontal="right"/>
    </xf>
    <xf numFmtId="0" fontId="44" fillId="4" borderId="90" xfId="0" applyFont="1" applyFill="1" applyBorder="1" applyAlignment="1">
      <alignment horizontal="left"/>
    </xf>
    <xf numFmtId="0" fontId="44" fillId="4" borderId="18" xfId="0" applyFont="1" applyFill="1" applyBorder="1" applyAlignment="1">
      <alignment horizontal="left"/>
    </xf>
    <xf numFmtId="3" fontId="34" fillId="6" borderId="18" xfId="0" applyNumberFormat="1" applyFont="1" applyFill="1" applyBorder="1"/>
    <xf numFmtId="0" fontId="37" fillId="4" borderId="117" xfId="0" applyFont="1" applyFill="1" applyBorder="1" applyAlignment="1">
      <alignment horizontal="left"/>
    </xf>
    <xf numFmtId="0" fontId="37" fillId="4" borderId="164" xfId="0" applyFont="1" applyFill="1" applyBorder="1" applyAlignment="1">
      <alignment horizontal="left"/>
    </xf>
    <xf numFmtId="0" fontId="37" fillId="4" borderId="92" xfId="0" applyFont="1" applyFill="1" applyBorder="1" applyAlignment="1">
      <alignment horizontal="left"/>
    </xf>
    <xf numFmtId="165" fontId="37" fillId="4" borderId="92" xfId="0" applyNumberFormat="1" applyFont="1" applyFill="1" applyBorder="1"/>
    <xf numFmtId="173" fontId="37" fillId="4" borderId="92" xfId="0" applyNumberFormat="1" applyFont="1" applyFill="1" applyBorder="1" applyAlignment="1">
      <alignment horizontal="right"/>
    </xf>
    <xf numFmtId="168" fontId="34" fillId="4" borderId="75" xfId="0" applyNumberFormat="1" applyFont="1" applyFill="1" applyBorder="1"/>
    <xf numFmtId="0" fontId="35" fillId="4" borderId="0" xfId="0" applyFont="1" applyFill="1"/>
    <xf numFmtId="0" fontId="6" fillId="4" borderId="0" xfId="0" applyFont="1" applyFill="1"/>
    <xf numFmtId="0" fontId="22" fillId="0" borderId="0" xfId="0" applyFont="1"/>
    <xf numFmtId="0" fontId="35" fillId="8" borderId="96" xfId="0" applyFont="1" applyFill="1" applyBorder="1" applyAlignment="1">
      <alignment horizontal="center"/>
    </xf>
    <xf numFmtId="0" fontId="35" fillId="8" borderId="174" xfId="0" applyFont="1" applyFill="1" applyBorder="1" applyAlignment="1">
      <alignment horizontal="center" vertical="center" wrapText="1"/>
    </xf>
    <xf numFmtId="0" fontId="35" fillId="8" borderId="92" xfId="0" applyFont="1" applyFill="1" applyBorder="1" applyAlignment="1">
      <alignment horizontal="center" vertical="center" wrapText="1"/>
    </xf>
    <xf numFmtId="0" fontId="35" fillId="8" borderId="115" xfId="0" applyFont="1" applyFill="1" applyBorder="1" applyAlignment="1">
      <alignment horizontal="center"/>
    </xf>
    <xf numFmtId="0" fontId="45" fillId="5" borderId="90" xfId="0" applyFont="1" applyFill="1" applyBorder="1" applyAlignment="1">
      <alignment horizontal="center" vertical="center" wrapText="1"/>
    </xf>
    <xf numFmtId="0" fontId="45" fillId="5" borderId="18" xfId="0" applyFont="1" applyFill="1" applyBorder="1" applyAlignment="1">
      <alignment horizontal="center" vertical="center" wrapText="1"/>
    </xf>
    <xf numFmtId="0" fontId="45" fillId="4" borderId="18" xfId="0" applyFont="1" applyFill="1" applyBorder="1" applyAlignment="1">
      <alignment horizontal="center" vertical="center" wrapText="1"/>
    </xf>
    <xf numFmtId="0" fontId="45" fillId="4" borderId="18" xfId="0" applyFont="1" applyFill="1" applyBorder="1"/>
    <xf numFmtId="0" fontId="45" fillId="4" borderId="18" xfId="0" applyFont="1" applyFill="1" applyBorder="1" applyAlignment="1">
      <alignment horizontal="center"/>
    </xf>
    <xf numFmtId="0" fontId="45" fillId="4" borderId="19" xfId="0" applyFont="1" applyFill="1" applyBorder="1" applyAlignment="1">
      <alignment horizontal="center" vertical="center" wrapText="1"/>
    </xf>
    <xf numFmtId="0" fontId="36" fillId="0" borderId="90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8" xfId="0" applyFont="1" applyBorder="1"/>
    <xf numFmtId="0" fontId="34" fillId="0" borderId="19" xfId="0" applyFont="1" applyBorder="1" applyAlignment="1">
      <alignment horizontal="center"/>
    </xf>
    <xf numFmtId="0" fontId="37" fillId="0" borderId="18" xfId="0" applyFont="1" applyBorder="1"/>
    <xf numFmtId="168" fontId="37" fillId="0" borderId="18" xfId="0" applyNumberFormat="1" applyFont="1" applyBorder="1"/>
    <xf numFmtId="171" fontId="37" fillId="0" borderId="18" xfId="0" applyNumberFormat="1" applyFont="1" applyBorder="1"/>
    <xf numFmtId="0" fontId="34" fillId="0" borderId="90" xfId="0" applyFont="1" applyBorder="1"/>
    <xf numFmtId="168" fontId="34" fillId="0" borderId="18" xfId="0" applyNumberFormat="1" applyFont="1" applyBorder="1"/>
    <xf numFmtId="166" fontId="34" fillId="0" borderId="19" xfId="0" applyNumberFormat="1" applyFont="1" applyBorder="1" applyAlignment="1">
      <alignment horizontal="center"/>
    </xf>
    <xf numFmtId="168" fontId="43" fillId="0" borderId="18" xfId="0" applyNumberFormat="1" applyFont="1" applyBorder="1"/>
    <xf numFmtId="171" fontId="43" fillId="0" borderId="18" xfId="0" applyNumberFormat="1" applyFont="1" applyBorder="1"/>
    <xf numFmtId="171" fontId="34" fillId="0" borderId="18" xfId="0" applyNumberFormat="1" applyFont="1" applyBorder="1"/>
    <xf numFmtId="0" fontId="43" fillId="0" borderId="18" xfId="0" applyFont="1" applyBorder="1" applyAlignment="1">
      <alignment horizontal="center"/>
    </xf>
    <xf numFmtId="0" fontId="36" fillId="0" borderId="117" xfId="0" applyFont="1" applyBorder="1" applyAlignment="1">
      <alignment horizontal="center"/>
    </xf>
    <xf numFmtId="0" fontId="36" fillId="0" borderId="174" xfId="0" applyFont="1" applyBorder="1" applyAlignment="1">
      <alignment horizontal="center"/>
    </xf>
    <xf numFmtId="0" fontId="43" fillId="0" borderId="92" xfId="0" applyFont="1" applyBorder="1" applyAlignment="1">
      <alignment horizontal="center"/>
    </xf>
    <xf numFmtId="172" fontId="43" fillId="0" borderId="92" xfId="0" applyNumberFormat="1" applyFont="1" applyBorder="1"/>
    <xf numFmtId="168" fontId="43" fillId="0" borderId="92" xfId="0" applyNumberFormat="1" applyFont="1" applyBorder="1"/>
    <xf numFmtId="171" fontId="36" fillId="0" borderId="92" xfId="0" applyNumberFormat="1" applyFont="1" applyBorder="1"/>
    <xf numFmtId="166" fontId="43" fillId="0" borderId="75" xfId="0" applyNumberFormat="1" applyFont="1" applyBorder="1" applyAlignment="1">
      <alignment horizontal="center"/>
    </xf>
    <xf numFmtId="0" fontId="6" fillId="0" borderId="118" xfId="0" applyFont="1" applyBorder="1"/>
    <xf numFmtId="2" fontId="6" fillId="0" borderId="118" xfId="0" applyNumberFormat="1" applyFont="1" applyBorder="1"/>
    <xf numFmtId="168" fontId="6" fillId="0" borderId="0" xfId="0" applyNumberFormat="1" applyFont="1"/>
    <xf numFmtId="0" fontId="0" fillId="0" borderId="118" xfId="0" applyBorder="1" applyAlignment="1">
      <alignment horizontal="center"/>
    </xf>
    <xf numFmtId="0" fontId="37" fillId="0" borderId="12" xfId="0" applyFont="1" applyBorder="1"/>
    <xf numFmtId="3" fontId="37" fillId="0" borderId="12" xfId="0" applyNumberFormat="1" applyFont="1" applyBorder="1"/>
    <xf numFmtId="3" fontId="37" fillId="0" borderId="7" xfId="0" applyNumberFormat="1" applyFont="1" applyBorder="1"/>
    <xf numFmtId="168" fontId="37" fillId="0" borderId="10" xfId="0" applyNumberFormat="1" applyFont="1" applyBorder="1" applyAlignment="1">
      <alignment horizontal="center"/>
    </xf>
    <xf numFmtId="0" fontId="37" fillId="0" borderId="7" xfId="0" applyFont="1" applyBorder="1"/>
    <xf numFmtId="3" fontId="36" fillId="0" borderId="7" xfId="0" applyNumberFormat="1" applyFont="1" applyBorder="1"/>
    <xf numFmtId="168" fontId="36" fillId="0" borderId="10" xfId="0" applyNumberFormat="1" applyFont="1" applyBorder="1" applyAlignment="1">
      <alignment horizontal="center"/>
    </xf>
    <xf numFmtId="0" fontId="43" fillId="0" borderId="12" xfId="0" applyFont="1" applyBorder="1"/>
    <xf numFmtId="3" fontId="43" fillId="0" borderId="7" xfId="0" applyNumberFormat="1" applyFont="1" applyBorder="1"/>
    <xf numFmtId="168" fontId="43" fillId="0" borderId="10" xfId="0" applyNumberFormat="1" applyFont="1" applyBorder="1" applyAlignment="1">
      <alignment horizontal="center"/>
    </xf>
    <xf numFmtId="0" fontId="37" fillId="0" borderId="12" xfId="0" applyFont="1" applyBorder="1" applyAlignment="1">
      <alignment horizontal="center" vertical="center"/>
    </xf>
    <xf numFmtId="3" fontId="37" fillId="0" borderId="7" xfId="0" applyNumberFormat="1" applyFont="1" applyBorder="1" applyAlignment="1">
      <alignment vertical="center"/>
    </xf>
    <xf numFmtId="168" fontId="37" fillId="0" borderId="10" xfId="0" applyNumberFormat="1" applyFont="1" applyBorder="1" applyAlignment="1">
      <alignment horizontal="center" vertical="center"/>
    </xf>
    <xf numFmtId="0" fontId="36" fillId="0" borderId="12" xfId="0" applyFont="1" applyBorder="1"/>
    <xf numFmtId="3" fontId="37" fillId="0" borderId="7" xfId="0" applyNumberFormat="1" applyFont="1" applyBorder="1" applyAlignment="1">
      <alignment horizontal="center"/>
    </xf>
    <xf numFmtId="0" fontId="34" fillId="0" borderId="12" xfId="0" applyFont="1" applyBorder="1"/>
    <xf numFmtId="0" fontId="44" fillId="0" borderId="7" xfId="0" applyFont="1" applyBorder="1"/>
    <xf numFmtId="3" fontId="34" fillId="0" borderId="7" xfId="0" applyNumberFormat="1" applyFont="1" applyBorder="1"/>
    <xf numFmtId="168" fontId="34" fillId="0" borderId="10" xfId="0" applyNumberFormat="1" applyFont="1" applyBorder="1" applyAlignment="1">
      <alignment horizontal="center"/>
    </xf>
    <xf numFmtId="0" fontId="22" fillId="0" borderId="119" xfId="0" applyFont="1" applyBorder="1"/>
    <xf numFmtId="0" fontId="22" fillId="0" borderId="120" xfId="0" applyFont="1" applyBorder="1"/>
    <xf numFmtId="3" fontId="2" fillId="0" borderId="120" xfId="0" applyNumberFormat="1" applyFont="1" applyBorder="1"/>
    <xf numFmtId="3" fontId="1" fillId="0" borderId="120" xfId="0" applyNumberFormat="1" applyFont="1" applyBorder="1"/>
    <xf numFmtId="168" fontId="2" fillId="0" borderId="121" xfId="0" applyNumberFormat="1" applyFont="1" applyBorder="1" applyAlignment="1">
      <alignment horizontal="center"/>
    </xf>
    <xf numFmtId="0" fontId="0" fillId="0" borderId="122" xfId="0" applyBorder="1" applyAlignment="1">
      <alignment horizontal="center"/>
    </xf>
    <xf numFmtId="0" fontId="35" fillId="8" borderId="126" xfId="0" applyFont="1" applyFill="1" applyBorder="1" applyAlignment="1">
      <alignment horizontal="center" vertical="center"/>
    </xf>
    <xf numFmtId="3" fontId="6" fillId="0" borderId="128" xfId="0" applyNumberFormat="1" applyFont="1" applyBorder="1" applyAlignment="1">
      <alignment horizontal="left" vertical="center"/>
    </xf>
    <xf numFmtId="3" fontId="6" fillId="0" borderId="124" xfId="0" applyNumberFormat="1" applyFont="1" applyBorder="1" applyAlignment="1">
      <alignment horizontal="left" vertical="center"/>
    </xf>
    <xf numFmtId="3" fontId="6" fillId="0" borderId="124" xfId="0" applyNumberFormat="1" applyFont="1" applyBorder="1" applyAlignment="1">
      <alignment vertical="center"/>
    </xf>
    <xf numFmtId="168" fontId="6" fillId="0" borderId="129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horizontal="left"/>
    </xf>
    <xf numFmtId="3" fontId="6" fillId="0" borderId="21" xfId="0" applyNumberFormat="1" applyFont="1" applyBorder="1" applyAlignment="1">
      <alignment horizontal="left"/>
    </xf>
    <xf numFmtId="3" fontId="6" fillId="0" borderId="21" xfId="0" applyNumberFormat="1" applyFont="1" applyBorder="1"/>
    <xf numFmtId="168" fontId="6" fillId="0" borderId="28" xfId="0" applyNumberFormat="1" applyFont="1" applyBorder="1"/>
    <xf numFmtId="3" fontId="0" fillId="0" borderId="52" xfId="0" applyNumberFormat="1" applyBorder="1" applyAlignment="1">
      <alignment horizontal="left"/>
    </xf>
    <xf numFmtId="3" fontId="0" fillId="0" borderId="21" xfId="0" applyNumberFormat="1" applyBorder="1" applyAlignment="1">
      <alignment horizontal="left"/>
    </xf>
    <xf numFmtId="3" fontId="0" fillId="0" borderId="21" xfId="0" applyNumberFormat="1" applyBorder="1"/>
    <xf numFmtId="168" fontId="0" fillId="0" borderId="28" xfId="0" applyNumberFormat="1" applyBorder="1"/>
    <xf numFmtId="0" fontId="0" fillId="0" borderId="147" xfId="0" applyBorder="1"/>
    <xf numFmtId="3" fontId="6" fillId="0" borderId="130" xfId="0" applyNumberFormat="1" applyFont="1" applyBorder="1" applyAlignment="1">
      <alignment horizontal="left" vertical="center"/>
    </xf>
    <xf numFmtId="3" fontId="6" fillId="0" borderId="48" xfId="0" applyNumberFormat="1" applyFont="1" applyBorder="1" applyAlignment="1">
      <alignment horizontal="left" vertical="center"/>
    </xf>
    <xf numFmtId="3" fontId="6" fillId="0" borderId="48" xfId="0" applyNumberFormat="1" applyFont="1" applyBorder="1" applyAlignment="1">
      <alignment vertical="center"/>
    </xf>
    <xf numFmtId="3" fontId="6" fillId="0" borderId="148" xfId="0" applyNumberFormat="1" applyFont="1" applyBorder="1" applyAlignment="1">
      <alignment vertical="center"/>
    </xf>
    <xf numFmtId="166" fontId="6" fillId="0" borderId="49" xfId="0" applyNumberFormat="1" applyFont="1" applyBorder="1" applyAlignment="1">
      <alignment vertical="center"/>
    </xf>
    <xf numFmtId="166" fontId="0" fillId="0" borderId="28" xfId="0" applyNumberFormat="1" applyBorder="1"/>
    <xf numFmtId="3" fontId="0" fillId="0" borderId="52" xfId="0" applyNumberFormat="1" applyBorder="1"/>
    <xf numFmtId="3" fontId="0" fillId="0" borderId="52" xfId="0" applyNumberFormat="1" applyBorder="1" applyAlignment="1">
      <alignment horizontal="left" vertical="center" wrapText="1"/>
    </xf>
    <xf numFmtId="3" fontId="0" fillId="0" borderId="21" xfId="0" applyNumberFormat="1" applyBorder="1" applyAlignment="1">
      <alignment vertical="center" wrapText="1"/>
    </xf>
    <xf numFmtId="0" fontId="0" fillId="0" borderId="0" xfId="0" applyAlignment="1">
      <alignment horizontal="left"/>
    </xf>
    <xf numFmtId="166" fontId="6" fillId="0" borderId="125" xfId="0" applyNumberFormat="1" applyFont="1" applyBorder="1" applyAlignment="1">
      <alignment vertical="center"/>
    </xf>
    <xf numFmtId="3" fontId="6" fillId="0" borderId="56" xfId="0" applyNumberFormat="1" applyFont="1" applyBorder="1" applyAlignment="1">
      <alignment horizontal="left" vertical="center"/>
    </xf>
    <xf numFmtId="3" fontId="6" fillId="0" borderId="61" xfId="0" applyNumberFormat="1" applyFont="1" applyBorder="1" applyAlignment="1">
      <alignment vertical="center"/>
    </xf>
    <xf numFmtId="166" fontId="6" fillId="0" borderId="59" xfId="0" applyNumberFormat="1" applyFont="1" applyBorder="1" applyAlignment="1">
      <alignment vertical="center"/>
    </xf>
    <xf numFmtId="3" fontId="0" fillId="0" borderId="131" xfId="0" applyNumberFormat="1" applyBorder="1"/>
    <xf numFmtId="0" fontId="0" fillId="0" borderId="52" xfId="0" applyBorder="1"/>
    <xf numFmtId="0" fontId="0" fillId="0" borderId="126" xfId="0" applyBorder="1"/>
    <xf numFmtId="0" fontId="0" fillId="0" borderId="21" xfId="0" applyBorder="1"/>
    <xf numFmtId="0" fontId="0" fillId="0" borderId="28" xfId="0" applyBorder="1"/>
    <xf numFmtId="3" fontId="6" fillId="0" borderId="61" xfId="0" applyNumberFormat="1" applyFont="1" applyBorder="1" applyAlignment="1">
      <alignment horizontal="left" vertical="center"/>
    </xf>
    <xf numFmtId="3" fontId="0" fillId="0" borderId="42" xfId="0" applyNumberFormat="1" applyBorder="1" applyAlignment="1">
      <alignment horizontal="left"/>
    </xf>
    <xf numFmtId="3" fontId="37" fillId="0" borderId="36" xfId="0" applyNumberFormat="1" applyFont="1" applyBorder="1" applyAlignment="1">
      <alignment horizontal="left" vertical="center"/>
    </xf>
    <xf numFmtId="3" fontId="37" fillId="0" borderId="36" xfId="0" applyNumberFormat="1" applyFont="1" applyBorder="1" applyAlignment="1">
      <alignment vertical="center"/>
    </xf>
    <xf numFmtId="166" fontId="37" fillId="0" borderId="50" xfId="0" applyNumberFormat="1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37" fillId="0" borderId="0" xfId="0" applyNumberFormat="1" applyFont="1" applyAlignment="1">
      <alignment horizontal="left" vertical="center"/>
    </xf>
    <xf numFmtId="3" fontId="37" fillId="0" borderId="0" xfId="0" applyNumberFormat="1" applyFont="1" applyAlignment="1">
      <alignment vertical="center"/>
    </xf>
    <xf numFmtId="166" fontId="37" fillId="0" borderId="0" xfId="0" applyNumberFormat="1" applyFont="1" applyAlignment="1">
      <alignment vertical="center"/>
    </xf>
    <xf numFmtId="0" fontId="35" fillId="8" borderId="9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5" fillId="0" borderId="12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47" fillId="0" borderId="1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29" fillId="0" borderId="7" xfId="0" applyFont="1" applyBorder="1"/>
    <xf numFmtId="0" fontId="0" fillId="0" borderId="12" xfId="0" applyBorder="1" applyAlignment="1">
      <alignment horizontal="right"/>
    </xf>
    <xf numFmtId="0" fontId="29" fillId="0" borderId="7" xfId="0" applyFont="1" applyBorder="1" applyAlignment="1">
      <alignment horizontal="left"/>
    </xf>
    <xf numFmtId="0" fontId="6" fillId="0" borderId="12" xfId="0" applyFont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9" fontId="6" fillId="0" borderId="12" xfId="0" applyNumberFormat="1" applyFont="1" applyBorder="1" applyAlignment="1">
      <alignment horizontal="right"/>
    </xf>
    <xf numFmtId="49" fontId="47" fillId="0" borderId="12" xfId="0" applyNumberFormat="1" applyFont="1" applyBorder="1" applyAlignment="1">
      <alignment horizontal="center"/>
    </xf>
    <xf numFmtId="49" fontId="6" fillId="0" borderId="71" xfId="0" applyNumberFormat="1" applyFont="1" applyBorder="1" applyAlignment="1">
      <alignment horizontal="right"/>
    </xf>
    <xf numFmtId="0" fontId="29" fillId="0" borderId="72" xfId="0" applyFont="1" applyBorder="1"/>
    <xf numFmtId="49" fontId="6" fillId="0" borderId="0" xfId="0" applyNumberFormat="1" applyFont="1" applyAlignment="1">
      <alignment horizontal="right"/>
    </xf>
    <xf numFmtId="3" fontId="2" fillId="0" borderId="0" xfId="0" applyNumberFormat="1" applyFont="1"/>
    <xf numFmtId="49" fontId="48" fillId="0" borderId="0" xfId="0" applyNumberFormat="1" applyFont="1"/>
    <xf numFmtId="3" fontId="1" fillId="0" borderId="0" xfId="0" applyNumberFormat="1" applyFont="1"/>
    <xf numFmtId="37" fontId="1" fillId="0" borderId="0" xfId="0" applyNumberFormat="1" applyFont="1" applyAlignment="1">
      <alignment horizontal="right"/>
    </xf>
    <xf numFmtId="0" fontId="2" fillId="0" borderId="0" xfId="0" applyFont="1"/>
    <xf numFmtId="0" fontId="49" fillId="0" borderId="0" xfId="0" applyFont="1"/>
    <xf numFmtId="0" fontId="6" fillId="7" borderId="44" xfId="0" applyFont="1" applyFill="1" applyBorder="1" applyAlignment="1">
      <alignment horizontal="center" vertical="center" wrapText="1"/>
    </xf>
    <xf numFmtId="0" fontId="6" fillId="7" borderId="175" xfId="0" applyFont="1" applyFill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3" fontId="22" fillId="0" borderId="78" xfId="0" applyNumberFormat="1" applyFont="1" applyBorder="1"/>
    <xf numFmtId="3" fontId="22" fillId="0" borderId="80" xfId="0" applyNumberFormat="1" applyFont="1" applyBorder="1"/>
    <xf numFmtId="3" fontId="22" fillId="0" borderId="44" xfId="0" applyNumberFormat="1" applyFont="1" applyBorder="1"/>
    <xf numFmtId="166" fontId="22" fillId="0" borderId="79" xfId="0" applyNumberFormat="1" applyFont="1" applyBorder="1"/>
    <xf numFmtId="3" fontId="49" fillId="0" borderId="7" xfId="0" applyNumberFormat="1" applyFont="1" applyBorder="1"/>
    <xf numFmtId="3" fontId="49" fillId="0" borderId="29" xfId="0" applyNumberFormat="1" applyFont="1" applyBorder="1"/>
    <xf numFmtId="3" fontId="49" fillId="0" borderId="0" xfId="0" applyNumberFormat="1" applyFont="1"/>
    <xf numFmtId="166" fontId="49" fillId="0" borderId="24" xfId="0" applyNumberFormat="1" applyFont="1" applyBorder="1"/>
    <xf numFmtId="0" fontId="0" fillId="0" borderId="12" xfId="0" applyBorder="1" applyAlignment="1">
      <alignment horizontal="left" vertical="center" wrapText="1"/>
    </xf>
    <xf numFmtId="3" fontId="49" fillId="0" borderId="7" xfId="0" applyNumberFormat="1" applyFont="1" applyBorder="1" applyAlignment="1">
      <alignment vertical="center"/>
    </xf>
    <xf numFmtId="3" fontId="49" fillId="0" borderId="29" xfId="0" applyNumberFormat="1" applyFont="1" applyBorder="1" applyAlignment="1">
      <alignment vertical="center"/>
    </xf>
    <xf numFmtId="3" fontId="49" fillId="0" borderId="0" xfId="0" applyNumberFormat="1" applyFont="1" applyAlignment="1">
      <alignment vertical="center"/>
    </xf>
    <xf numFmtId="166" fontId="49" fillId="0" borderId="24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166" fontId="49" fillId="0" borderId="76" xfId="0" applyNumberFormat="1" applyFont="1" applyBorder="1"/>
    <xf numFmtId="166" fontId="49" fillId="0" borderId="76" xfId="0" applyNumberFormat="1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3" fontId="22" fillId="4" borderId="82" xfId="0" applyNumberFormat="1" applyFont="1" applyFill="1" applyBorder="1"/>
    <xf numFmtId="3" fontId="22" fillId="4" borderId="80" xfId="0" applyNumberFormat="1" applyFont="1" applyFill="1" applyBorder="1"/>
    <xf numFmtId="0" fontId="0" fillId="0" borderId="12" xfId="0" applyBorder="1" applyAlignment="1">
      <alignment wrapText="1"/>
    </xf>
    <xf numFmtId="3" fontId="49" fillId="4" borderId="7" xfId="0" applyNumberFormat="1" applyFont="1" applyFill="1" applyBorder="1"/>
    <xf numFmtId="3" fontId="49" fillId="4" borderId="29" xfId="0" applyNumberFormat="1" applyFont="1" applyFill="1" applyBorder="1"/>
    <xf numFmtId="3" fontId="49" fillId="4" borderId="0" xfId="0" applyNumberFormat="1" applyFont="1" applyFill="1"/>
    <xf numFmtId="0" fontId="0" fillId="0" borderId="12" xfId="0" applyBorder="1" applyAlignment="1">
      <alignment horizontal="left" vertical="center"/>
    </xf>
    <xf numFmtId="3" fontId="49" fillId="0" borderId="154" xfId="0" applyNumberFormat="1" applyFont="1" applyBorder="1"/>
    <xf numFmtId="0" fontId="0" fillId="0" borderId="12" xfId="0" applyBorder="1" applyAlignment="1">
      <alignment vertical="center"/>
    </xf>
    <xf numFmtId="0" fontId="0" fillId="0" borderId="54" xfId="0" applyBorder="1" applyAlignment="1">
      <alignment horizontal="left" vertical="center" wrapText="1"/>
    </xf>
    <xf numFmtId="3" fontId="49" fillId="4" borderId="55" xfId="0" applyNumberFormat="1" applyFont="1" applyFill="1" applyBorder="1"/>
    <xf numFmtId="3" fontId="49" fillId="0" borderId="40" xfId="0" applyNumberFormat="1" applyFont="1" applyBorder="1"/>
    <xf numFmtId="0" fontId="6" fillId="0" borderId="83" xfId="0" applyFont="1" applyBorder="1" applyAlignment="1">
      <alignment horizontal="center" vertical="center"/>
    </xf>
    <xf numFmtId="3" fontId="22" fillId="0" borderId="89" xfId="0" applyNumberFormat="1" applyFont="1" applyBorder="1"/>
    <xf numFmtId="0" fontId="35" fillId="0" borderId="0" xfId="0" applyFont="1" applyAlignment="1">
      <alignment horizontal="left" vertical="center" wrapText="1"/>
    </xf>
    <xf numFmtId="0" fontId="50" fillId="0" borderId="0" xfId="0" applyFont="1"/>
    <xf numFmtId="0" fontId="0" fillId="0" borderId="70" xfId="0" applyBorder="1"/>
    <xf numFmtId="0" fontId="35" fillId="8" borderId="34" xfId="0" applyFont="1" applyFill="1" applyBorder="1" applyAlignment="1">
      <alignment horizontal="center" vertical="center" wrapText="1"/>
    </xf>
    <xf numFmtId="0" fontId="35" fillId="8" borderId="34" xfId="0" applyFont="1" applyFill="1" applyBorder="1" applyAlignment="1">
      <alignment horizontal="center" vertical="center"/>
    </xf>
    <xf numFmtId="0" fontId="35" fillId="8" borderId="35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/>
    </xf>
    <xf numFmtId="0" fontId="35" fillId="0" borderId="29" xfId="0" applyFont="1" applyBorder="1"/>
    <xf numFmtId="0" fontId="35" fillId="0" borderId="29" xfId="0" applyFont="1" applyBorder="1" applyAlignment="1">
      <alignment horizontal="left"/>
    </xf>
    <xf numFmtId="0" fontId="35" fillId="0" borderId="29" xfId="0" applyFont="1" applyBorder="1" applyAlignment="1">
      <alignment horizontal="center"/>
    </xf>
    <xf numFmtId="0" fontId="0" fillId="0" borderId="51" xfId="0" applyBorder="1"/>
    <xf numFmtId="0" fontId="37" fillId="0" borderId="40" xfId="0" applyFont="1" applyBorder="1" applyAlignment="1">
      <alignment horizontal="center"/>
    </xf>
    <xf numFmtId="0" fontId="37" fillId="0" borderId="29" xfId="0" applyFont="1" applyBorder="1"/>
    <xf numFmtId="3" fontId="37" fillId="0" borderId="29" xfId="0" applyNumberFormat="1" applyFont="1" applyBorder="1"/>
    <xf numFmtId="166" fontId="37" fillId="0" borderId="30" xfId="0" applyNumberFormat="1" applyFont="1" applyBorder="1"/>
    <xf numFmtId="0" fontId="34" fillId="0" borderId="40" xfId="0" applyFont="1" applyBorder="1" applyAlignment="1">
      <alignment horizontal="left"/>
    </xf>
    <xf numFmtId="0" fontId="34" fillId="0" borderId="29" xfId="0" applyFont="1" applyBorder="1"/>
    <xf numFmtId="3" fontId="34" fillId="0" borderId="29" xfId="0" applyNumberFormat="1" applyFont="1" applyBorder="1"/>
    <xf numFmtId="166" fontId="34" fillId="0" borderId="30" xfId="0" applyNumberFormat="1" applyFont="1" applyBorder="1"/>
    <xf numFmtId="0" fontId="43" fillId="0" borderId="40" xfId="0" applyFont="1" applyBorder="1" applyAlignment="1">
      <alignment horizontal="left"/>
    </xf>
    <xf numFmtId="0" fontId="43" fillId="0" borderId="29" xfId="0" applyFont="1" applyBorder="1" applyAlignment="1">
      <alignment horizontal="center"/>
    </xf>
    <xf numFmtId="3" fontId="43" fillId="0" borderId="29" xfId="0" applyNumberFormat="1" applyFont="1" applyBorder="1"/>
    <xf numFmtId="166" fontId="43" fillId="0" borderId="30" xfId="0" applyNumberFormat="1" applyFont="1" applyBorder="1"/>
    <xf numFmtId="0" fontId="43" fillId="0" borderId="40" xfId="0" applyFont="1" applyBorder="1"/>
    <xf numFmtId="0" fontId="34" fillId="0" borderId="40" xfId="0" applyFont="1" applyBorder="1"/>
    <xf numFmtId="0" fontId="34" fillId="0" borderId="29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3" fontId="37" fillId="0" borderId="29" xfId="0" applyNumberFormat="1" applyFont="1" applyBorder="1" applyAlignment="1">
      <alignment horizontal="right"/>
    </xf>
    <xf numFmtId="0" fontId="37" fillId="0" borderId="40" xfId="0" applyFont="1" applyBorder="1" applyAlignment="1">
      <alignment horizontal="center" vertical="center" wrapText="1"/>
    </xf>
    <xf numFmtId="3" fontId="34" fillId="4" borderId="29" xfId="0" applyNumberFormat="1" applyFont="1" applyFill="1" applyBorder="1"/>
    <xf numFmtId="0" fontId="34" fillId="0" borderId="112" xfId="0" applyFont="1" applyBorder="1"/>
    <xf numFmtId="0" fontId="34" fillId="0" borderId="31" xfId="0" applyFont="1" applyBorder="1" applyAlignment="1">
      <alignment horizontal="center"/>
    </xf>
    <xf numFmtId="3" fontId="43" fillId="0" borderId="31" xfId="0" applyNumberFormat="1" applyFont="1" applyBorder="1"/>
    <xf numFmtId="3" fontId="34" fillId="0" borderId="31" xfId="0" applyNumberFormat="1" applyFont="1" applyBorder="1"/>
    <xf numFmtId="166" fontId="34" fillId="0" borderId="32" xfId="0" applyNumberFormat="1" applyFont="1" applyBorder="1"/>
    <xf numFmtId="3" fontId="43" fillId="0" borderId="41" xfId="0" applyNumberFormat="1" applyFont="1" applyBorder="1"/>
    <xf numFmtId="3" fontId="43" fillId="0" borderId="0" xfId="0" applyNumberFormat="1" applyFont="1"/>
    <xf numFmtId="0" fontId="35" fillId="8" borderId="92" xfId="0" applyFont="1" applyFill="1" applyBorder="1" applyAlignment="1">
      <alignment horizontal="center" vertical="center"/>
    </xf>
    <xf numFmtId="0" fontId="35" fillId="8" borderId="6" xfId="0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/>
    </xf>
    <xf numFmtId="0" fontId="35" fillId="8" borderId="193" xfId="0" applyFont="1" applyFill="1" applyBorder="1" applyAlignment="1">
      <alignment horizontal="center" vertical="center"/>
    </xf>
    <xf numFmtId="0" fontId="35" fillId="8" borderId="196" xfId="0" applyFont="1" applyFill="1" applyBorder="1" applyAlignment="1">
      <alignment horizontal="center" vertical="center"/>
    </xf>
    <xf numFmtId="0" fontId="35" fillId="8" borderId="186" xfId="0" applyFont="1" applyFill="1" applyBorder="1" applyAlignment="1">
      <alignment horizontal="center" vertical="center"/>
    </xf>
    <xf numFmtId="0" fontId="35" fillId="8" borderId="197" xfId="0" applyFont="1" applyFill="1" applyBorder="1" applyAlignment="1">
      <alignment horizontal="center" vertical="center"/>
    </xf>
    <xf numFmtId="49" fontId="35" fillId="0" borderId="12" xfId="0" applyNumberFormat="1" applyFont="1" applyBorder="1" applyAlignment="1">
      <alignment horizontal="left"/>
    </xf>
    <xf numFmtId="4" fontId="3" fillId="0" borderId="0" xfId="0" applyNumberFormat="1" applyFont="1"/>
    <xf numFmtId="0" fontId="52" fillId="7" borderId="86" xfId="0" applyFont="1" applyFill="1" applyBorder="1"/>
    <xf numFmtId="0" fontId="51" fillId="7" borderId="0" xfId="0" applyFont="1" applyFill="1" applyAlignment="1">
      <alignment horizontal="center"/>
    </xf>
    <xf numFmtId="0" fontId="51" fillId="7" borderId="55" xfId="0" applyFont="1" applyFill="1" applyBorder="1" applyAlignment="1">
      <alignment horizontal="center"/>
    </xf>
    <xf numFmtId="0" fontId="52" fillId="7" borderId="88" xfId="0" applyFont="1" applyFill="1" applyBorder="1"/>
    <xf numFmtId="0" fontId="52" fillId="7" borderId="181" xfId="0" applyFont="1" applyFill="1" applyBorder="1"/>
    <xf numFmtId="0" fontId="0" fillId="0" borderId="55" xfId="0" applyBorder="1" applyAlignment="1">
      <alignment horizontal="left"/>
    </xf>
    <xf numFmtId="0" fontId="36" fillId="0" borderId="54" xfId="0" applyFont="1" applyBorder="1" applyAlignment="1">
      <alignment horizontal="center" vertical="center"/>
    </xf>
    <xf numFmtId="3" fontId="54" fillId="0" borderId="0" xfId="0" applyNumberFormat="1" applyFont="1" applyAlignment="1">
      <alignment horizontal="right" vertical="center"/>
    </xf>
    <xf numFmtId="3" fontId="54" fillId="0" borderId="55" xfId="0" applyNumberFormat="1" applyFont="1" applyBorder="1" applyAlignment="1">
      <alignment horizontal="right" vertical="center"/>
    </xf>
    <xf numFmtId="0" fontId="31" fillId="0" borderId="54" xfId="0" applyFont="1" applyBorder="1"/>
    <xf numFmtId="3" fontId="31" fillId="0" borderId="0" xfId="0" applyNumberFormat="1" applyFont="1" applyAlignment="1">
      <alignment horizontal="left"/>
    </xf>
    <xf numFmtId="3" fontId="31" fillId="0" borderId="55" xfId="0" applyNumberFormat="1" applyFont="1" applyBorder="1" applyAlignment="1">
      <alignment horizontal="left"/>
    </xf>
    <xf numFmtId="0" fontId="0" fillId="0" borderId="54" xfId="0" applyBorder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55" xfId="0" applyNumberFormat="1" applyBorder="1" applyAlignment="1">
      <alignment horizontal="right"/>
    </xf>
    <xf numFmtId="3" fontId="31" fillId="0" borderId="0" xfId="0" applyNumberFormat="1" applyFont="1" applyAlignment="1">
      <alignment horizontal="right"/>
    </xf>
    <xf numFmtId="3" fontId="31" fillId="0" borderId="55" xfId="0" applyNumberFormat="1" applyFont="1" applyBorder="1" applyAlignment="1">
      <alignment horizontal="right"/>
    </xf>
    <xf numFmtId="3" fontId="36" fillId="0" borderId="0" xfId="0" applyNumberFormat="1" applyFont="1" applyAlignment="1">
      <alignment horizontal="right" vertical="center"/>
    </xf>
    <xf numFmtId="3" fontId="36" fillId="0" borderId="55" xfId="0" applyNumberFormat="1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3" fontId="46" fillId="0" borderId="0" xfId="0" applyNumberFormat="1" applyFont="1" applyAlignment="1">
      <alignment horizontal="right" vertical="center"/>
    </xf>
    <xf numFmtId="3" fontId="46" fillId="0" borderId="55" xfId="0" applyNumberFormat="1" applyFont="1" applyBorder="1" applyAlignment="1">
      <alignment horizontal="right" vertical="center"/>
    </xf>
    <xf numFmtId="3" fontId="0" fillId="0" borderId="55" xfId="0" applyNumberFormat="1" applyBorder="1"/>
    <xf numFmtId="0" fontId="31" fillId="0" borderId="55" xfId="0" applyFont="1" applyBorder="1"/>
    <xf numFmtId="3" fontId="31" fillId="0" borderId="0" xfId="0" applyNumberFormat="1" applyFont="1"/>
    <xf numFmtId="3" fontId="35" fillId="8" borderId="184" xfId="0" applyNumberFormat="1" applyFont="1" applyFill="1" applyBorder="1" applyAlignment="1">
      <alignment horizontal="center" vertical="center" wrapText="1"/>
    </xf>
    <xf numFmtId="3" fontId="35" fillId="8" borderId="140" xfId="0" applyNumberFormat="1" applyFont="1" applyFill="1" applyBorder="1" applyAlignment="1">
      <alignment horizontal="center" vertical="center" wrapText="1"/>
    </xf>
    <xf numFmtId="3" fontId="35" fillId="8" borderId="198" xfId="0" applyNumberFormat="1" applyFont="1" applyFill="1" applyBorder="1" applyAlignment="1">
      <alignment horizontal="center" vertical="center" wrapText="1"/>
    </xf>
    <xf numFmtId="3" fontId="35" fillId="8" borderId="126" xfId="0" applyNumberFormat="1" applyFont="1" applyFill="1" applyBorder="1" applyAlignment="1">
      <alignment horizontal="center" vertical="center"/>
    </xf>
    <xf numFmtId="0" fontId="6" fillId="7" borderId="205" xfId="0" applyFont="1" applyFill="1" applyBorder="1" applyAlignment="1">
      <alignment horizontal="center" vertical="center"/>
    </xf>
    <xf numFmtId="0" fontId="6" fillId="7" borderId="206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22" fillId="0" borderId="80" xfId="0" applyNumberFormat="1" applyFont="1" applyBorder="1"/>
    <xf numFmtId="0" fontId="0" fillId="0" borderId="203" xfId="0" applyBorder="1"/>
    <xf numFmtId="0" fontId="0" fillId="0" borderId="205" xfId="0" applyBorder="1"/>
    <xf numFmtId="3" fontId="0" fillId="0" borderId="205" xfId="0" applyNumberFormat="1" applyBorder="1"/>
    <xf numFmtId="4" fontId="30" fillId="0" borderId="208" xfId="0" applyNumberFormat="1" applyFont="1" applyBorder="1"/>
    <xf numFmtId="168" fontId="0" fillId="0" borderId="0" xfId="0" applyNumberFormat="1"/>
    <xf numFmtId="0" fontId="0" fillId="0" borderId="209" xfId="0" applyBorder="1"/>
    <xf numFmtId="3" fontId="49" fillId="4" borderId="10" xfId="0" applyNumberFormat="1" applyFont="1" applyFill="1" applyBorder="1"/>
    <xf numFmtId="3" fontId="49" fillId="4" borderId="76" xfId="0" applyNumberFormat="1" applyFont="1" applyFill="1" applyBorder="1"/>
    <xf numFmtId="3" fontId="0" fillId="0" borderId="210" xfId="0" applyNumberFormat="1" applyBorder="1"/>
    <xf numFmtId="3" fontId="49" fillId="4" borderId="40" xfId="0" applyNumberFormat="1" applyFont="1" applyFill="1" applyBorder="1"/>
    <xf numFmtId="3" fontId="49" fillId="0" borderId="55" xfId="0" applyNumberFormat="1" applyFont="1" applyBorder="1"/>
    <xf numFmtId="4" fontId="22" fillId="4" borderId="80" xfId="0" applyNumberFormat="1" applyFont="1" applyFill="1" applyBorder="1"/>
    <xf numFmtId="4" fontId="49" fillId="0" borderId="29" xfId="0" applyNumberFormat="1" applyFont="1" applyBorder="1"/>
    <xf numFmtId="165" fontId="49" fillId="0" borderId="29" xfId="0" applyNumberFormat="1" applyFont="1" applyBorder="1"/>
    <xf numFmtId="165" fontId="49" fillId="0" borderId="29" xfId="0" applyNumberFormat="1" applyFont="1" applyBorder="1" applyAlignment="1">
      <alignment horizontal="right" vertical="center"/>
    </xf>
    <xf numFmtId="166" fontId="35" fillId="0" borderId="14" xfId="0" applyNumberFormat="1" applyFont="1" applyBorder="1" applyAlignment="1">
      <alignment horizontal="center" vertical="center"/>
    </xf>
    <xf numFmtId="173" fontId="37" fillId="0" borderId="7" xfId="0" applyNumberFormat="1" applyFont="1" applyBorder="1"/>
    <xf numFmtId="173" fontId="43" fillId="0" borderId="7" xfId="0" applyNumberFormat="1" applyFont="1" applyBorder="1"/>
    <xf numFmtId="173" fontId="43" fillId="0" borderId="7" xfId="0" applyNumberFormat="1" applyFont="1" applyBorder="1" applyAlignment="1">
      <alignment horizontal="right"/>
    </xf>
    <xf numFmtId="173" fontId="36" fillId="0" borderId="7" xfId="0" applyNumberFormat="1" applyFont="1" applyBorder="1"/>
    <xf numFmtId="173" fontId="49" fillId="0" borderId="29" xfId="0" applyNumberFormat="1" applyFont="1" applyBorder="1"/>
    <xf numFmtId="173" fontId="22" fillId="4" borderId="80" xfId="0" applyNumberFormat="1" applyFont="1" applyFill="1" applyBorder="1"/>
    <xf numFmtId="0" fontId="6" fillId="0" borderId="211" xfId="0" applyFont="1" applyBorder="1" applyAlignment="1">
      <alignment horizontal="center" vertical="center"/>
    </xf>
    <xf numFmtId="3" fontId="22" fillId="0" borderId="205" xfId="0" applyNumberFormat="1" applyFont="1" applyBorder="1"/>
    <xf numFmtId="3" fontId="22" fillId="0" borderId="209" xfId="0" applyNumberFormat="1" applyFont="1" applyBorder="1"/>
    <xf numFmtId="3" fontId="22" fillId="0" borderId="210" xfId="0" applyNumberFormat="1" applyFont="1" applyBorder="1"/>
    <xf numFmtId="3" fontId="22" fillId="0" borderId="206" xfId="0" applyNumberFormat="1" applyFont="1" applyBorder="1"/>
    <xf numFmtId="3" fontId="22" fillId="0" borderId="203" xfId="0" applyNumberFormat="1" applyFont="1" applyBorder="1"/>
    <xf numFmtId="166" fontId="22" fillId="0" borderId="209" xfId="0" applyNumberFormat="1" applyFont="1" applyBorder="1"/>
    <xf numFmtId="0" fontId="0" fillId="0" borderId="185" xfId="0" applyBorder="1"/>
    <xf numFmtId="0" fontId="0" fillId="0" borderId="182" xfId="0" applyBorder="1"/>
    <xf numFmtId="3" fontId="0" fillId="0" borderId="185" xfId="0" applyNumberFormat="1" applyBorder="1"/>
    <xf numFmtId="3" fontId="0" fillId="0" borderId="182" xfId="0" applyNumberFormat="1" applyBorder="1"/>
    <xf numFmtId="0" fontId="35" fillId="8" borderId="99" xfId="0" applyFont="1" applyFill="1" applyBorder="1" applyAlignment="1">
      <alignment horizontal="center" vertical="center" wrapText="1"/>
    </xf>
    <xf numFmtId="0" fontId="35" fillId="8" borderId="126" xfId="0" applyFont="1" applyFill="1" applyBorder="1" applyAlignment="1">
      <alignment horizontal="center" vertical="center" wrapText="1"/>
    </xf>
    <xf numFmtId="165" fontId="49" fillId="0" borderId="29" xfId="0" applyNumberFormat="1" applyFont="1" applyBorder="1" applyAlignment="1">
      <alignment vertical="center" wrapText="1"/>
    </xf>
    <xf numFmtId="4" fontId="22" fillId="0" borderId="205" xfId="0" applyNumberFormat="1" applyFont="1" applyBorder="1"/>
    <xf numFmtId="4" fontId="49" fillId="0" borderId="144" xfId="0" applyNumberFormat="1" applyFont="1" applyBorder="1"/>
    <xf numFmtId="4" fontId="22" fillId="0" borderId="136" xfId="0" applyNumberFormat="1" applyFont="1" applyBorder="1"/>
    <xf numFmtId="3" fontId="35" fillId="0" borderId="57" xfId="0" applyNumberFormat="1" applyFont="1" applyBorder="1" applyAlignment="1">
      <alignment vertical="center"/>
    </xf>
    <xf numFmtId="3" fontId="35" fillId="0" borderId="59" xfId="0" applyNumberFormat="1" applyFont="1" applyBorder="1" applyAlignment="1">
      <alignment vertical="center"/>
    </xf>
    <xf numFmtId="3" fontId="35" fillId="0" borderId="61" xfId="0" applyNumberFormat="1" applyFont="1" applyBorder="1" applyAlignment="1">
      <alignment vertical="center"/>
    </xf>
    <xf numFmtId="166" fontId="35" fillId="0" borderId="5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left" vertical="center"/>
    </xf>
    <xf numFmtId="165" fontId="0" fillId="0" borderId="21" xfId="0" applyNumberFormat="1" applyBorder="1"/>
    <xf numFmtId="3" fontId="43" fillId="0" borderId="29" xfId="0" applyNumberFormat="1" applyFont="1" applyBorder="1" applyAlignment="1">
      <alignment horizontal="right"/>
    </xf>
    <xf numFmtId="3" fontId="34" fillId="0" borderId="29" xfId="0" applyNumberFormat="1" applyFont="1" applyBorder="1" applyAlignment="1">
      <alignment horizontal="center"/>
    </xf>
    <xf numFmtId="3" fontId="34" fillId="0" borderId="29" xfId="0" applyNumberFormat="1" applyFont="1" applyBorder="1" applyAlignment="1">
      <alignment horizontal="right"/>
    </xf>
    <xf numFmtId="3" fontId="37" fillId="0" borderId="29" xfId="0" applyNumberFormat="1" applyFont="1" applyBorder="1" applyAlignment="1">
      <alignment horizontal="center"/>
    </xf>
    <xf numFmtId="173" fontId="37" fillId="0" borderId="29" xfId="0" applyNumberFormat="1" applyFont="1" applyBorder="1"/>
    <xf numFmtId="173" fontId="43" fillId="0" borderId="29" xfId="0" applyNumberFormat="1" applyFont="1" applyBorder="1" applyAlignment="1">
      <alignment horizontal="right"/>
    </xf>
    <xf numFmtId="173" fontId="43" fillId="0" borderId="29" xfId="0" applyNumberFormat="1" applyFont="1" applyBorder="1"/>
    <xf numFmtId="173" fontId="37" fillId="0" borderId="29" xfId="0" applyNumberFormat="1" applyFont="1" applyBorder="1" applyAlignment="1">
      <alignment horizontal="right"/>
    </xf>
    <xf numFmtId="3" fontId="43" fillId="2" borderId="18" xfId="0" applyNumberFormat="1" applyFont="1" applyFill="1" applyBorder="1"/>
    <xf numFmtId="173" fontId="37" fillId="2" borderId="18" xfId="0" applyNumberFormat="1" applyFont="1" applyFill="1" applyBorder="1"/>
    <xf numFmtId="173" fontId="37" fillId="0" borderId="18" xfId="0" applyNumberFormat="1" applyFont="1" applyBorder="1"/>
    <xf numFmtId="173" fontId="43" fillId="2" borderId="18" xfId="0" applyNumberFormat="1" applyFont="1" applyFill="1" applyBorder="1"/>
    <xf numFmtId="3" fontId="55" fillId="0" borderId="0" xfId="0" applyNumberFormat="1" applyFont="1"/>
    <xf numFmtId="3" fontId="35" fillId="0" borderId="52" xfId="0" applyNumberFormat="1" applyFont="1" applyBorder="1"/>
    <xf numFmtId="3" fontId="29" fillId="0" borderId="212" xfId="0" applyNumberFormat="1" applyFont="1" applyBorder="1"/>
    <xf numFmtId="3" fontId="6" fillId="0" borderId="213" xfId="0" applyNumberFormat="1" applyFont="1" applyBorder="1" applyAlignment="1">
      <alignment vertical="center"/>
    </xf>
    <xf numFmtId="3" fontId="35" fillId="0" borderId="134" xfId="0" applyNumberFormat="1" applyFont="1" applyBorder="1" applyAlignment="1">
      <alignment vertical="center"/>
    </xf>
    <xf numFmtId="3" fontId="56" fillId="0" borderId="7" xfId="0" applyNumberFormat="1" applyFont="1" applyBorder="1"/>
    <xf numFmtId="3" fontId="29" fillId="4" borderId="7" xfId="0" applyNumberFormat="1" applyFont="1" applyFill="1" applyBorder="1"/>
    <xf numFmtId="3" fontId="29" fillId="0" borderId="10" xfId="0" applyNumberFormat="1" applyFont="1" applyBorder="1"/>
    <xf numFmtId="3" fontId="35" fillId="0" borderId="38" xfId="0" applyNumberFormat="1" applyFont="1" applyBorder="1" applyAlignment="1">
      <alignment vertical="center"/>
    </xf>
    <xf numFmtId="3" fontId="29" fillId="0" borderId="27" xfId="0" applyNumberFormat="1" applyFont="1" applyBorder="1"/>
    <xf numFmtId="3" fontId="35" fillId="0" borderId="22" xfId="0" applyNumberFormat="1" applyFont="1" applyBorder="1" applyAlignment="1">
      <alignment vertical="center"/>
    </xf>
    <xf numFmtId="3" fontId="29" fillId="0" borderId="19" xfId="0" applyNumberFormat="1" applyFont="1" applyBorder="1"/>
    <xf numFmtId="3" fontId="35" fillId="0" borderId="60" xfId="0" applyNumberFormat="1" applyFont="1" applyBorder="1" applyAlignment="1">
      <alignment vertical="center"/>
    </xf>
    <xf numFmtId="3" fontId="35" fillId="0" borderId="135" xfId="0" applyNumberFormat="1" applyFont="1" applyBorder="1" applyAlignment="1">
      <alignment vertical="center"/>
    </xf>
    <xf numFmtId="3" fontId="35" fillId="0" borderId="24" xfId="0" applyNumberFormat="1" applyFont="1" applyBorder="1"/>
    <xf numFmtId="3" fontId="29" fillId="0" borderId="24" xfId="0" applyNumberFormat="1" applyFont="1" applyBorder="1"/>
    <xf numFmtId="3" fontId="57" fillId="0" borderId="61" xfId="0" applyNumberFormat="1" applyFont="1" applyBorder="1" applyAlignment="1">
      <alignment vertical="center"/>
    </xf>
    <xf numFmtId="3" fontId="29" fillId="0" borderId="54" xfId="0" applyNumberFormat="1" applyFont="1" applyBorder="1"/>
    <xf numFmtId="3" fontId="6" fillId="0" borderId="67" xfId="0" applyNumberFormat="1" applyFont="1" applyBorder="1" applyAlignment="1">
      <alignment vertical="center"/>
    </xf>
    <xf numFmtId="3" fontId="29" fillId="0" borderId="214" xfId="0" applyNumberFormat="1" applyFont="1" applyBorder="1"/>
    <xf numFmtId="0" fontId="35" fillId="8" borderId="187" xfId="0" applyFont="1" applyFill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left" vertical="center"/>
    </xf>
    <xf numFmtId="166" fontId="6" fillId="0" borderId="10" xfId="0" applyNumberFormat="1" applyFont="1" applyBorder="1" applyAlignment="1">
      <alignment horizontal="left" vertical="center"/>
    </xf>
    <xf numFmtId="3" fontId="46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0" fillId="0" borderId="7" xfId="0" applyNumberFormat="1" applyBorder="1" applyAlignment="1">
      <alignment horizontal="left"/>
    </xf>
    <xf numFmtId="3" fontId="0" fillId="0" borderId="20" xfId="0" applyNumberFormat="1" applyBorder="1" applyAlignment="1">
      <alignment horizontal="left"/>
    </xf>
    <xf numFmtId="166" fontId="0" fillId="0" borderId="10" xfId="0" applyNumberFormat="1" applyBorder="1" applyAlignment="1">
      <alignment horizontal="left"/>
    </xf>
    <xf numFmtId="3" fontId="12" fillId="0" borderId="0" xfId="0" applyNumberFormat="1" applyFont="1" applyAlignment="1">
      <alignment horizontal="left"/>
    </xf>
    <xf numFmtId="4" fontId="0" fillId="0" borderId="7" xfId="0" applyNumberFormat="1" applyBorder="1" applyAlignment="1">
      <alignment horizontal="left"/>
    </xf>
    <xf numFmtId="3" fontId="0" fillId="0" borderId="72" xfId="0" applyNumberFormat="1" applyBorder="1" applyAlignment="1">
      <alignment horizontal="left"/>
    </xf>
    <xf numFmtId="3" fontId="0" fillId="0" borderId="74" xfId="0" applyNumberFormat="1" applyBorder="1" applyAlignment="1">
      <alignment horizontal="left"/>
    </xf>
    <xf numFmtId="0" fontId="0" fillId="0" borderId="73" xfId="0" applyBorder="1" applyAlignment="1">
      <alignment horizontal="left"/>
    </xf>
    <xf numFmtId="0" fontId="51" fillId="7" borderId="157" xfId="0" applyFont="1" applyFill="1" applyBorder="1" applyAlignment="1">
      <alignment horizontal="center" vertical="center" wrapText="1"/>
    </xf>
    <xf numFmtId="0" fontId="51" fillId="7" borderId="54" xfId="0" applyFont="1" applyFill="1" applyBorder="1" applyAlignment="1">
      <alignment horizontal="center" vertical="center" wrapText="1"/>
    </xf>
    <xf numFmtId="0" fontId="51" fillId="7" borderId="141" xfId="0" applyFont="1" applyFill="1" applyBorder="1" applyAlignment="1">
      <alignment horizontal="center" vertical="center" wrapText="1"/>
    </xf>
    <xf numFmtId="0" fontId="53" fillId="7" borderId="87" xfId="0" applyFont="1" applyFill="1" applyBorder="1" applyAlignment="1">
      <alignment horizontal="center"/>
    </xf>
    <xf numFmtId="0" fontId="53" fillId="7" borderId="20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8" borderId="132" xfId="0" applyFont="1" applyFill="1" applyBorder="1" applyAlignment="1">
      <alignment horizontal="center" vertical="center"/>
    </xf>
    <xf numFmtId="0" fontId="35" fillId="8" borderId="1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8" borderId="102" xfId="0" applyFont="1" applyFill="1" applyBorder="1" applyAlignment="1">
      <alignment horizontal="center" vertical="center" wrapText="1"/>
    </xf>
    <xf numFmtId="0" fontId="35" fillId="8" borderId="103" xfId="0" applyFont="1" applyFill="1" applyBorder="1" applyAlignment="1">
      <alignment horizontal="center" vertical="center" wrapText="1"/>
    </xf>
    <xf numFmtId="0" fontId="35" fillId="8" borderId="98" xfId="0" applyFont="1" applyFill="1" applyBorder="1" applyAlignment="1">
      <alignment horizontal="center" vertical="center"/>
    </xf>
    <xf numFmtId="0" fontId="35" fillId="8" borderId="101" xfId="0" applyFont="1" applyFill="1" applyBorder="1" applyAlignment="1">
      <alignment horizontal="center" vertical="center"/>
    </xf>
    <xf numFmtId="0" fontId="35" fillId="8" borderId="165" xfId="0" applyFont="1" applyFill="1" applyBorder="1" applyAlignment="1">
      <alignment horizontal="center" vertical="center"/>
    </xf>
    <xf numFmtId="0" fontId="35" fillId="8" borderId="163" xfId="0" applyFont="1" applyFill="1" applyBorder="1" applyAlignment="1">
      <alignment horizontal="center" vertical="center"/>
    </xf>
    <xf numFmtId="0" fontId="35" fillId="8" borderId="166" xfId="0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5" fillId="8" borderId="108" xfId="0" applyFont="1" applyFill="1" applyBorder="1" applyAlignment="1">
      <alignment horizontal="center" vertical="center" wrapText="1"/>
    </xf>
    <xf numFmtId="0" fontId="35" fillId="8" borderId="111" xfId="0" applyFont="1" applyFill="1" applyBorder="1" applyAlignment="1">
      <alignment horizontal="center" vertical="center" wrapText="1"/>
    </xf>
    <xf numFmtId="0" fontId="35" fillId="8" borderId="109" xfId="0" applyFont="1" applyFill="1" applyBorder="1" applyAlignment="1">
      <alignment horizontal="center" vertical="center" wrapText="1"/>
    </xf>
    <xf numFmtId="0" fontId="35" fillId="8" borderId="34" xfId="0" applyFont="1" applyFill="1" applyBorder="1" applyAlignment="1">
      <alignment horizontal="center" vertical="center" wrapText="1"/>
    </xf>
    <xf numFmtId="0" fontId="35" fillId="8" borderId="110" xfId="0" applyFont="1" applyFill="1" applyBorder="1" applyAlignment="1">
      <alignment horizontal="center"/>
    </xf>
    <xf numFmtId="0" fontId="35" fillId="8" borderId="33" xfId="0" applyFont="1" applyFill="1" applyBorder="1" applyAlignment="1">
      <alignment horizontal="center"/>
    </xf>
    <xf numFmtId="0" fontId="35" fillId="8" borderId="167" xfId="0" applyFont="1" applyFill="1" applyBorder="1" applyAlignment="1">
      <alignment horizontal="center"/>
    </xf>
    <xf numFmtId="0" fontId="35" fillId="8" borderId="168" xfId="0" applyFont="1" applyFill="1" applyBorder="1" applyAlignment="1">
      <alignment horizontal="center"/>
    </xf>
    <xf numFmtId="0" fontId="35" fillId="8" borderId="169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5" fillId="8" borderId="113" xfId="0" applyFont="1" applyFill="1" applyBorder="1" applyAlignment="1">
      <alignment horizontal="center" vertical="center"/>
    </xf>
    <xf numFmtId="0" fontId="35" fillId="8" borderId="114" xfId="0" applyFont="1" applyFill="1" applyBorder="1" applyAlignment="1">
      <alignment horizontal="center" vertical="center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5" xfId="0" applyFont="1" applyFill="1" applyBorder="1" applyAlignment="1">
      <alignment horizontal="center" vertical="center" wrapText="1"/>
    </xf>
    <xf numFmtId="0" fontId="35" fillId="8" borderId="171" xfId="0" applyFont="1" applyFill="1" applyBorder="1" applyAlignment="1">
      <alignment horizontal="center" vertical="center"/>
    </xf>
    <xf numFmtId="0" fontId="35" fillId="8" borderId="172" xfId="0" applyFont="1" applyFill="1" applyBorder="1" applyAlignment="1">
      <alignment horizontal="center" vertical="center"/>
    </xf>
    <xf numFmtId="0" fontId="35" fillId="8" borderId="173" xfId="0" applyFont="1" applyFill="1" applyBorder="1" applyAlignment="1">
      <alignment horizontal="center" vertical="center"/>
    </xf>
    <xf numFmtId="0" fontId="35" fillId="8" borderId="96" xfId="0" applyFont="1" applyFill="1" applyBorder="1" applyAlignment="1">
      <alignment horizontal="center" vertical="center" wrapText="1"/>
    </xf>
    <xf numFmtId="0" fontId="35" fillId="8" borderId="170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center" vertical="center" wrapText="1"/>
    </xf>
    <xf numFmtId="0" fontId="35" fillId="8" borderId="192" xfId="0" applyFont="1" applyFill="1" applyBorder="1" applyAlignment="1">
      <alignment horizontal="center" vertical="center" wrapText="1"/>
    </xf>
    <xf numFmtId="0" fontId="35" fillId="8" borderId="75" xfId="0" applyFont="1" applyFill="1" applyBorder="1" applyAlignment="1">
      <alignment horizontal="center" vertical="center" wrapText="1"/>
    </xf>
    <xf numFmtId="0" fontId="35" fillId="8" borderId="171" xfId="0" applyFont="1" applyFill="1" applyBorder="1" applyAlignment="1">
      <alignment horizontal="center" vertical="center" wrapText="1"/>
    </xf>
    <xf numFmtId="0" fontId="35" fillId="8" borderId="172" xfId="0" applyFont="1" applyFill="1" applyBorder="1" applyAlignment="1">
      <alignment horizontal="center" vertical="center" wrapText="1"/>
    </xf>
    <xf numFmtId="0" fontId="35" fillId="8" borderId="17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5" fillId="8" borderId="68" xfId="0" applyFont="1" applyFill="1" applyBorder="1" applyAlignment="1">
      <alignment horizontal="center" vertical="center" wrapText="1"/>
    </xf>
    <xf numFmtId="0" fontId="35" fillId="8" borderId="151" xfId="0" applyFont="1" applyFill="1" applyBorder="1" applyAlignment="1">
      <alignment horizontal="center" vertical="center" wrapText="1"/>
    </xf>
    <xf numFmtId="0" fontId="35" fillId="8" borderId="69" xfId="0" applyFont="1" applyFill="1" applyBorder="1" applyAlignment="1">
      <alignment horizontal="center" vertical="center" wrapText="1"/>
    </xf>
    <xf numFmtId="0" fontId="35" fillId="8" borderId="11" xfId="0" applyFont="1" applyFill="1" applyBorder="1" applyAlignment="1">
      <alignment horizontal="center" vertical="center" wrapText="1"/>
    </xf>
    <xf numFmtId="0" fontId="35" fillId="8" borderId="16" xfId="0" applyFont="1" applyFill="1" applyBorder="1" applyAlignment="1">
      <alignment horizontal="center" vertical="center" wrapText="1"/>
    </xf>
    <xf numFmtId="0" fontId="35" fillId="8" borderId="194" xfId="0" applyFont="1" applyFill="1" applyBorder="1" applyAlignment="1">
      <alignment horizontal="center" vertical="center"/>
    </xf>
    <xf numFmtId="0" fontId="35" fillId="8" borderId="168" xfId="0" applyFont="1" applyFill="1" applyBorder="1" applyAlignment="1">
      <alignment horizontal="center" vertical="center"/>
    </xf>
    <xf numFmtId="0" fontId="35" fillId="8" borderId="19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9" fontId="35" fillId="8" borderId="64" xfId="0" applyNumberFormat="1" applyFont="1" applyFill="1" applyBorder="1" applyAlignment="1">
      <alignment horizontal="center" vertical="center" wrapText="1"/>
    </xf>
    <xf numFmtId="169" fontId="35" fillId="8" borderId="146" xfId="0" applyNumberFormat="1" applyFont="1" applyFill="1" applyBorder="1" applyAlignment="1">
      <alignment horizontal="center" vertical="center" wrapText="1"/>
    </xf>
    <xf numFmtId="3" fontId="35" fillId="8" borderId="64" xfId="0" applyNumberFormat="1" applyFont="1" applyFill="1" applyBorder="1" applyAlignment="1">
      <alignment horizontal="center" vertical="center" wrapText="1"/>
    </xf>
    <xf numFmtId="3" fontId="35" fillId="8" borderId="146" xfId="0" applyNumberFormat="1" applyFont="1" applyFill="1" applyBorder="1" applyAlignment="1">
      <alignment horizontal="center" vertical="center" wrapText="1"/>
    </xf>
    <xf numFmtId="3" fontId="35" fillId="8" borderId="145" xfId="0" applyNumberFormat="1" applyFont="1" applyFill="1" applyBorder="1" applyAlignment="1">
      <alignment horizontal="center" vertical="center" wrapText="1"/>
    </xf>
    <xf numFmtId="3" fontId="35" fillId="8" borderId="149" xfId="0" applyNumberFormat="1" applyFont="1" applyFill="1" applyBorder="1" applyAlignment="1">
      <alignment horizontal="center" vertical="center" wrapText="1"/>
    </xf>
    <xf numFmtId="49" fontId="35" fillId="8" borderId="65" xfId="0" applyNumberFormat="1" applyFont="1" applyFill="1" applyBorder="1" applyAlignment="1">
      <alignment horizontal="center" vertical="center" wrapText="1"/>
    </xf>
    <xf numFmtId="49" fontId="35" fillId="8" borderId="150" xfId="0" applyNumberFormat="1" applyFont="1" applyFill="1" applyBorder="1" applyAlignment="1">
      <alignment horizontal="center" vertical="center" wrapText="1"/>
    </xf>
    <xf numFmtId="49" fontId="35" fillId="8" borderId="153" xfId="0" applyNumberFormat="1" applyFont="1" applyFill="1" applyBorder="1" applyAlignment="1">
      <alignment horizontal="center" vertical="center" wrapText="1"/>
    </xf>
    <xf numFmtId="0" fontId="35" fillId="8" borderId="62" xfId="0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35" fillId="8" borderId="63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151" xfId="0" applyFont="1" applyFill="1" applyBorder="1" applyAlignment="1">
      <alignment horizontal="center" vertical="center"/>
    </xf>
    <xf numFmtId="3" fontId="35" fillId="8" borderId="62" xfId="0" applyNumberFormat="1" applyFont="1" applyFill="1" applyBorder="1" applyAlignment="1">
      <alignment horizontal="center" vertical="center" wrapText="1"/>
    </xf>
    <xf numFmtId="3" fontId="35" fillId="8" borderId="7" xfId="0" applyNumberFormat="1" applyFont="1" applyFill="1" applyBorder="1" applyAlignment="1">
      <alignment horizontal="center" vertical="center" wrapText="1"/>
    </xf>
    <xf numFmtId="3" fontId="35" fillId="8" borderId="9" xfId="0" applyNumberFormat="1" applyFont="1" applyFill="1" applyBorder="1" applyAlignment="1">
      <alignment horizontal="center" vertical="center" wrapText="1"/>
    </xf>
    <xf numFmtId="3" fontId="35" fillId="8" borderId="158" xfId="0" applyNumberFormat="1" applyFont="1" applyFill="1" applyBorder="1" applyAlignment="1">
      <alignment horizontal="center" vertical="center" wrapText="1"/>
    </xf>
    <xf numFmtId="3" fontId="35" fillId="8" borderId="63" xfId="0" applyNumberFormat="1" applyFont="1" applyFill="1" applyBorder="1" applyAlignment="1">
      <alignment horizontal="center" vertical="center" wrapText="1"/>
    </xf>
    <xf numFmtId="3" fontId="35" fillId="8" borderId="10" xfId="0" applyNumberFormat="1" applyFont="1" applyFill="1" applyBorder="1" applyAlignment="1">
      <alignment horizontal="center" vertical="center" wrapText="1"/>
    </xf>
    <xf numFmtId="3" fontId="35" fillId="8" borderId="12" xfId="0" applyNumberFormat="1" applyFont="1" applyFill="1" applyBorder="1" applyAlignment="1">
      <alignment horizontal="center" vertical="center" wrapText="1"/>
    </xf>
    <xf numFmtId="3" fontId="35" fillId="8" borderId="15" xfId="0" applyNumberFormat="1" applyFont="1" applyFill="1" applyBorder="1" applyAlignment="1">
      <alignment horizontal="center" vertical="center" wrapText="1"/>
    </xf>
    <xf numFmtId="3" fontId="35" fillId="8" borderId="151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29" fillId="0" borderId="139" xfId="0" applyFont="1" applyBorder="1" applyAlignment="1">
      <alignment horizontal="center"/>
    </xf>
    <xf numFmtId="49" fontId="35" fillId="8" borderId="127" xfId="0" applyNumberFormat="1" applyFont="1" applyFill="1" applyBorder="1" applyAlignment="1">
      <alignment horizontal="center" vertical="center" wrapText="1"/>
    </xf>
    <xf numFmtId="49" fontId="35" fillId="8" borderId="28" xfId="0" applyNumberFormat="1" applyFont="1" applyFill="1" applyBorder="1" applyAlignment="1">
      <alignment horizontal="center" vertical="center" wrapText="1"/>
    </xf>
    <xf numFmtId="49" fontId="35" fillId="8" borderId="137" xfId="0" applyNumberFormat="1" applyFont="1" applyFill="1" applyBorder="1" applyAlignment="1">
      <alignment horizontal="center" vertical="center" wrapText="1"/>
    </xf>
    <xf numFmtId="0" fontId="35" fillId="8" borderId="123" xfId="0" applyFont="1" applyFill="1" applyBorder="1" applyAlignment="1">
      <alignment horizontal="center" vertical="center"/>
    </xf>
    <xf numFmtId="0" fontId="35" fillId="8" borderId="52" xfId="0" applyFont="1" applyFill="1" applyBorder="1" applyAlignment="1">
      <alignment horizontal="center" vertical="center"/>
    </xf>
    <xf numFmtId="0" fontId="35" fillId="8" borderId="138" xfId="0" applyFont="1" applyFill="1" applyBorder="1" applyAlignment="1">
      <alignment horizontal="center" vertical="center"/>
    </xf>
    <xf numFmtId="0" fontId="35" fillId="8" borderId="131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35" fillId="8" borderId="140" xfId="0" applyFont="1" applyFill="1" applyBorder="1" applyAlignment="1">
      <alignment horizontal="center" vertical="center"/>
    </xf>
    <xf numFmtId="3" fontId="35" fillId="8" borderId="159" xfId="0" applyNumberFormat="1" applyFont="1" applyFill="1" applyBorder="1" applyAlignment="1">
      <alignment horizontal="center" vertical="center" wrapText="1"/>
    </xf>
    <xf numFmtId="3" fontId="35" fillId="8" borderId="160" xfId="0" applyNumberFormat="1" applyFont="1" applyFill="1" applyBorder="1" applyAlignment="1">
      <alignment horizontal="center" vertical="center" wrapText="1"/>
    </xf>
    <xf numFmtId="3" fontId="35" fillId="8" borderId="28" xfId="0" applyNumberFormat="1" applyFont="1" applyFill="1" applyBorder="1" applyAlignment="1">
      <alignment horizontal="center" vertical="center" wrapText="1"/>
    </xf>
    <xf numFmtId="3" fontId="35" fillId="8" borderId="52" xfId="0" applyNumberFormat="1" applyFont="1" applyFill="1" applyBorder="1" applyAlignment="1">
      <alignment horizontal="center" vertical="center" wrapText="1"/>
    </xf>
    <xf numFmtId="3" fontId="35" fillId="8" borderId="161" xfId="0" applyNumberFormat="1" applyFont="1" applyFill="1" applyBorder="1" applyAlignment="1">
      <alignment horizontal="center" vertical="center" wrapText="1"/>
    </xf>
    <xf numFmtId="3" fontId="35" fillId="8" borderId="162" xfId="0" applyNumberFormat="1" applyFont="1" applyFill="1" applyBorder="1" applyAlignment="1">
      <alignment horizontal="center" vertical="center" wrapText="1"/>
    </xf>
    <xf numFmtId="169" fontId="35" fillId="8" borderId="199" xfId="0" applyNumberFormat="1" applyFont="1" applyFill="1" applyBorder="1" applyAlignment="1">
      <alignment horizontal="center" vertical="center" wrapText="1"/>
    </xf>
    <xf numFmtId="169" fontId="35" fillId="8" borderId="200" xfId="0" applyNumberFormat="1" applyFont="1" applyFill="1" applyBorder="1" applyAlignment="1">
      <alignment horizontal="center" vertical="center" wrapText="1"/>
    </xf>
    <xf numFmtId="169" fontId="35" fillId="8" borderId="201" xfId="0" applyNumberFormat="1" applyFont="1" applyFill="1" applyBorder="1" applyAlignment="1">
      <alignment horizontal="center" vertical="center" wrapText="1"/>
    </xf>
    <xf numFmtId="169" fontId="35" fillId="8" borderId="202" xfId="0" applyNumberFormat="1" applyFont="1" applyFill="1" applyBorder="1" applyAlignment="1">
      <alignment horizontal="center" vertical="center" wrapText="1"/>
    </xf>
    <xf numFmtId="169" fontId="35" fillId="8" borderId="203" xfId="0" applyNumberFormat="1" applyFont="1" applyFill="1" applyBorder="1" applyAlignment="1">
      <alignment horizontal="center" vertical="center" wrapText="1"/>
    </xf>
    <xf numFmtId="169" fontId="35" fillId="8" borderId="204" xfId="0" applyNumberFormat="1" applyFont="1" applyFill="1" applyBorder="1" applyAlignment="1">
      <alignment horizontal="center" vertical="center" wrapText="1"/>
    </xf>
    <xf numFmtId="0" fontId="35" fillId="8" borderId="183" xfId="0" applyFont="1" applyFill="1" applyBorder="1" applyAlignment="1">
      <alignment horizontal="center" vertical="center" wrapText="1"/>
    </xf>
    <xf numFmtId="0" fontId="35" fillId="8" borderId="187" xfId="0" applyFont="1" applyFill="1" applyBorder="1" applyAlignment="1">
      <alignment horizontal="center" vertical="center" wrapText="1"/>
    </xf>
    <xf numFmtId="0" fontId="35" fillId="8" borderId="191" xfId="0" applyFont="1" applyFill="1" applyBorder="1" applyAlignment="1">
      <alignment horizontal="center" vertical="center" wrapText="1"/>
    </xf>
    <xf numFmtId="0" fontId="35" fillId="8" borderId="9" xfId="0" applyFont="1" applyFill="1" applyBorder="1" applyAlignment="1">
      <alignment horizontal="center" vertical="center" wrapText="1"/>
    </xf>
    <xf numFmtId="0" fontId="35" fillId="8" borderId="85" xfId="0" applyFont="1" applyFill="1" applyBorder="1" applyAlignment="1">
      <alignment horizontal="center" vertical="center" wrapText="1"/>
    </xf>
    <xf numFmtId="0" fontId="35" fillId="8" borderId="1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8" borderId="156" xfId="0" applyFont="1" applyFill="1" applyBorder="1" applyAlignment="1">
      <alignment horizontal="center" vertical="center" wrapText="1"/>
    </xf>
    <xf numFmtId="0" fontId="35" fillId="8" borderId="84" xfId="0" applyFont="1" applyFill="1" applyBorder="1" applyAlignment="1">
      <alignment horizontal="center" vertical="center" wrapText="1"/>
    </xf>
    <xf numFmtId="0" fontId="35" fillId="8" borderId="188" xfId="0" applyFont="1" applyFill="1" applyBorder="1" applyAlignment="1">
      <alignment horizontal="center" vertical="center"/>
    </xf>
    <xf numFmtId="0" fontId="35" fillId="8" borderId="189" xfId="0" applyFont="1" applyFill="1" applyBorder="1" applyAlignment="1">
      <alignment horizontal="center" vertical="center"/>
    </xf>
    <xf numFmtId="0" fontId="35" fillId="8" borderId="190" xfId="0" applyFont="1" applyFill="1" applyBorder="1" applyAlignment="1">
      <alignment horizontal="center" vertical="center"/>
    </xf>
    <xf numFmtId="0" fontId="6" fillId="7" borderId="177" xfId="0" applyFont="1" applyFill="1" applyBorder="1" applyAlignment="1">
      <alignment horizontal="center" vertical="center" wrapText="1"/>
    </xf>
    <xf numFmtId="0" fontId="6" fillId="7" borderId="178" xfId="0" applyFont="1" applyFill="1" applyBorder="1" applyAlignment="1">
      <alignment horizontal="center" vertical="center" wrapText="1"/>
    </xf>
    <xf numFmtId="0" fontId="6" fillId="7" borderId="179" xfId="0" applyFont="1" applyFill="1" applyBorder="1" applyAlignment="1">
      <alignment horizontal="center" vertical="center" wrapText="1"/>
    </xf>
    <xf numFmtId="0" fontId="6" fillId="7" borderId="180" xfId="0" applyFont="1" applyFill="1" applyBorder="1" applyAlignment="1">
      <alignment horizontal="center" vertical="center" wrapText="1"/>
    </xf>
    <xf numFmtId="0" fontId="6" fillId="7" borderId="157" xfId="0" applyFont="1" applyFill="1" applyBorder="1" applyAlignment="1">
      <alignment horizontal="center" vertical="center"/>
    </xf>
    <xf numFmtId="0" fontId="6" fillId="7" borderId="141" xfId="0" applyFont="1" applyFill="1" applyBorder="1" applyAlignment="1">
      <alignment horizontal="center" vertical="center"/>
    </xf>
    <xf numFmtId="0" fontId="6" fillId="7" borderId="207" xfId="0" applyFont="1" applyFill="1" applyBorder="1" applyAlignment="1">
      <alignment horizontal="center" vertical="center"/>
    </xf>
    <xf numFmtId="0" fontId="6" fillId="7" borderId="189" xfId="0" applyFont="1" applyFill="1" applyBorder="1" applyAlignment="1">
      <alignment horizontal="center" vertical="center"/>
    </xf>
    <xf numFmtId="0" fontId="6" fillId="7" borderId="176" xfId="0" applyFont="1" applyFill="1" applyBorder="1" applyAlignment="1">
      <alignment horizontal="center" vertic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2948"/>
      <color rgb="FF000099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106680</xdr:rowOff>
    </xdr:from>
    <xdr:to>
      <xdr:col>5</xdr:col>
      <xdr:colOff>30480</xdr:colOff>
      <xdr:row>2</xdr:row>
      <xdr:rowOff>236220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4320"/>
          <a:ext cx="573786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A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RESUMEN DEL PRESUPUESTO AL MES DE AGOSTO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0</xdr:rowOff>
    </xdr:from>
    <xdr:to>
      <xdr:col>0</xdr:col>
      <xdr:colOff>238125</xdr:colOff>
      <xdr:row>40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57</xdr:row>
      <xdr:rowOff>209550</xdr:rowOff>
    </xdr:from>
    <xdr:to>
      <xdr:col>11</xdr:col>
      <xdr:colOff>771525</xdr:colOff>
      <xdr:row>59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632D34-376C-8AD6-98FA-10130424C548}"/>
            </a:ext>
          </a:extLst>
        </xdr:cNvPr>
        <xdr:cNvSpPr txBox="1"/>
      </xdr:nvSpPr>
      <xdr:spPr>
        <a:xfrm>
          <a:off x="104775" y="11410950"/>
          <a:ext cx="8877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100" b="1"/>
            <a:t>(P)</a:t>
          </a:r>
          <a:r>
            <a:rPr lang="es-PA" sz="1100" baseline="0"/>
            <a:t> Preliminar: Se esta trabajando en los ajustes por la contención del Gasto y el Sistema de Información Presupuestaria Administrativo y Financiero.</a:t>
          </a:r>
          <a:endParaRPr lang="es-P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45</xdr:row>
      <xdr:rowOff>28575</xdr:rowOff>
    </xdr:from>
    <xdr:to>
      <xdr:col>2</xdr:col>
      <xdr:colOff>800100</xdr:colOff>
      <xdr:row>48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4655BE-0E62-37F2-B641-BA87FA141357}"/>
            </a:ext>
          </a:extLst>
        </xdr:cNvPr>
        <xdr:cNvSpPr txBox="1"/>
      </xdr:nvSpPr>
      <xdr:spPr>
        <a:xfrm>
          <a:off x="47625" y="12534900"/>
          <a:ext cx="640080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100"/>
            <a:t>NOTA: Se</a:t>
          </a:r>
          <a:r>
            <a:rPr lang="es-PA" sz="1100" baseline="0"/>
            <a:t> esta en proceso de liberación de topes presupuestarios para compensar aquellos compromisos que habían sido registrado en nuestro sistema (SIPAF) y no el SRPG.</a:t>
          </a:r>
          <a:endParaRPr lang="es-P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to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-9"/>
      <sheetName val="C-10"/>
      <sheetName val="Ing.corr-k"/>
      <sheetName val="CA1"/>
      <sheetName val="CA2"/>
      <sheetName val="C-A3"/>
      <sheetName val="C-A4"/>
      <sheetName val="C-A5"/>
      <sheetName val="C-A6"/>
      <sheetName val="C-A6C"/>
      <sheetName val="C-A7"/>
      <sheetName val="C-A8A"/>
      <sheetName val="INVxOBJETO"/>
      <sheetName val="TRASLADO"/>
      <sheetName val="PTO LEY 2020-2021"/>
      <sheetName val="POR GRUPO"/>
      <sheetName val="Hoja4"/>
      <sheetName val="Hoja5"/>
      <sheetName val="Hoja1"/>
      <sheetName val="Hoja2"/>
      <sheetName val="C-A8"/>
      <sheetName val="Hoja6"/>
      <sheetName val="C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B11" t="str">
            <v xml:space="preserve"> I  Ingresos Corrientes</v>
          </cell>
          <cell r="C11">
            <v>141094806</v>
          </cell>
          <cell r="D11">
            <v>141094806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H33"/>
  <sheetViews>
    <sheetView showGridLines="0" showZeros="0" workbookViewId="0">
      <selection activeCell="B6" sqref="B6:B7"/>
    </sheetView>
  </sheetViews>
  <sheetFormatPr baseColWidth="10" defaultColWidth="11.42578125" defaultRowHeight="12.75"/>
  <cols>
    <col min="1" max="1" width="35.7109375" style="9" customWidth="1"/>
    <col min="2" max="2" width="15.28515625" customWidth="1"/>
    <col min="3" max="3" width="15.42578125" hidden="1" customWidth="1"/>
    <col min="4" max="4" width="15.42578125" customWidth="1"/>
    <col min="5" max="5" width="16.7109375" customWidth="1"/>
  </cols>
  <sheetData>
    <row r="1" spans="1:7">
      <c r="A1"/>
    </row>
    <row r="2" spans="1:7">
      <c r="A2"/>
    </row>
    <row r="3" spans="1:7" ht="31.9" customHeight="1">
      <c r="A3"/>
    </row>
    <row r="4" spans="1:7" ht="6.95" customHeight="1">
      <c r="A4" s="567" t="s">
        <v>0</v>
      </c>
      <c r="B4" s="442"/>
      <c r="C4" s="442"/>
      <c r="D4" s="442"/>
      <c r="E4" s="442"/>
    </row>
    <row r="5" spans="1:7">
      <c r="A5" s="568"/>
      <c r="B5" s="570" t="s">
        <v>360</v>
      </c>
      <c r="C5" s="571"/>
      <c r="D5" s="571"/>
      <c r="E5" s="571"/>
    </row>
    <row r="6" spans="1:7" ht="20.25" customHeight="1">
      <c r="A6" s="568"/>
      <c r="B6" s="443" t="s">
        <v>84</v>
      </c>
      <c r="C6" s="443" t="s">
        <v>12</v>
      </c>
      <c r="D6" s="444" t="s">
        <v>439</v>
      </c>
      <c r="E6" s="443" t="s">
        <v>13</v>
      </c>
    </row>
    <row r="7" spans="1:7" ht="6.6" customHeight="1">
      <c r="A7" s="569"/>
      <c r="B7" s="445"/>
      <c r="C7" s="445"/>
      <c r="D7" s="446"/>
      <c r="E7" s="445"/>
    </row>
    <row r="8" spans="1:7" ht="13.15" customHeight="1">
      <c r="A8" s="49"/>
      <c r="B8" s="314"/>
      <c r="C8" s="314"/>
      <c r="D8" s="447"/>
    </row>
    <row r="9" spans="1:7" ht="24.6" customHeight="1">
      <c r="A9" s="448" t="s">
        <v>24</v>
      </c>
      <c r="B9" s="449">
        <f>SUM(B11:B13)</f>
        <v>198000000</v>
      </c>
      <c r="C9" s="449">
        <f>SUM(C11:C13)</f>
        <v>0</v>
      </c>
      <c r="D9" s="450">
        <f>SUM(D11:D13)</f>
        <v>167163634</v>
      </c>
      <c r="E9" s="449">
        <f>SUM(E11:E13)</f>
        <v>65154927</v>
      </c>
    </row>
    <row r="10" spans="1:7" ht="15">
      <c r="A10" s="451"/>
      <c r="B10" s="453"/>
      <c r="C10" s="452"/>
      <c r="D10" s="453"/>
      <c r="E10" s="452"/>
    </row>
    <row r="11" spans="1:7">
      <c r="A11" s="454" t="s">
        <v>309</v>
      </c>
      <c r="B11" s="456">
        <f>+RECAUDACION!C11</f>
        <v>141094806</v>
      </c>
      <c r="C11" s="455"/>
      <c r="D11" s="456">
        <v>140457693</v>
      </c>
      <c r="E11" s="455">
        <v>52268254</v>
      </c>
    </row>
    <row r="12" spans="1:7">
      <c r="A12" s="454"/>
      <c r="B12" s="456"/>
      <c r="C12" s="455"/>
      <c r="D12" s="456"/>
      <c r="E12" s="455"/>
      <c r="F12" s="36"/>
    </row>
    <row r="13" spans="1:7">
      <c r="A13" s="454" t="s">
        <v>310</v>
      </c>
      <c r="B13" s="456">
        <f>+RECAUDACION!C34</f>
        <v>56905194</v>
      </c>
      <c r="C13" s="455"/>
      <c r="D13" s="456">
        <v>26705941</v>
      </c>
      <c r="E13" s="455">
        <f>+RECAUDACION!G34</f>
        <v>12886673</v>
      </c>
      <c r="G13" s="1"/>
    </row>
    <row r="14" spans="1:7" ht="15">
      <c r="A14" s="451"/>
      <c r="B14" s="458"/>
      <c r="C14" s="457"/>
      <c r="D14" s="458"/>
      <c r="E14" s="457"/>
    </row>
    <row r="15" spans="1:7" ht="15">
      <c r="A15" s="451"/>
      <c r="B15" s="458"/>
      <c r="C15" s="457"/>
      <c r="D15" s="458"/>
      <c r="E15" s="457"/>
    </row>
    <row r="16" spans="1:7" ht="22.15" customHeight="1">
      <c r="A16" s="448" t="s">
        <v>311</v>
      </c>
      <c r="B16" s="460">
        <f>+B18+B25</f>
        <v>198000000</v>
      </c>
      <c r="C16" s="459">
        <f>+C18+C25</f>
        <v>0</v>
      </c>
      <c r="D16" s="460">
        <f>+D18+D25</f>
        <v>167163634</v>
      </c>
      <c r="E16" s="459">
        <f>+E18+E25-1</f>
        <v>106890257.60000001</v>
      </c>
    </row>
    <row r="17" spans="1:8" ht="16.899999999999999" customHeight="1">
      <c r="A17" s="451"/>
      <c r="B17" s="458"/>
      <c r="C17" s="457"/>
      <c r="D17" s="458"/>
      <c r="E17" s="457"/>
    </row>
    <row r="18" spans="1:8" ht="24.6" customHeight="1">
      <c r="A18" s="461" t="s">
        <v>31</v>
      </c>
      <c r="B18" s="462">
        <f>+B19+B21+B23</f>
        <v>141094806</v>
      </c>
      <c r="C18" s="462">
        <f>SUM(C19:C23)</f>
        <v>0</v>
      </c>
      <c r="D18" s="463">
        <f>SUM(D19:D23)</f>
        <v>140457693</v>
      </c>
      <c r="E18" s="462">
        <f>+E19+E21+E23</f>
        <v>81242998.310000002</v>
      </c>
      <c r="F18" s="1" t="s">
        <v>40</v>
      </c>
      <c r="H18" t="s">
        <v>6</v>
      </c>
    </row>
    <row r="19" spans="1:8" ht="22.5" customHeight="1">
      <c r="A19" s="49" t="s">
        <v>352</v>
      </c>
      <c r="B19" s="455">
        <f>+'EST PROG'!C11</f>
        <v>52074126</v>
      </c>
      <c r="C19" s="455"/>
      <c r="D19" s="456">
        <f>+'EST PROG'!D11</f>
        <v>54205087</v>
      </c>
      <c r="E19" s="455">
        <f>+'EST PROG'!G11</f>
        <v>29072813.620000001</v>
      </c>
      <c r="H19" t="s">
        <v>6</v>
      </c>
    </row>
    <row r="20" spans="1:8">
      <c r="A20" s="49"/>
      <c r="B20" s="455">
        <f>+'PROYECTOS INV'!D1</f>
        <v>0</v>
      </c>
      <c r="C20" s="455"/>
      <c r="D20" s="456"/>
      <c r="E20" s="455">
        <f>+'PROYECTOS INV'!F1</f>
        <v>0</v>
      </c>
      <c r="H20" t="s">
        <v>6</v>
      </c>
    </row>
    <row r="21" spans="1:8">
      <c r="A21" s="49" t="s">
        <v>353</v>
      </c>
      <c r="B21" s="455">
        <f>+'EST PROG'!C21</f>
        <v>73122532</v>
      </c>
      <c r="C21" s="455"/>
      <c r="D21" s="456">
        <f>+'EST PROG'!D21</f>
        <v>72146082</v>
      </c>
      <c r="E21" s="455">
        <f>+'EST PROG'!G21</f>
        <v>44395036.049999997</v>
      </c>
      <c r="H21" t="s">
        <v>6</v>
      </c>
    </row>
    <row r="22" spans="1:8">
      <c r="A22" s="49" t="s">
        <v>6</v>
      </c>
      <c r="B22" s="455">
        <f>+'PROYECTOS INV'!D3</f>
        <v>0</v>
      </c>
      <c r="C22" s="455"/>
      <c r="D22" s="456"/>
      <c r="E22" s="455">
        <f>+'PROYECTOS INV'!F3</f>
        <v>0</v>
      </c>
      <c r="H22" t="s">
        <v>6</v>
      </c>
    </row>
    <row r="23" spans="1:8">
      <c r="A23" s="49" t="s">
        <v>358</v>
      </c>
      <c r="B23" s="455">
        <f>+'EST PROG'!C29</f>
        <v>15898148</v>
      </c>
      <c r="C23" s="455"/>
      <c r="D23" s="456">
        <f>+'EST PROG'!D29</f>
        <v>14106524</v>
      </c>
      <c r="E23" s="455">
        <f>+'EST PROG'!G29</f>
        <v>7775148.6399999997</v>
      </c>
    </row>
    <row r="24" spans="1:8" ht="27.6" customHeight="1">
      <c r="A24" s="451"/>
      <c r="B24" s="457"/>
      <c r="C24" s="457"/>
      <c r="D24" s="458"/>
      <c r="E24" s="457"/>
    </row>
    <row r="25" spans="1:8" ht="21" customHeight="1">
      <c r="A25" s="461" t="s">
        <v>32</v>
      </c>
      <c r="B25" s="462">
        <f>+B26+B28+B30</f>
        <v>56905194</v>
      </c>
      <c r="C25" s="462">
        <f>SUM(C26:C30)</f>
        <v>0</v>
      </c>
      <c r="D25" s="463">
        <f>SUM(D26:D30)</f>
        <v>26705941</v>
      </c>
      <c r="E25" s="462">
        <f>+E26+E28+E30</f>
        <v>25647260.290000003</v>
      </c>
      <c r="F25" s="1" t="s">
        <v>6</v>
      </c>
    </row>
    <row r="26" spans="1:8" ht="23.25" customHeight="1">
      <c r="A26" s="49" t="s">
        <v>312</v>
      </c>
      <c r="B26" s="455">
        <f>+'PROYECTOS INV'!B8</f>
        <v>27799680</v>
      </c>
      <c r="C26" s="455"/>
      <c r="D26" s="456">
        <f>+'PROYECTOS INV'!C8</f>
        <v>9400097</v>
      </c>
      <c r="E26" s="455">
        <f>+'PROYECTOS INV'!F8</f>
        <v>10552579.790000001</v>
      </c>
    </row>
    <row r="27" spans="1:8">
      <c r="A27" s="49"/>
      <c r="B27" s="455"/>
      <c r="C27" s="455"/>
      <c r="D27" s="456"/>
      <c r="E27" s="455" t="s">
        <v>6</v>
      </c>
    </row>
    <row r="28" spans="1:8">
      <c r="A28" s="49" t="s">
        <v>313</v>
      </c>
      <c r="B28" s="455">
        <f>+'PROYECTOS INV'!B16</f>
        <v>15761574</v>
      </c>
      <c r="C28" s="455"/>
      <c r="D28" s="456">
        <f>+'PROYECTOS INV'!C16</f>
        <v>8710851</v>
      </c>
      <c r="E28" s="455">
        <f>+'PROYECTOS INV'!F16</f>
        <v>7951714.1300000018</v>
      </c>
    </row>
    <row r="29" spans="1:8">
      <c r="A29" s="49"/>
      <c r="B29" s="1"/>
      <c r="C29" s="1"/>
      <c r="D29" s="464"/>
      <c r="E29" s="1" t="s">
        <v>6</v>
      </c>
    </row>
    <row r="30" spans="1:8">
      <c r="A30" s="49" t="s">
        <v>351</v>
      </c>
      <c r="B30" s="455">
        <f>+'PROYECTOS INV'!B33</f>
        <v>13343940</v>
      </c>
      <c r="C30" s="455"/>
      <c r="D30" s="456">
        <f>+'PROYECTOS INV'!C33</f>
        <v>8594993</v>
      </c>
      <c r="E30" s="455">
        <f>+'PROYECTOS INV'!F33</f>
        <v>7142966.3700000001</v>
      </c>
    </row>
    <row r="31" spans="1:8" ht="15">
      <c r="A31" s="451"/>
      <c r="B31" s="48"/>
      <c r="C31" s="48"/>
      <c r="D31" s="465"/>
      <c r="E31" s="466"/>
    </row>
    <row r="32" spans="1:8">
      <c r="A32" s="137"/>
      <c r="B32" s="137"/>
      <c r="C32" s="137"/>
      <c r="D32" s="137"/>
      <c r="E32" s="137"/>
    </row>
    <row r="33" spans="1:2">
      <c r="A33" s="572" t="s">
        <v>481</v>
      </c>
      <c r="B33" s="572"/>
    </row>
  </sheetData>
  <mergeCells count="3">
    <mergeCell ref="A4:A7"/>
    <mergeCell ref="B5:E5"/>
    <mergeCell ref="A33:B33"/>
  </mergeCells>
  <phoneticPr fontId="2" type="noConversion"/>
  <pageMargins left="0.9448818897637796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50"/>
  </sheetPr>
  <dimension ref="A1:O127"/>
  <sheetViews>
    <sheetView showGridLines="0" showZeros="0" topLeftCell="A235" workbookViewId="0">
      <pane ySplit="1830" activePane="bottomLeft"/>
      <selection activeCell="F203" sqref="F203"/>
      <selection pane="bottomLeft" activeCell="B13" sqref="B13"/>
    </sheetView>
  </sheetViews>
  <sheetFormatPr baseColWidth="10" defaultColWidth="11" defaultRowHeight="12.75"/>
  <cols>
    <col min="1" max="1" width="14.85546875" style="2" customWidth="1"/>
    <col min="2" max="2" width="41.140625" style="9" customWidth="1"/>
    <col min="3" max="4" width="12.85546875" style="9" customWidth="1"/>
    <col min="5" max="6" width="12.42578125" style="9" customWidth="1"/>
    <col min="7" max="7" width="11.5703125" style="9" customWidth="1"/>
    <col min="8" max="8" width="13" style="9" customWidth="1"/>
    <col min="9" max="9" width="12.5703125" style="2" customWidth="1"/>
    <col min="10" max="10" width="25.7109375" style="2" hidden="1" customWidth="1"/>
    <col min="11" max="12" width="11" style="2"/>
    <col min="13" max="13" width="12.7109375" style="2" hidden="1" customWidth="1"/>
    <col min="14" max="16384" width="11" style="2"/>
  </cols>
  <sheetData>
    <row r="1" spans="1:15" ht="21.75" customHeight="1">
      <c r="A1"/>
      <c r="B1" s="576" t="s">
        <v>375</v>
      </c>
      <c r="C1" s="576"/>
      <c r="D1" s="576"/>
      <c r="E1" s="576"/>
      <c r="F1" s="576"/>
      <c r="G1" s="576"/>
      <c r="H1" s="576"/>
      <c r="I1" s="576"/>
      <c r="J1" s="15"/>
      <c r="K1" s="15"/>
      <c r="L1" s="15"/>
      <c r="M1" s="15"/>
    </row>
    <row r="2" spans="1:15" ht="18" customHeight="1">
      <c r="A2"/>
      <c r="B2" s="576" t="s">
        <v>376</v>
      </c>
      <c r="C2" s="576"/>
      <c r="D2" s="576"/>
      <c r="E2" s="576"/>
      <c r="F2" s="576"/>
      <c r="G2" s="576"/>
      <c r="H2" s="576"/>
      <c r="I2" s="576"/>
      <c r="J2" s="15"/>
      <c r="K2" s="15"/>
      <c r="L2" s="15"/>
      <c r="M2" s="15"/>
    </row>
    <row r="3" spans="1:15" ht="15">
      <c r="A3"/>
      <c r="B3" s="577" t="s">
        <v>515</v>
      </c>
      <c r="C3" s="577"/>
      <c r="D3" s="577"/>
      <c r="E3" s="577"/>
      <c r="F3" s="577"/>
      <c r="G3" s="577"/>
      <c r="H3" s="577"/>
      <c r="I3" s="577"/>
    </row>
    <row r="4" spans="1:15" ht="20.25" customHeight="1">
      <c r="A4"/>
      <c r="B4" s="577" t="s">
        <v>543</v>
      </c>
      <c r="C4" s="577"/>
      <c r="D4" s="577"/>
      <c r="E4" s="577"/>
      <c r="F4" s="577"/>
      <c r="G4" s="577"/>
      <c r="H4" s="577"/>
      <c r="I4" s="577"/>
    </row>
    <row r="5" spans="1:15" ht="9.75" customHeight="1">
      <c r="A5"/>
      <c r="B5" s="148"/>
      <c r="C5" s="148"/>
      <c r="D5" s="148"/>
      <c r="E5" s="148"/>
      <c r="F5" s="148"/>
      <c r="G5" s="148"/>
      <c r="H5"/>
      <c r="I5" t="s">
        <v>6</v>
      </c>
    </row>
    <row r="6" spans="1:15" ht="24" customHeight="1">
      <c r="A6" s="574" t="s">
        <v>410</v>
      </c>
      <c r="B6" s="578" t="s">
        <v>0</v>
      </c>
      <c r="C6" s="582" t="s">
        <v>33</v>
      </c>
      <c r="D6" s="583"/>
      <c r="E6" s="584"/>
      <c r="F6" s="580" t="s">
        <v>37</v>
      </c>
      <c r="G6" s="580"/>
      <c r="H6" s="581" t="s">
        <v>1</v>
      </c>
      <c r="I6" s="581"/>
    </row>
    <row r="7" spans="1:15" ht="34.5" customHeight="1">
      <c r="A7" s="575"/>
      <c r="B7" s="579"/>
      <c r="C7" s="149" t="s">
        <v>84</v>
      </c>
      <c r="D7" s="150" t="s">
        <v>525</v>
      </c>
      <c r="E7" s="151" t="s">
        <v>2</v>
      </c>
      <c r="F7" s="152" t="s">
        <v>38</v>
      </c>
      <c r="G7" s="153" t="s">
        <v>3</v>
      </c>
      <c r="H7" s="154" t="s">
        <v>4</v>
      </c>
      <c r="I7" s="155" t="s">
        <v>363</v>
      </c>
    </row>
    <row r="8" spans="1:15" ht="8.25" customHeight="1">
      <c r="A8" s="49"/>
      <c r="B8" s="156" t="s">
        <v>6</v>
      </c>
      <c r="C8" s="156"/>
      <c r="D8" s="147"/>
      <c r="E8" s="157"/>
      <c r="F8" s="147"/>
      <c r="G8" s="147"/>
      <c r="H8" s="158"/>
      <c r="I8" s="159"/>
    </row>
    <row r="9" spans="1:15" ht="21.75" customHeight="1">
      <c r="A9" s="49"/>
      <c r="B9" s="160" t="s">
        <v>7</v>
      </c>
      <c r="C9" s="161">
        <f>+C11+C34</f>
        <v>198000000</v>
      </c>
      <c r="D9" s="162">
        <f>+D11+D34</f>
        <v>167163634</v>
      </c>
      <c r="E9" s="162">
        <f>+E11+E34</f>
        <v>121306851</v>
      </c>
      <c r="F9" s="162">
        <f>+F11+F34</f>
        <v>9074910.3499999996</v>
      </c>
      <c r="G9" s="162">
        <f>J9+F9</f>
        <v>65154927.189999998</v>
      </c>
      <c r="H9" s="529">
        <f>+G9-E9</f>
        <v>-56151923.810000002</v>
      </c>
      <c r="I9" s="164">
        <f>+G9/E9*100</f>
        <v>53.710838796730457</v>
      </c>
      <c r="J9" s="50">
        <v>56080016.839999996</v>
      </c>
      <c r="L9" s="50"/>
      <c r="N9" s="2" t="s">
        <v>6</v>
      </c>
    </row>
    <row r="10" spans="1:15" ht="9.9499999999999993" customHeight="1">
      <c r="A10" s="49"/>
      <c r="B10" s="160"/>
      <c r="C10" s="161"/>
      <c r="D10" s="165"/>
      <c r="E10" s="165"/>
      <c r="F10" s="165"/>
      <c r="G10" s="165"/>
      <c r="H10" s="530"/>
      <c r="I10" s="166"/>
      <c r="N10" s="2" t="s">
        <v>6</v>
      </c>
    </row>
    <row r="11" spans="1:15" ht="21" customHeight="1">
      <c r="A11" s="167" t="s">
        <v>427</v>
      </c>
      <c r="B11" s="167" t="s">
        <v>8</v>
      </c>
      <c r="C11" s="168">
        <f t="shared" ref="C11:G11" si="0">+C13</f>
        <v>141094806</v>
      </c>
      <c r="D11" s="165">
        <f t="shared" si="0"/>
        <v>140457693</v>
      </c>
      <c r="E11" s="165">
        <f t="shared" si="0"/>
        <v>95020910</v>
      </c>
      <c r="F11" s="165">
        <f>+F13</f>
        <v>9074910.3499999996</v>
      </c>
      <c r="G11" s="165">
        <f t="shared" si="0"/>
        <v>52268254.189999998</v>
      </c>
      <c r="H11" s="529">
        <f t="shared" ref="H11:H45" si="1">+G11-E11</f>
        <v>-42752655.810000002</v>
      </c>
      <c r="I11" s="164">
        <f>+G11/E11*100</f>
        <v>55.007107582951996</v>
      </c>
      <c r="J11" s="2">
        <v>43193343.839999996</v>
      </c>
      <c r="M11" s="441">
        <v>77462408</v>
      </c>
    </row>
    <row r="12" spans="1:15" ht="9.9499999999999993" customHeight="1">
      <c r="A12" s="49"/>
      <c r="B12" s="169"/>
      <c r="C12" s="170"/>
      <c r="D12" s="172"/>
      <c r="E12" s="172" t="s">
        <v>6</v>
      </c>
      <c r="F12" s="172"/>
      <c r="G12" s="172"/>
      <c r="H12" s="531"/>
      <c r="I12" s="174" t="s">
        <v>6</v>
      </c>
      <c r="M12" s="441"/>
      <c r="N12" s="2" t="s">
        <v>6</v>
      </c>
      <c r="O12" s="2" t="s">
        <v>6</v>
      </c>
    </row>
    <row r="13" spans="1:15" ht="21" customHeight="1">
      <c r="A13" s="167" t="s">
        <v>412</v>
      </c>
      <c r="B13" s="160" t="s">
        <v>428</v>
      </c>
      <c r="C13" s="161">
        <f>+C15+C21+C26+C31</f>
        <v>141094806</v>
      </c>
      <c r="D13" s="165">
        <f>+D15+D21+D26+D31</f>
        <v>140457693</v>
      </c>
      <c r="E13" s="165">
        <f>+E15+E21+E26+E31</f>
        <v>95020910</v>
      </c>
      <c r="F13" s="165">
        <f>+F15+F21+F26+F31</f>
        <v>9074910.3499999996</v>
      </c>
      <c r="G13" s="165">
        <f>J13+F13</f>
        <v>52268254.189999998</v>
      </c>
      <c r="H13" s="529">
        <f t="shared" si="1"/>
        <v>-42752655.810000002</v>
      </c>
      <c r="I13" s="164">
        <f>+G13/E13*100</f>
        <v>55.007107582951996</v>
      </c>
      <c r="J13" s="129">
        <v>43193343.839999996</v>
      </c>
      <c r="K13" s="3"/>
      <c r="L13" s="441" t="s">
        <v>6</v>
      </c>
      <c r="M13" s="441">
        <v>76576849</v>
      </c>
    </row>
    <row r="14" spans="1:15" ht="9.9499999999999993" customHeight="1">
      <c r="A14" s="167"/>
      <c r="B14" s="175"/>
      <c r="C14" s="176"/>
      <c r="D14" s="172"/>
      <c r="E14" s="172"/>
      <c r="F14" s="172"/>
      <c r="G14" s="172" t="s">
        <v>6</v>
      </c>
      <c r="H14" s="531" t="s">
        <v>6</v>
      </c>
      <c r="I14" s="174" t="s">
        <v>6</v>
      </c>
      <c r="J14" s="3" t="s">
        <v>6</v>
      </c>
      <c r="K14" s="3"/>
      <c r="M14" s="441"/>
    </row>
    <row r="15" spans="1:15" ht="21" customHeight="1">
      <c r="A15" s="167" t="s">
        <v>411</v>
      </c>
      <c r="B15" s="160" t="s">
        <v>488</v>
      </c>
      <c r="C15" s="161">
        <f>+C17</f>
        <v>5476492</v>
      </c>
      <c r="D15" s="165">
        <f>SUM(D18:D19)</f>
        <v>5476492</v>
      </c>
      <c r="E15" s="165">
        <f>E17</f>
        <v>3810208</v>
      </c>
      <c r="F15" s="165">
        <f>SUM(F18:F19)</f>
        <v>80921.25</v>
      </c>
      <c r="G15" s="165">
        <f>G17</f>
        <v>1129967.3</v>
      </c>
      <c r="H15" s="529">
        <f t="shared" si="1"/>
        <v>-2680240.7000000002</v>
      </c>
      <c r="I15" s="164">
        <f>+G15/E15*100</f>
        <v>29.656315350763002</v>
      </c>
      <c r="J15" s="3">
        <v>1049046.05</v>
      </c>
      <c r="K15" s="3"/>
      <c r="M15" s="441">
        <f>+M11-M13</f>
        <v>885559</v>
      </c>
    </row>
    <row r="16" spans="1:15" ht="11.45" customHeight="1">
      <c r="A16" s="167"/>
      <c r="B16" s="160"/>
      <c r="C16" s="161"/>
      <c r="D16" s="172"/>
      <c r="E16" s="165"/>
      <c r="F16" s="165"/>
      <c r="G16" s="165"/>
      <c r="H16" s="529"/>
      <c r="I16" s="164"/>
      <c r="J16" s="3"/>
      <c r="K16" s="3"/>
    </row>
    <row r="17" spans="1:14" ht="19.149999999999999" customHeight="1">
      <c r="A17" s="167" t="s">
        <v>431</v>
      </c>
      <c r="B17" s="177" t="s">
        <v>489</v>
      </c>
      <c r="C17" s="178">
        <f>+C18+C19</f>
        <v>5476492</v>
      </c>
      <c r="D17" s="165">
        <f>+D18+D19</f>
        <v>5476492</v>
      </c>
      <c r="E17" s="165">
        <f>SUM(E18:E19)</f>
        <v>3810208</v>
      </c>
      <c r="F17" s="165">
        <f>SUM(F18:F19)</f>
        <v>80921.25</v>
      </c>
      <c r="G17" s="179">
        <f>J17+F17</f>
        <v>1129967.3</v>
      </c>
      <c r="H17" s="529">
        <f t="shared" si="1"/>
        <v>-2680240.7000000002</v>
      </c>
      <c r="I17" s="174">
        <f>+G17/E17*100</f>
        <v>29.656315350763002</v>
      </c>
      <c r="J17" s="2">
        <v>1049046.05</v>
      </c>
      <c r="M17" s="2">
        <v>5559</v>
      </c>
    </row>
    <row r="18" spans="1:14" ht="24.95" customHeight="1">
      <c r="A18" s="169" t="s">
        <v>471</v>
      </c>
      <c r="B18" s="175" t="s">
        <v>490</v>
      </c>
      <c r="C18" s="176">
        <v>700000</v>
      </c>
      <c r="D18" s="172">
        <v>700000</v>
      </c>
      <c r="E18" s="172">
        <f>58333+58333+58333+58333+58333+58333+58333+58333</f>
        <v>466664</v>
      </c>
      <c r="F18" s="180">
        <v>4055.77</v>
      </c>
      <c r="G18" s="180">
        <f>F18+J18</f>
        <v>379793.31000000006</v>
      </c>
      <c r="H18" s="531">
        <f t="shared" si="1"/>
        <v>-86870.689999999944</v>
      </c>
      <c r="I18" s="174">
        <f>+G18/E18*100</f>
        <v>81.384745769975837</v>
      </c>
      <c r="J18" s="2">
        <v>375737.54000000004</v>
      </c>
      <c r="M18" s="441">
        <v>250000</v>
      </c>
      <c r="N18" s="2" t="s">
        <v>6</v>
      </c>
    </row>
    <row r="19" spans="1:14" ht="24.95" customHeight="1">
      <c r="A19" s="169" t="s">
        <v>413</v>
      </c>
      <c r="B19" s="175" t="s">
        <v>491</v>
      </c>
      <c r="C19" s="176">
        <v>4776492</v>
      </c>
      <c r="D19" s="172">
        <v>4776492</v>
      </c>
      <c r="E19" s="172">
        <f>318433+318433+318433+477649+477649+477649+477649+477649</f>
        <v>3343544</v>
      </c>
      <c r="F19" s="180">
        <v>76865.48</v>
      </c>
      <c r="G19" s="180">
        <f>J19+F19</f>
        <v>750173.99</v>
      </c>
      <c r="H19" s="531">
        <f t="shared" si="1"/>
        <v>-2593370.0099999998</v>
      </c>
      <c r="I19" s="174">
        <f>+G19/E19*100</f>
        <v>22.436492236979682</v>
      </c>
      <c r="J19" s="2">
        <v>673308.51</v>
      </c>
    </row>
    <row r="20" spans="1:14" ht="9.9499999999999993" customHeight="1">
      <c r="A20" s="167"/>
      <c r="B20" s="175" t="s">
        <v>6</v>
      </c>
      <c r="C20" s="176"/>
      <c r="D20" s="172" t="s">
        <v>6</v>
      </c>
      <c r="E20" s="172"/>
      <c r="F20" s="172"/>
      <c r="G20" s="172"/>
      <c r="H20" s="531"/>
      <c r="I20" s="174" t="s">
        <v>6</v>
      </c>
    </row>
    <row r="21" spans="1:14" ht="24.95" customHeight="1">
      <c r="A21" s="167" t="s">
        <v>414</v>
      </c>
      <c r="B21" s="160" t="s">
        <v>415</v>
      </c>
      <c r="C21" s="161">
        <f>+C23</f>
        <v>127866634</v>
      </c>
      <c r="D21" s="165">
        <f>SUM(D23:D23)</f>
        <v>127866634</v>
      </c>
      <c r="E21" s="165">
        <f>SUM(E23)</f>
        <v>86431981</v>
      </c>
      <c r="F21" s="165">
        <f>F23</f>
        <v>8323159</v>
      </c>
      <c r="G21" s="179">
        <f>G23</f>
        <v>45278833</v>
      </c>
      <c r="H21" s="529">
        <f>+G21-E21</f>
        <v>-41153148</v>
      </c>
      <c r="I21" s="164">
        <f>+G21/E21*100</f>
        <v>52.386665764377192</v>
      </c>
      <c r="J21" s="2">
        <v>36955674</v>
      </c>
      <c r="L21" s="2" t="s">
        <v>6</v>
      </c>
      <c r="M21" s="441">
        <f>+M15-M17-M18</f>
        <v>630000</v>
      </c>
    </row>
    <row r="22" spans="1:14" ht="5.25" customHeight="1">
      <c r="A22" s="167"/>
      <c r="B22" s="175"/>
      <c r="C22" s="176"/>
      <c r="D22" s="172"/>
      <c r="E22" s="172"/>
      <c r="F22" s="172"/>
      <c r="G22" s="180">
        <f>F22</f>
        <v>0</v>
      </c>
      <c r="H22" s="531">
        <f t="shared" si="1"/>
        <v>0</v>
      </c>
      <c r="I22" s="174" t="s">
        <v>6</v>
      </c>
      <c r="J22" s="2">
        <v>0</v>
      </c>
    </row>
    <row r="23" spans="1:14" ht="24.75" customHeight="1">
      <c r="A23" s="167" t="s">
        <v>416</v>
      </c>
      <c r="B23" s="160" t="s">
        <v>492</v>
      </c>
      <c r="C23" s="161">
        <f>+C25</f>
        <v>127866634</v>
      </c>
      <c r="D23" s="165">
        <f>+D25</f>
        <v>127866634</v>
      </c>
      <c r="E23" s="165">
        <f>E25</f>
        <v>86431981</v>
      </c>
      <c r="F23" s="165">
        <f>F25</f>
        <v>8323159</v>
      </c>
      <c r="G23" s="179">
        <f>G25</f>
        <v>45278833</v>
      </c>
      <c r="H23" s="529">
        <f t="shared" si="1"/>
        <v>-41153148</v>
      </c>
      <c r="I23" s="164">
        <f>+G23/E23*100</f>
        <v>52.386665764377192</v>
      </c>
      <c r="J23" s="2">
        <v>36955674</v>
      </c>
    </row>
    <row r="24" spans="1:14" ht="10.15" customHeight="1">
      <c r="A24" s="167"/>
      <c r="B24" s="175"/>
      <c r="C24" s="176"/>
      <c r="D24" s="172"/>
      <c r="E24" s="172"/>
      <c r="F24" s="172"/>
      <c r="G24" s="180">
        <f>F24</f>
        <v>0</v>
      </c>
      <c r="H24" s="531">
        <f t="shared" si="1"/>
        <v>0</v>
      </c>
      <c r="I24" s="174" t="s">
        <v>6</v>
      </c>
      <c r="J24" s="2">
        <v>0</v>
      </c>
    </row>
    <row r="25" spans="1:14" ht="22.15" customHeight="1">
      <c r="A25" s="169" t="s">
        <v>417</v>
      </c>
      <c r="B25" s="175" t="s">
        <v>429</v>
      </c>
      <c r="C25" s="176">
        <v>127866634</v>
      </c>
      <c r="D25" s="172">
        <f>127866634</f>
        <v>127866634</v>
      </c>
      <c r="E25" s="172">
        <f>13488927+12100174+10105532+9486893+9401862+9558545+9687276+12602772</f>
        <v>86431981</v>
      </c>
      <c r="F25" s="172">
        <v>8323159</v>
      </c>
      <c r="G25" s="180">
        <f>J25+F25</f>
        <v>45278833</v>
      </c>
      <c r="H25" s="531">
        <f>G25-E25</f>
        <v>-41153148</v>
      </c>
      <c r="I25" s="174">
        <f>+G25/E25*100</f>
        <v>52.386665764377192</v>
      </c>
      <c r="J25" s="2">
        <v>36955674</v>
      </c>
    </row>
    <row r="26" spans="1:14" ht="24.95" customHeight="1">
      <c r="A26" s="167" t="s">
        <v>418</v>
      </c>
      <c r="B26" s="160" t="s">
        <v>9</v>
      </c>
      <c r="C26" s="161">
        <f>+C27+C28+C29</f>
        <v>5251680</v>
      </c>
      <c r="D26" s="165">
        <f>SUM(D27:D29)</f>
        <v>4614567</v>
      </c>
      <c r="E26" s="165">
        <f>SUM(E27:E29)</f>
        <v>3028720</v>
      </c>
      <c r="F26" s="165">
        <f>F27+F28+F29</f>
        <v>633743.85</v>
      </c>
      <c r="G26" s="165">
        <f>J26+F26</f>
        <v>5318588.459999999</v>
      </c>
      <c r="H26" s="162">
        <f t="shared" si="1"/>
        <v>2289868.459999999</v>
      </c>
      <c r="I26" s="164">
        <f>+G26/E26*100</f>
        <v>175.60515531313555</v>
      </c>
      <c r="J26" s="2">
        <v>4684844.6099999994</v>
      </c>
    </row>
    <row r="27" spans="1:14" ht="24.95" customHeight="1">
      <c r="A27" s="169" t="s">
        <v>526</v>
      </c>
      <c r="B27" s="175" t="s">
        <v>493</v>
      </c>
      <c r="C27" s="176">
        <v>410082</v>
      </c>
      <c r="D27" s="172">
        <v>410082</v>
      </c>
      <c r="E27" s="172">
        <f>34173+34173+34173+34173+34173+34173+34173+34173</f>
        <v>273384</v>
      </c>
      <c r="F27" s="172">
        <v>103110.88</v>
      </c>
      <c r="G27" s="172">
        <f>F27+J27</f>
        <v>592728.99</v>
      </c>
      <c r="H27" s="528">
        <f>+G27-E27</f>
        <v>319344.99</v>
      </c>
      <c r="I27" s="174">
        <f>+G27/E27*100</f>
        <v>216.81187999297694</v>
      </c>
      <c r="J27" s="2">
        <v>489618.10999999993</v>
      </c>
    </row>
    <row r="28" spans="1:14" ht="24.95" customHeight="1">
      <c r="A28" s="169" t="s">
        <v>419</v>
      </c>
      <c r="B28" s="175" t="s">
        <v>494</v>
      </c>
      <c r="C28" s="176">
        <v>4774884</v>
      </c>
      <c r="D28" s="172">
        <f>4774884-637113</f>
        <v>4137771</v>
      </c>
      <c r="E28" s="172">
        <f>318326+318326+318326+477488+477488+477488+477488+477488-637113</f>
        <v>2705305</v>
      </c>
      <c r="F28" s="172">
        <v>528872.25</v>
      </c>
      <c r="G28" s="172">
        <f>J28+F28</f>
        <v>4663909.8599999994</v>
      </c>
      <c r="H28" s="528">
        <f t="shared" si="1"/>
        <v>1958604.8599999994</v>
      </c>
      <c r="I28" s="174">
        <f>+G28/E28*100</f>
        <v>172.39867075985885</v>
      </c>
      <c r="J28" s="2">
        <v>4135037.61</v>
      </c>
      <c r="L28" s="50" t="s">
        <v>6</v>
      </c>
    </row>
    <row r="29" spans="1:14" ht="24.95" customHeight="1">
      <c r="A29" s="169" t="s">
        <v>527</v>
      </c>
      <c r="B29" s="175" t="s">
        <v>495</v>
      </c>
      <c r="C29" s="176">
        <v>66714</v>
      </c>
      <c r="D29" s="172">
        <v>66714</v>
      </c>
      <c r="E29" s="172">
        <f>11118+5559+5559+5559+5559+5559+5559+5559</f>
        <v>50031</v>
      </c>
      <c r="F29" s="172">
        <v>1760.72</v>
      </c>
      <c r="G29" s="172">
        <f>J29+F29</f>
        <v>61949.560000000005</v>
      </c>
      <c r="H29" s="528">
        <f t="shared" si="1"/>
        <v>11918.560000000005</v>
      </c>
      <c r="I29" s="174">
        <f>+G29/E29*100</f>
        <v>123.8223501429114</v>
      </c>
      <c r="J29" s="2">
        <v>60188.840000000004</v>
      </c>
    </row>
    <row r="30" spans="1:14" ht="9.9499999999999993" customHeight="1">
      <c r="A30" s="167" t="s">
        <v>6</v>
      </c>
      <c r="B30" s="175"/>
      <c r="C30" s="176"/>
      <c r="D30" s="172"/>
      <c r="E30" s="172"/>
      <c r="F30" s="172"/>
      <c r="G30" s="172">
        <f>F30</f>
        <v>0</v>
      </c>
      <c r="H30" s="528">
        <f>+G30-E30</f>
        <v>0</v>
      </c>
      <c r="I30" s="174" t="s">
        <v>6</v>
      </c>
      <c r="J30" s="2">
        <v>0</v>
      </c>
    </row>
    <row r="31" spans="1:14" ht="24.95" customHeight="1">
      <c r="A31" s="167" t="s">
        <v>420</v>
      </c>
      <c r="B31" s="160" t="s">
        <v>10</v>
      </c>
      <c r="C31" s="161">
        <f>+C32</f>
        <v>2500000</v>
      </c>
      <c r="D31" s="165">
        <f>SUM(D32)</f>
        <v>2500000</v>
      </c>
      <c r="E31" s="165">
        <f>SUM(E32)</f>
        <v>1750001</v>
      </c>
      <c r="F31" s="165">
        <f>F32</f>
        <v>37086.25</v>
      </c>
      <c r="G31" s="165">
        <f>J31+F31</f>
        <v>540865.42999999993</v>
      </c>
      <c r="H31" s="529">
        <f t="shared" si="1"/>
        <v>-1209135.57</v>
      </c>
      <c r="I31" s="164">
        <f>+G31/E31*100</f>
        <v>30.90657833909809</v>
      </c>
      <c r="J31" s="2">
        <v>503779.17999999993</v>
      </c>
    </row>
    <row r="32" spans="1:14" ht="24.95" customHeight="1">
      <c r="A32" s="167" t="s">
        <v>528</v>
      </c>
      <c r="B32" s="175" t="s">
        <v>496</v>
      </c>
      <c r="C32" s="176">
        <v>2500000</v>
      </c>
      <c r="D32" s="172">
        <v>2500000</v>
      </c>
      <c r="E32" s="172">
        <f>166667+166667+166667+250000+250000+250000+250000+250000</f>
        <v>1750001</v>
      </c>
      <c r="F32" s="172">
        <v>37086.25</v>
      </c>
      <c r="G32" s="172">
        <f>J32+F32</f>
        <v>540865.42999999993</v>
      </c>
      <c r="H32" s="531">
        <f t="shared" si="1"/>
        <v>-1209135.57</v>
      </c>
      <c r="I32" s="174">
        <f>+G32/E32*100</f>
        <v>30.90657833909809</v>
      </c>
      <c r="J32" s="2">
        <v>503779.17999999993</v>
      </c>
    </row>
    <row r="33" spans="1:10" ht="9.9499999999999993" customHeight="1">
      <c r="A33" s="167"/>
      <c r="B33" s="175"/>
      <c r="C33" s="176"/>
      <c r="D33" s="172"/>
      <c r="E33" s="172"/>
      <c r="F33" s="172"/>
      <c r="G33" s="172">
        <f>F33</f>
        <v>0</v>
      </c>
      <c r="H33" s="531"/>
      <c r="I33" s="174"/>
      <c r="J33" s="2">
        <v>0</v>
      </c>
    </row>
    <row r="34" spans="1:10" ht="24.95" customHeight="1">
      <c r="A34" s="167" t="s">
        <v>421</v>
      </c>
      <c r="B34" s="160" t="s">
        <v>11</v>
      </c>
      <c r="C34" s="161">
        <f>+C36+C40</f>
        <v>56905194</v>
      </c>
      <c r="D34" s="165">
        <f>+D40+D36</f>
        <v>26705941</v>
      </c>
      <c r="E34" s="165">
        <f>+E40+E36</f>
        <v>26285941</v>
      </c>
      <c r="F34" s="165">
        <f>+F40+F36</f>
        <v>0</v>
      </c>
      <c r="G34" s="165">
        <f>G36+G40</f>
        <v>12886673</v>
      </c>
      <c r="H34" s="529">
        <f>G34-E34</f>
        <v>-13399268</v>
      </c>
      <c r="I34" s="164">
        <f>+G34/E34*100</f>
        <v>49.024963572732666</v>
      </c>
      <c r="J34" s="50">
        <v>12886673</v>
      </c>
    </row>
    <row r="35" spans="1:10" ht="9.9499999999999993" customHeight="1">
      <c r="A35" s="167"/>
      <c r="B35" s="175"/>
      <c r="C35" s="176"/>
      <c r="D35" s="172"/>
      <c r="E35" s="172"/>
      <c r="F35" s="172"/>
      <c r="G35" s="172"/>
      <c r="H35" s="531"/>
      <c r="I35" s="174"/>
    </row>
    <row r="36" spans="1:10" ht="18" customHeight="1">
      <c r="A36" s="167" t="s">
        <v>422</v>
      </c>
      <c r="B36" s="160" t="s">
        <v>486</v>
      </c>
      <c r="C36" s="161">
        <f>+C37</f>
        <v>54805194</v>
      </c>
      <c r="D36" s="165">
        <f>D37</f>
        <v>24605941</v>
      </c>
      <c r="E36" s="165">
        <f t="shared" ref="E36:E38" si="2">E37</f>
        <v>24605941</v>
      </c>
      <c r="F36" s="165">
        <f t="shared" ref="F36:G38" si="3">F37</f>
        <v>0</v>
      </c>
      <c r="G36" s="165">
        <f t="shared" si="3"/>
        <v>11206673</v>
      </c>
      <c r="H36" s="529">
        <f>H37</f>
        <v>-13399268</v>
      </c>
      <c r="I36" s="164">
        <f>I37</f>
        <v>45.5445820990955</v>
      </c>
      <c r="J36" s="2">
        <v>11206673</v>
      </c>
    </row>
    <row r="37" spans="1:10" ht="18" customHeight="1">
      <c r="A37" s="169" t="s">
        <v>423</v>
      </c>
      <c r="B37" s="175" t="s">
        <v>497</v>
      </c>
      <c r="C37" s="176">
        <f>+C38</f>
        <v>54805194</v>
      </c>
      <c r="D37" s="172">
        <f>D38</f>
        <v>24605941</v>
      </c>
      <c r="E37" s="172">
        <f t="shared" si="2"/>
        <v>24605941</v>
      </c>
      <c r="F37" s="172">
        <f>+F38</f>
        <v>0</v>
      </c>
      <c r="G37" s="172">
        <f t="shared" si="3"/>
        <v>11206673</v>
      </c>
      <c r="H37" s="531">
        <f>H38</f>
        <v>-13399268</v>
      </c>
      <c r="I37" s="174">
        <f>G37/E37*100</f>
        <v>45.5445820990955</v>
      </c>
      <c r="J37" s="2">
        <v>11206673</v>
      </c>
    </row>
    <row r="38" spans="1:10" ht="18" customHeight="1">
      <c r="A38" s="169" t="s">
        <v>424</v>
      </c>
      <c r="B38" s="175" t="s">
        <v>499</v>
      </c>
      <c r="C38" s="176">
        <f>+C39</f>
        <v>54805194</v>
      </c>
      <c r="D38" s="172">
        <f>D39</f>
        <v>24605941</v>
      </c>
      <c r="E38" s="172">
        <f t="shared" si="2"/>
        <v>24605941</v>
      </c>
      <c r="F38" s="172">
        <f>+F39</f>
        <v>0</v>
      </c>
      <c r="G38" s="172">
        <f t="shared" si="3"/>
        <v>11206673</v>
      </c>
      <c r="H38" s="531">
        <f>H39</f>
        <v>-13399268</v>
      </c>
      <c r="I38" s="174">
        <f>G38/E38*100</f>
        <v>45.5445820990955</v>
      </c>
      <c r="J38" s="2">
        <v>11206673</v>
      </c>
    </row>
    <row r="39" spans="1:10" ht="18" customHeight="1">
      <c r="A39" s="169" t="s">
        <v>425</v>
      </c>
      <c r="B39" s="175" t="s">
        <v>430</v>
      </c>
      <c r="C39" s="176">
        <v>54805194</v>
      </c>
      <c r="D39" s="172">
        <v>24605941</v>
      </c>
      <c r="E39" s="172">
        <v>24605941</v>
      </c>
      <c r="F39" s="172">
        <v>0</v>
      </c>
      <c r="G39" s="172">
        <f>J39+F39</f>
        <v>11206673</v>
      </c>
      <c r="H39" s="531">
        <f>G39-E39</f>
        <v>-13399268</v>
      </c>
      <c r="I39" s="174">
        <f>G39/E39*100</f>
        <v>45.5445820990955</v>
      </c>
      <c r="J39" s="2">
        <v>11206673</v>
      </c>
    </row>
    <row r="40" spans="1:10" ht="24.95" customHeight="1">
      <c r="A40" s="167" t="s">
        <v>426</v>
      </c>
      <c r="B40" s="160" t="s">
        <v>487</v>
      </c>
      <c r="C40" s="161">
        <f>+C41</f>
        <v>2100000</v>
      </c>
      <c r="D40" s="165">
        <f>SUM(D41)</f>
        <v>2100000</v>
      </c>
      <c r="E40" s="165">
        <f t="shared" ref="E40:E42" si="4">E41</f>
        <v>1680000</v>
      </c>
      <c r="F40" s="165">
        <f>F41</f>
        <v>0</v>
      </c>
      <c r="G40" s="165">
        <f>G41</f>
        <v>1680000</v>
      </c>
      <c r="H40" s="162">
        <f t="shared" si="1"/>
        <v>0</v>
      </c>
      <c r="I40" s="164">
        <f>+G40/E40*100</f>
        <v>100</v>
      </c>
      <c r="J40" s="2">
        <v>1680000</v>
      </c>
    </row>
    <row r="41" spans="1:10" ht="24.95" customHeight="1">
      <c r="A41" s="169" t="s">
        <v>472</v>
      </c>
      <c r="B41" s="175" t="s">
        <v>530</v>
      </c>
      <c r="C41" s="176">
        <f>+C42</f>
        <v>2100000</v>
      </c>
      <c r="D41" s="172">
        <f>+D42</f>
        <v>2100000</v>
      </c>
      <c r="E41" s="172">
        <f>+E42</f>
        <v>1680000</v>
      </c>
      <c r="F41" s="172">
        <f>+F42</f>
        <v>0</v>
      </c>
      <c r="G41" s="172">
        <f>+G42</f>
        <v>1680000</v>
      </c>
      <c r="H41" s="528">
        <f t="shared" si="1"/>
        <v>0</v>
      </c>
      <c r="I41" s="174">
        <f>+G41/E41*100</f>
        <v>100</v>
      </c>
      <c r="J41" s="2">
        <v>1680000</v>
      </c>
    </row>
    <row r="42" spans="1:10" ht="17.45" customHeight="1">
      <c r="A42" s="169" t="s">
        <v>473</v>
      </c>
      <c r="B42" s="175" t="s">
        <v>498</v>
      </c>
      <c r="C42" s="176">
        <f>+C43</f>
        <v>2100000</v>
      </c>
      <c r="D42" s="172">
        <f>D43</f>
        <v>2100000</v>
      </c>
      <c r="E42" s="172">
        <f t="shared" si="4"/>
        <v>1680000</v>
      </c>
      <c r="F42" s="172">
        <f>+F43</f>
        <v>0</v>
      </c>
      <c r="G42" s="172">
        <f>G43</f>
        <v>1680000</v>
      </c>
      <c r="H42" s="528">
        <f t="shared" si="1"/>
        <v>0</v>
      </c>
      <c r="I42" s="174">
        <f>G42/E42*100</f>
        <v>100</v>
      </c>
      <c r="J42" s="2">
        <v>1680000</v>
      </c>
    </row>
    <row r="43" spans="1:10" ht="17.45" customHeight="1">
      <c r="A43" s="169" t="s">
        <v>474</v>
      </c>
      <c r="B43" s="175" t="s">
        <v>529</v>
      </c>
      <c r="C43" s="176">
        <v>2100000</v>
      </c>
      <c r="D43" s="172">
        <v>2100000</v>
      </c>
      <c r="E43" s="172">
        <v>1680000</v>
      </c>
      <c r="F43" s="172">
        <v>0</v>
      </c>
      <c r="G43" s="172">
        <f>J43+F43</f>
        <v>1680000</v>
      </c>
      <c r="H43" s="528">
        <f t="shared" si="1"/>
        <v>0</v>
      </c>
      <c r="I43" s="174">
        <f>G43/E43*100</f>
        <v>100</v>
      </c>
      <c r="J43" s="2">
        <v>1680000</v>
      </c>
    </row>
    <row r="44" spans="1:10" ht="16.899999999999999" customHeight="1">
      <c r="A44" s="181"/>
      <c r="B44" s="175"/>
      <c r="C44" s="182"/>
      <c r="D44" s="182"/>
      <c r="E44" s="172"/>
      <c r="F44" s="172"/>
      <c r="G44" s="172"/>
      <c r="H44" s="528"/>
      <c r="I44" s="183"/>
    </row>
    <row r="45" spans="1:10" ht="24.6" hidden="1" customHeight="1">
      <c r="A45" s="167"/>
      <c r="B45" s="160" t="s">
        <v>364</v>
      </c>
      <c r="C45" s="160"/>
      <c r="D45" s="165">
        <f>SUM(D47)</f>
        <v>5210534</v>
      </c>
      <c r="E45" s="165">
        <f>SUM(E47)</f>
        <v>4639377</v>
      </c>
      <c r="F45" s="165">
        <f>SUM(F47:F47)</f>
        <v>1797741</v>
      </c>
      <c r="G45" s="165" t="e">
        <f>#REF!+F45</f>
        <v>#REF!</v>
      </c>
      <c r="H45" s="163" t="e">
        <f t="shared" si="1"/>
        <v>#REF!</v>
      </c>
      <c r="I45" s="164" t="e">
        <f>+G45/E45*100</f>
        <v>#REF!</v>
      </c>
      <c r="J45" s="2">
        <v>4639377</v>
      </c>
    </row>
    <row r="46" spans="1:10" ht="9.6" hidden="1" customHeight="1">
      <c r="A46" s="167"/>
      <c r="B46" s="175"/>
      <c r="C46" s="175"/>
      <c r="D46" s="172"/>
      <c r="E46" s="172"/>
      <c r="F46" s="172"/>
      <c r="G46" s="180">
        <f>F46</f>
        <v>0</v>
      </c>
      <c r="H46" s="173" t="s">
        <v>6</v>
      </c>
      <c r="I46" s="174" t="s">
        <v>6</v>
      </c>
      <c r="J46" s="2">
        <v>0</v>
      </c>
    </row>
    <row r="47" spans="1:10" ht="24.6" hidden="1" customHeight="1">
      <c r="A47" s="167"/>
      <c r="B47" s="175" t="s">
        <v>39</v>
      </c>
      <c r="C47" s="175"/>
      <c r="D47" s="172">
        <v>5210534</v>
      </c>
      <c r="E47" s="172">
        <v>4639377</v>
      </c>
      <c r="F47" s="184">
        <f>1779848+17893</f>
        <v>1797741</v>
      </c>
      <c r="G47" s="180" t="e">
        <f>F47+#REF!</f>
        <v>#REF!</v>
      </c>
      <c r="H47" s="173" t="e">
        <f>+G47-E47</f>
        <v>#REF!</v>
      </c>
      <c r="I47" s="174" t="e">
        <f>+G47/E47*100</f>
        <v>#REF!</v>
      </c>
      <c r="J47" s="2">
        <v>4639377</v>
      </c>
    </row>
    <row r="48" spans="1:10" ht="7.15" hidden="1" customHeight="1">
      <c r="A48" s="49"/>
      <c r="B48" s="185"/>
      <c r="C48" s="186"/>
      <c r="D48" s="187"/>
      <c r="E48" s="182" t="s">
        <v>6</v>
      </c>
      <c r="F48" s="188" t="s">
        <v>6</v>
      </c>
      <c r="G48" s="182" t="s">
        <v>6</v>
      </c>
      <c r="H48" s="182" t="s">
        <v>6</v>
      </c>
      <c r="I48" s="189"/>
      <c r="J48" s="2" t="s">
        <v>6</v>
      </c>
    </row>
    <row r="49" spans="1:9" ht="9" customHeight="1">
      <c r="A49"/>
      <c r="B49" s="190" t="s">
        <v>6</v>
      </c>
      <c r="C49" s="191"/>
      <c r="D49" s="191"/>
      <c r="E49" s="192"/>
      <c r="F49" s="192"/>
      <c r="G49" s="192"/>
      <c r="H49" s="193"/>
      <c r="I49" s="191"/>
    </row>
    <row r="50" spans="1:9">
      <c r="A50" s="573" t="s">
        <v>513</v>
      </c>
      <c r="B50" s="573"/>
      <c r="C50" s="44"/>
      <c r="D50" s="1"/>
      <c r="E50" s="1"/>
      <c r="F50" s="1"/>
      <c r="G50" s="1"/>
      <c r="H50" s="195"/>
      <c r="I50"/>
    </row>
    <row r="51" spans="1:9" ht="15.75">
      <c r="B51" s="24" t="s">
        <v>6</v>
      </c>
      <c r="C51" s="24"/>
      <c r="D51" s="16"/>
      <c r="E51" s="15"/>
      <c r="F51" s="15"/>
      <c r="G51" s="15"/>
      <c r="H51" s="15"/>
      <c r="I51" s="3"/>
    </row>
    <row r="52" spans="1:9" ht="15.75">
      <c r="B52" s="22" t="s">
        <v>6</v>
      </c>
      <c r="C52" s="22"/>
      <c r="D52" s="23" t="s">
        <v>6</v>
      </c>
      <c r="E52" s="15"/>
      <c r="F52" s="15"/>
      <c r="G52" s="15"/>
      <c r="H52" s="15"/>
      <c r="I52" s="3"/>
    </row>
    <row r="53" spans="1:9" ht="15.75">
      <c r="B53" s="22" t="s">
        <v>6</v>
      </c>
      <c r="C53" s="22"/>
      <c r="D53" s="19"/>
      <c r="E53" s="15"/>
      <c r="F53" s="15"/>
      <c r="G53" s="15"/>
      <c r="H53" s="15"/>
      <c r="I53" s="3"/>
    </row>
    <row r="54" spans="1:9" ht="15.75">
      <c r="B54" s="24" t="s">
        <v>6</v>
      </c>
      <c r="C54" s="24"/>
      <c r="D54" s="15"/>
      <c r="E54" s="15"/>
      <c r="F54" s="15"/>
      <c r="G54" s="15"/>
      <c r="H54" s="15"/>
      <c r="I54" s="3"/>
    </row>
    <row r="55" spans="1:9" ht="15.75">
      <c r="B55" s="24" t="s">
        <v>6</v>
      </c>
      <c r="C55" s="24"/>
      <c r="D55" s="15"/>
      <c r="E55" s="15"/>
      <c r="F55" s="15"/>
      <c r="G55" s="15"/>
      <c r="H55" s="15"/>
      <c r="I55" s="3"/>
    </row>
    <row r="56" spans="1:9" ht="15.75">
      <c r="B56" s="24" t="s">
        <v>6</v>
      </c>
      <c r="C56" s="24"/>
      <c r="D56" s="15"/>
      <c r="E56" s="15"/>
      <c r="F56" s="15"/>
      <c r="G56" s="15"/>
      <c r="H56" s="15"/>
      <c r="I56" s="3"/>
    </row>
    <row r="57" spans="1:9" ht="15.75">
      <c r="B57" s="24" t="s">
        <v>6</v>
      </c>
      <c r="C57" s="24"/>
      <c r="D57" s="15"/>
      <c r="E57" s="15"/>
      <c r="F57" s="15"/>
      <c r="G57" s="15"/>
      <c r="H57" s="15"/>
      <c r="I57" s="3"/>
    </row>
    <row r="58" spans="1:9">
      <c r="D58" s="13"/>
      <c r="E58" s="13"/>
      <c r="F58" s="13"/>
      <c r="G58" s="13"/>
      <c r="H58" s="13"/>
      <c r="I58" s="3"/>
    </row>
    <row r="127" spans="5:5">
      <c r="E127" s="9" t="s">
        <v>6</v>
      </c>
    </row>
  </sheetData>
  <mergeCells count="10">
    <mergeCell ref="A50:B50"/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2" type="noConversion"/>
  <pageMargins left="0.11811023622047245" right="0.11811023622047245" top="0.74803149606299213" bottom="0.98425196850393704" header="0.51181102362204722" footer="0.51181102362204722"/>
  <pageSetup scale="73" firstPageNumber="0" orientation="portrait" r:id="rId1"/>
  <headerFooter alignWithMargins="0">
    <oddFooter xml:space="preserve">&amp;R&amp;"Arial,Negrita" </oddFooter>
  </headerFooter>
  <ignoredErrors>
    <ignoredError sqref="E15:F15 E21 E41 G39:G41 G30 G22:G23 G18 H25 G27 F37:F38 F4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Y70"/>
  <sheetViews>
    <sheetView showGridLines="0" showZeros="0" zoomScaleNormal="100" workbookViewId="0">
      <selection activeCell="A3" sqref="A3:J33"/>
    </sheetView>
  </sheetViews>
  <sheetFormatPr baseColWidth="10" defaultColWidth="11.42578125" defaultRowHeight="12.75"/>
  <cols>
    <col min="1" max="1" width="40.28515625" customWidth="1"/>
    <col min="2" max="2" width="17.42578125" customWidth="1"/>
    <col min="3" max="3" width="13.7109375" customWidth="1"/>
    <col min="4" max="4" width="12.5703125" customWidth="1"/>
    <col min="5" max="5" width="13.5703125" hidden="1" customWidth="1"/>
    <col min="6" max="6" width="12.7109375" customWidth="1"/>
    <col min="7" max="7" width="12.5703125" customWidth="1"/>
    <col min="8" max="8" width="12.28515625" customWidth="1"/>
    <col min="9" max="9" width="15" customWidth="1"/>
    <col min="10" max="10" width="9.7109375" customWidth="1"/>
    <col min="11" max="11" width="12.85546875" hidden="1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>
      <c r="A1" s="576" t="s">
        <v>375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25" ht="15.75">
      <c r="A2" s="576" t="s">
        <v>376</v>
      </c>
      <c r="B2" s="576"/>
      <c r="C2" s="576"/>
      <c r="D2" s="576"/>
      <c r="E2" s="576"/>
      <c r="F2" s="576"/>
      <c r="G2" s="576"/>
      <c r="H2" s="576"/>
      <c r="I2" s="576"/>
      <c r="J2" s="576"/>
    </row>
    <row r="3" spans="1:25" ht="15">
      <c r="A3" s="585" t="s">
        <v>520</v>
      </c>
      <c r="B3" s="586"/>
      <c r="C3" s="586"/>
      <c r="D3" s="586"/>
      <c r="E3" s="586"/>
      <c r="F3" s="586"/>
      <c r="G3" s="586"/>
      <c r="H3" s="586"/>
      <c r="I3" s="586"/>
      <c r="J3" s="587"/>
    </row>
    <row r="4" spans="1:25" ht="15">
      <c r="A4" s="585" t="s">
        <v>543</v>
      </c>
      <c r="B4" s="586"/>
      <c r="C4" s="586"/>
      <c r="D4" s="586"/>
      <c r="E4" s="586"/>
      <c r="F4" s="586"/>
      <c r="G4" s="586"/>
      <c r="H4" s="586"/>
      <c r="I4" s="586"/>
      <c r="J4" s="587"/>
    </row>
    <row r="5" spans="1:25" ht="15" thickBot="1">
      <c r="A5" s="397"/>
      <c r="B5" s="398"/>
      <c r="C5" s="398"/>
      <c r="D5" s="398"/>
      <c r="E5" s="398"/>
      <c r="F5" s="398"/>
      <c r="G5" s="398"/>
      <c r="H5" s="398"/>
      <c r="I5" s="398"/>
    </row>
    <row r="6" spans="1:25" ht="21" customHeight="1">
      <c r="A6" s="588" t="s">
        <v>0</v>
      </c>
      <c r="B6" s="590" t="s">
        <v>41</v>
      </c>
      <c r="C6" s="594" t="s">
        <v>33</v>
      </c>
      <c r="D6" s="595"/>
      <c r="E6" s="595"/>
      <c r="F6" s="596"/>
      <c r="G6" s="592" t="s">
        <v>42</v>
      </c>
      <c r="H6" s="592"/>
      <c r="I6" s="592" t="s">
        <v>1</v>
      </c>
      <c r="J6" s="593"/>
    </row>
    <row r="7" spans="1:25" ht="33" customHeight="1" thickBot="1">
      <c r="A7" s="589"/>
      <c r="B7" s="591"/>
      <c r="C7" s="399" t="s">
        <v>84</v>
      </c>
      <c r="D7" s="399" t="s">
        <v>523</v>
      </c>
      <c r="E7" s="400" t="s">
        <v>12</v>
      </c>
      <c r="F7" s="400" t="s">
        <v>2</v>
      </c>
      <c r="G7" s="400" t="s">
        <v>38</v>
      </c>
      <c r="H7" s="400" t="s">
        <v>43</v>
      </c>
      <c r="I7" s="400" t="s">
        <v>365</v>
      </c>
      <c r="J7" s="401" t="s">
        <v>5</v>
      </c>
      <c r="L7" s="37"/>
    </row>
    <row r="8" spans="1:25" ht="20.100000000000001" customHeight="1">
      <c r="A8" s="402"/>
      <c r="B8" s="403"/>
      <c r="C8" s="403"/>
      <c r="D8" s="404"/>
      <c r="E8" s="404"/>
      <c r="F8" s="405"/>
      <c r="G8" s="405"/>
      <c r="H8" s="405"/>
      <c r="I8" s="405"/>
      <c r="J8" s="406"/>
    </row>
    <row r="9" spans="1:25" ht="20.100000000000001" customHeight="1">
      <c r="A9" s="407" t="s">
        <v>14</v>
      </c>
      <c r="B9" s="408"/>
      <c r="C9" s="409">
        <f t="shared" ref="C9:G9" si="0">+C11+C22</f>
        <v>198000000</v>
      </c>
      <c r="D9" s="409">
        <f t="shared" si="0"/>
        <v>167163634</v>
      </c>
      <c r="E9" s="409" t="e">
        <f t="shared" si="0"/>
        <v>#REF!</v>
      </c>
      <c r="F9" s="409">
        <f t="shared" si="0"/>
        <v>121306851</v>
      </c>
      <c r="G9" s="409">
        <f t="shared" si="0"/>
        <v>9074910.3499999996</v>
      </c>
      <c r="H9" s="409">
        <f>+H11+H22</f>
        <v>65154927.140000001</v>
      </c>
      <c r="I9" s="524">
        <f>+H9-F9</f>
        <v>-56151923.859999999</v>
      </c>
      <c r="J9" s="410">
        <f>+H9/F9*100</f>
        <v>53.710838755512654</v>
      </c>
      <c r="K9" s="115"/>
      <c r="L9" s="1" t="s">
        <v>6</v>
      </c>
    </row>
    <row r="10" spans="1:25" ht="20.100000000000001" customHeight="1">
      <c r="A10" s="407"/>
      <c r="B10" s="408"/>
      <c r="C10" s="409"/>
      <c r="D10" s="409"/>
      <c r="E10" s="409"/>
      <c r="F10" s="409"/>
      <c r="G10" s="409"/>
      <c r="H10" s="409" t="s">
        <v>6</v>
      </c>
      <c r="I10" s="409"/>
      <c r="J10" s="410"/>
      <c r="K10" s="115"/>
      <c r="M10" t="s">
        <v>6</v>
      </c>
      <c r="R10" s="1" t="s">
        <v>6</v>
      </c>
    </row>
    <row r="11" spans="1:25" ht="20.100000000000001" customHeight="1">
      <c r="A11" s="407" t="s">
        <v>15</v>
      </c>
      <c r="B11" s="408"/>
      <c r="C11" s="409">
        <f t="shared" ref="C11:F11" si="1">SUM(C13:C20)</f>
        <v>15328172</v>
      </c>
      <c r="D11" s="409">
        <f>SUM(D13:D20)</f>
        <v>14691059</v>
      </c>
      <c r="E11" s="409" t="e">
        <f t="shared" si="1"/>
        <v>#REF!</v>
      </c>
      <c r="F11" s="409">
        <f t="shared" si="1"/>
        <v>10268929</v>
      </c>
      <c r="G11" s="409">
        <f>SUM(G13:G20)</f>
        <v>751751.35</v>
      </c>
      <c r="H11" s="409">
        <f>SUM(H13:H20)</f>
        <v>8669421.1399999987</v>
      </c>
      <c r="I11" s="409">
        <f>F11-H11</f>
        <v>1599507.8600000013</v>
      </c>
      <c r="J11" s="410">
        <f>+H11/F11*100</f>
        <v>84.4238103116693</v>
      </c>
      <c r="K11" s="115"/>
      <c r="L11" s="1"/>
    </row>
    <row r="12" spans="1:25" ht="20.100000000000001" customHeight="1">
      <c r="A12" s="411"/>
      <c r="B12" s="412"/>
      <c r="C12" s="413"/>
      <c r="D12" s="413"/>
      <c r="E12" s="413"/>
      <c r="F12" s="413" t="s">
        <v>6</v>
      </c>
      <c r="G12" s="413"/>
      <c r="H12" s="413"/>
      <c r="I12" s="413"/>
      <c r="J12" s="414"/>
      <c r="K12" s="113"/>
    </row>
    <row r="13" spans="1:25" ht="20.100000000000001" customHeight="1">
      <c r="A13" s="415" t="s">
        <v>536</v>
      </c>
      <c r="B13" s="416" t="s">
        <v>531</v>
      </c>
      <c r="C13" s="417">
        <f>+RECAUDACION!C18</f>
        <v>700000</v>
      </c>
      <c r="D13" s="417">
        <f>+RECAUDACION!D18</f>
        <v>700000</v>
      </c>
      <c r="E13" s="417" t="e">
        <f>+RECAUDACION!#REF!</f>
        <v>#REF!</v>
      </c>
      <c r="F13" s="417">
        <f>+RECAUDACION!E18</f>
        <v>466664</v>
      </c>
      <c r="G13" s="417">
        <f>+RECAUDACION!F18</f>
        <v>4055.77</v>
      </c>
      <c r="H13" s="417">
        <f>+RECAUDACION!G18</f>
        <v>379793.31000000006</v>
      </c>
      <c r="I13" s="525">
        <f>+H13-F13</f>
        <v>-86870.689999999944</v>
      </c>
      <c r="J13" s="418">
        <f t="shared" ref="J13:J18" si="2">+H13/F13*100</f>
        <v>81.384745769975837</v>
      </c>
      <c r="K13" s="114"/>
      <c r="L13" s="1"/>
      <c r="M13" s="7"/>
      <c r="N13" s="1"/>
      <c r="R13" s="29"/>
      <c r="S13" s="30"/>
      <c r="T13" s="30"/>
      <c r="U13" s="31"/>
      <c r="V13" s="31"/>
      <c r="W13" s="31"/>
      <c r="X13" s="31"/>
      <c r="Y13" s="31"/>
    </row>
    <row r="14" spans="1:25" ht="20.100000000000001" customHeight="1">
      <c r="A14" s="415" t="s">
        <v>16</v>
      </c>
      <c r="B14" s="416" t="s">
        <v>44</v>
      </c>
      <c r="C14" s="417">
        <f>+RECAUDACION!C19</f>
        <v>4776492</v>
      </c>
      <c r="D14" s="417">
        <f>+RECAUDACION!D19</f>
        <v>4776492</v>
      </c>
      <c r="E14" s="417" t="e">
        <f>+RECAUDACION!#REF!</f>
        <v>#REF!</v>
      </c>
      <c r="F14" s="417">
        <f>+RECAUDACION!E19</f>
        <v>3343544</v>
      </c>
      <c r="G14" s="417">
        <f>+RECAUDACION!F19</f>
        <v>76865.48</v>
      </c>
      <c r="H14" s="417">
        <f>+RECAUDACION!G19</f>
        <v>750173.99</v>
      </c>
      <c r="I14" s="525">
        <f t="shared" ref="I14:I20" si="3">+H14-F14</f>
        <v>-2593370.0099999998</v>
      </c>
      <c r="J14" s="418">
        <f t="shared" si="2"/>
        <v>22.436492236979682</v>
      </c>
      <c r="K14" s="114"/>
      <c r="L14" s="1"/>
      <c r="M14" s="7"/>
      <c r="S14" s="30"/>
      <c r="T14" s="30"/>
      <c r="U14" s="31"/>
      <c r="V14" s="31"/>
      <c r="W14" s="31"/>
      <c r="X14" s="31"/>
      <c r="Y14" s="31"/>
    </row>
    <row r="15" spans="1:25" ht="20.100000000000001" customHeight="1">
      <c r="A15" s="419" t="s">
        <v>17</v>
      </c>
      <c r="B15" s="416" t="s">
        <v>45</v>
      </c>
      <c r="C15" s="417">
        <f>+RECAUDACION!C28</f>
        <v>4774884</v>
      </c>
      <c r="D15" s="417">
        <f>+RECAUDACION!D28</f>
        <v>4137771</v>
      </c>
      <c r="E15" s="417" t="e">
        <f>+RECAUDACION!#REF!</f>
        <v>#REF!</v>
      </c>
      <c r="F15" s="417">
        <f>+RECAUDACION!E28</f>
        <v>2705305</v>
      </c>
      <c r="G15" s="417">
        <f>+RECAUDACION!F28</f>
        <v>528872.25</v>
      </c>
      <c r="H15" s="417">
        <f>+RECAUDACION!G28</f>
        <v>4663909.8599999994</v>
      </c>
      <c r="I15" s="520">
        <f t="shared" si="3"/>
        <v>1958604.8599999994</v>
      </c>
      <c r="J15" s="418">
        <f t="shared" si="2"/>
        <v>172.39867075985885</v>
      </c>
      <c r="K15" s="114"/>
      <c r="L15" s="1"/>
      <c r="M15" s="7"/>
      <c r="S15" s="30"/>
      <c r="T15" s="30"/>
      <c r="U15" s="31"/>
      <c r="V15" s="31"/>
      <c r="W15" s="31"/>
      <c r="X15" s="31"/>
      <c r="Y15" s="31"/>
    </row>
    <row r="16" spans="1:25" ht="20.100000000000001" customHeight="1">
      <c r="A16" s="419" t="s">
        <v>18</v>
      </c>
      <c r="B16" s="416" t="s">
        <v>532</v>
      </c>
      <c r="C16" s="417">
        <f>+RECAUDACION!C29</f>
        <v>66714</v>
      </c>
      <c r="D16" s="417">
        <f>+RECAUDACION!D29</f>
        <v>66714</v>
      </c>
      <c r="E16" s="417" t="e">
        <f>+RECAUDACION!#REF!</f>
        <v>#REF!</v>
      </c>
      <c r="F16" s="417">
        <f>+RECAUDACION!E29</f>
        <v>50031</v>
      </c>
      <c r="G16" s="417">
        <f>+RECAUDACION!F29</f>
        <v>1760.72</v>
      </c>
      <c r="H16" s="417">
        <f>+RECAUDACION!G29</f>
        <v>61949.560000000005</v>
      </c>
      <c r="I16" s="520">
        <f t="shared" si="3"/>
        <v>11918.560000000005</v>
      </c>
      <c r="J16" s="418">
        <f t="shared" si="2"/>
        <v>123.8223501429114</v>
      </c>
      <c r="K16" s="114"/>
      <c r="L16" s="1"/>
      <c r="M16" s="7"/>
      <c r="S16" s="30"/>
      <c r="T16" s="30"/>
      <c r="U16" s="31"/>
      <c r="V16" s="31"/>
      <c r="W16" s="31"/>
      <c r="X16" s="31"/>
      <c r="Y16" s="31"/>
    </row>
    <row r="17" spans="1:25" ht="20.100000000000001" customHeight="1">
      <c r="A17" s="419" t="s">
        <v>19</v>
      </c>
      <c r="B17" s="416" t="s">
        <v>46</v>
      </c>
      <c r="C17" s="417">
        <f>+RECAUDACION!C27</f>
        <v>410082</v>
      </c>
      <c r="D17" s="417">
        <f>+RECAUDACION!D27</f>
        <v>410082</v>
      </c>
      <c r="E17" s="417" t="e">
        <f>+RECAUDACION!#REF!</f>
        <v>#REF!</v>
      </c>
      <c r="F17" s="417">
        <f>+RECAUDACION!E27</f>
        <v>273384</v>
      </c>
      <c r="G17" s="417">
        <f>+RECAUDACION!F27</f>
        <v>103110.88</v>
      </c>
      <c r="H17" s="417">
        <f>+RECAUDACION!G27</f>
        <v>592728.99</v>
      </c>
      <c r="I17" s="520">
        <f t="shared" si="3"/>
        <v>319344.99</v>
      </c>
      <c r="J17" s="418">
        <f>+H17/F17*100</f>
        <v>216.81187999297694</v>
      </c>
      <c r="K17" s="114"/>
      <c r="L17" s="1"/>
      <c r="M17" s="7"/>
      <c r="S17" s="30"/>
      <c r="T17" s="30"/>
      <c r="U17" s="31"/>
      <c r="V17" s="31"/>
      <c r="W17" s="31"/>
      <c r="X17" s="31"/>
      <c r="Y17" s="31"/>
    </row>
    <row r="18" spans="1:25" ht="20.100000000000001" customHeight="1">
      <c r="A18" s="419" t="s">
        <v>20</v>
      </c>
      <c r="B18" s="416" t="s">
        <v>533</v>
      </c>
      <c r="C18" s="417">
        <f>+RECAUDACION!C32</f>
        <v>2500000</v>
      </c>
      <c r="D18" s="417">
        <f>+RECAUDACION!D32</f>
        <v>2500000</v>
      </c>
      <c r="E18" s="417" t="e">
        <f>+RECAUDACION!#REF!</f>
        <v>#REF!</v>
      </c>
      <c r="F18" s="417">
        <f>+RECAUDACION!E32</f>
        <v>1750001</v>
      </c>
      <c r="G18" s="417">
        <f>+RECAUDACION!F32</f>
        <v>37086.25</v>
      </c>
      <c r="H18" s="417">
        <f>+RECAUDACION!G32</f>
        <v>540865.42999999993</v>
      </c>
      <c r="I18" s="526">
        <f t="shared" si="3"/>
        <v>-1209135.57</v>
      </c>
      <c r="J18" s="418">
        <f t="shared" si="2"/>
        <v>30.90657833909809</v>
      </c>
      <c r="K18" s="114"/>
      <c r="L18" s="1"/>
      <c r="M18" s="7"/>
      <c r="N18" s="1"/>
      <c r="S18" s="30"/>
      <c r="T18" s="30"/>
      <c r="U18" s="31"/>
      <c r="V18" s="31"/>
      <c r="W18" s="31"/>
      <c r="X18" s="31"/>
      <c r="Y18" s="31"/>
    </row>
    <row r="19" spans="1:25" ht="20.100000000000001" customHeight="1">
      <c r="A19" s="419" t="s">
        <v>500</v>
      </c>
      <c r="B19" s="416" t="s">
        <v>534</v>
      </c>
      <c r="C19" s="417"/>
      <c r="D19" s="417"/>
      <c r="E19" s="417"/>
      <c r="F19" s="417"/>
      <c r="G19" s="417">
        <f>+RECAUDACION!F24</f>
        <v>0</v>
      </c>
      <c r="H19" s="417">
        <f>+RECAUDACION!G33</f>
        <v>0</v>
      </c>
      <c r="I19" s="417" t="s">
        <v>6</v>
      </c>
      <c r="J19" s="418">
        <v>0</v>
      </c>
      <c r="K19" s="114"/>
      <c r="L19" s="1"/>
      <c r="M19" s="7"/>
      <c r="S19" s="30"/>
      <c r="T19" s="30"/>
      <c r="U19" s="31"/>
      <c r="V19" s="31"/>
      <c r="W19" s="31"/>
      <c r="X19" s="31"/>
      <c r="Y19" s="31"/>
    </row>
    <row r="20" spans="1:25" ht="20.100000000000001" customHeight="1">
      <c r="A20" s="419" t="s">
        <v>339</v>
      </c>
      <c r="B20" s="416" t="s">
        <v>535</v>
      </c>
      <c r="C20" s="417">
        <f>+RECAUDACION!C43</f>
        <v>2100000</v>
      </c>
      <c r="D20" s="417">
        <f>+RECAUDACION!D43</f>
        <v>2100000</v>
      </c>
      <c r="E20" s="417" t="e">
        <f>+RECAUDACION!#REF!</f>
        <v>#REF!</v>
      </c>
      <c r="F20" s="417">
        <f>+RECAUDACION!E43</f>
        <v>1680000</v>
      </c>
      <c r="G20" s="417">
        <f>+RECAUDACION!F40</f>
        <v>0</v>
      </c>
      <c r="H20" s="417">
        <f>+RECAUDACION!G43</f>
        <v>1680000</v>
      </c>
      <c r="I20" s="417">
        <f t="shared" si="3"/>
        <v>0</v>
      </c>
      <c r="J20" s="418">
        <f>+H20/F20*100</f>
        <v>100</v>
      </c>
      <c r="K20" s="114"/>
      <c r="L20" s="1"/>
      <c r="M20" s="7"/>
      <c r="S20" s="30"/>
      <c r="T20" s="30"/>
      <c r="U20" s="31"/>
      <c r="V20" s="31"/>
      <c r="W20" s="31"/>
      <c r="X20" s="31"/>
      <c r="Y20" s="31"/>
    </row>
    <row r="21" spans="1:25" ht="20.100000000000001" customHeight="1">
      <c r="A21" s="415"/>
      <c r="B21" s="421"/>
      <c r="C21" s="521"/>
      <c r="D21" s="413"/>
      <c r="E21" s="413"/>
      <c r="F21" s="413" t="s">
        <v>6</v>
      </c>
      <c r="G21" s="413" t="s">
        <v>6</v>
      </c>
      <c r="H21" s="413" t="str">
        <f>G21</f>
        <v xml:space="preserve"> </v>
      </c>
      <c r="I21" s="522"/>
      <c r="J21" s="414"/>
      <c r="K21" s="113"/>
      <c r="L21" s="1"/>
      <c r="M21" s="7"/>
      <c r="S21" s="30"/>
      <c r="T21" s="30"/>
      <c r="U21" s="31"/>
      <c r="V21" s="31"/>
      <c r="W21" s="31"/>
      <c r="X21" s="31"/>
      <c r="Y21" s="31"/>
    </row>
    <row r="22" spans="1:25" ht="20.100000000000001" customHeight="1">
      <c r="A22" s="407" t="s">
        <v>21</v>
      </c>
      <c r="B22" s="422"/>
      <c r="C22" s="423">
        <f>+C24+C30</f>
        <v>182671828</v>
      </c>
      <c r="D22" s="409">
        <f>+D24+D30</f>
        <v>152472575</v>
      </c>
      <c r="E22" s="409">
        <f>+E24+E30</f>
        <v>99974034</v>
      </c>
      <c r="F22" s="409">
        <f>F24+F30</f>
        <v>111037922</v>
      </c>
      <c r="G22" s="409">
        <f>+G24+G30</f>
        <v>8323159</v>
      </c>
      <c r="H22" s="409">
        <f>+G22+K22</f>
        <v>56485506</v>
      </c>
      <c r="I22" s="527">
        <f>H22-F22</f>
        <v>-54552416</v>
      </c>
      <c r="J22" s="410">
        <f>+H22/F22*100</f>
        <v>50.870463876296249</v>
      </c>
      <c r="K22" s="143">
        <v>48162347</v>
      </c>
      <c r="L22" s="1"/>
      <c r="M22" s="7" t="s">
        <v>6</v>
      </c>
      <c r="S22" s="32"/>
      <c r="T22" s="32"/>
      <c r="U22" s="31"/>
      <c r="V22" s="31"/>
      <c r="W22" s="31"/>
      <c r="X22" s="31"/>
      <c r="Y22" s="31"/>
    </row>
    <row r="23" spans="1:25" ht="20.100000000000001" customHeight="1">
      <c r="A23" s="407" t="s">
        <v>6</v>
      </c>
      <c r="B23" s="422"/>
      <c r="C23" s="523"/>
      <c r="D23" s="409"/>
      <c r="E23" s="409"/>
      <c r="F23" s="409"/>
      <c r="G23" s="409"/>
      <c r="H23" s="409">
        <f>G23</f>
        <v>0</v>
      </c>
      <c r="I23" s="423"/>
      <c r="J23" s="410"/>
      <c r="K23" s="143">
        <v>0</v>
      </c>
      <c r="L23" s="1"/>
      <c r="M23" s="7"/>
      <c r="R23" s="1"/>
      <c r="S23" s="30"/>
      <c r="T23" s="30"/>
      <c r="U23" s="31"/>
      <c r="V23" s="31"/>
      <c r="W23" s="31"/>
      <c r="X23" s="31"/>
      <c r="Y23" s="31"/>
    </row>
    <row r="24" spans="1:25" ht="33" customHeight="1">
      <c r="A24" s="424" t="s">
        <v>47</v>
      </c>
      <c r="B24" s="422" t="s">
        <v>48</v>
      </c>
      <c r="C24" s="409">
        <f>SUM(C26:C28)</f>
        <v>127866634</v>
      </c>
      <c r="D24" s="409">
        <f>SUM(D26:D28)</f>
        <v>127866634</v>
      </c>
      <c r="E24" s="409">
        <f>SUM(E26:E28)</f>
        <v>94763500</v>
      </c>
      <c r="F24" s="409">
        <f>+F26+F27+F28</f>
        <v>86431981</v>
      </c>
      <c r="G24" s="409">
        <f>SUM(G26:G28)</f>
        <v>8323159</v>
      </c>
      <c r="H24" s="409">
        <f>+G24+K24</f>
        <v>45278833</v>
      </c>
      <c r="I24" s="527">
        <f>+H24-F24</f>
        <v>-41153148</v>
      </c>
      <c r="J24" s="410">
        <f>+H24/F24*100</f>
        <v>52.386665764377192</v>
      </c>
      <c r="K24" s="143">
        <v>36955674</v>
      </c>
      <c r="L24" s="1"/>
      <c r="M24" s="7"/>
      <c r="S24" s="32"/>
      <c r="T24" s="32"/>
      <c r="U24" s="31"/>
      <c r="V24" s="31"/>
      <c r="W24" s="31"/>
      <c r="X24" s="31"/>
      <c r="Y24" s="31"/>
    </row>
    <row r="25" spans="1:25" ht="17.45" customHeight="1">
      <c r="A25" s="424"/>
      <c r="B25" s="422"/>
      <c r="C25" s="523"/>
      <c r="D25" s="409"/>
      <c r="E25" s="409"/>
      <c r="F25" s="409"/>
      <c r="G25" s="409"/>
      <c r="H25" s="409"/>
      <c r="I25" s="423"/>
      <c r="J25" s="410"/>
      <c r="K25" s="143"/>
      <c r="L25" s="1"/>
      <c r="M25" s="7"/>
      <c r="S25" s="32"/>
      <c r="T25" s="32"/>
      <c r="U25" s="31"/>
      <c r="V25" s="31"/>
      <c r="W25" s="31"/>
      <c r="X25" s="31"/>
      <c r="Y25" s="31"/>
    </row>
    <row r="26" spans="1:25" ht="20.100000000000001" customHeight="1">
      <c r="A26" s="419" t="s">
        <v>501</v>
      </c>
      <c r="B26" s="421"/>
      <c r="C26" s="417">
        <v>111927700</v>
      </c>
      <c r="D26" s="417">
        <f>111927700</f>
        <v>111927700</v>
      </c>
      <c r="E26" s="417">
        <v>88702609</v>
      </c>
      <c r="F26" s="417">
        <f>11423210+10840726+8812441+8234748+8150721+8313259+8431358+11349349</f>
        <v>75555812</v>
      </c>
      <c r="G26" s="417">
        <v>8313259</v>
      </c>
      <c r="H26" s="417">
        <f>K26+G26</f>
        <v>39389636</v>
      </c>
      <c r="I26" s="525">
        <f>+H26-F26</f>
        <v>-36166176</v>
      </c>
      <c r="J26" s="418">
        <f>+H26/F26*100</f>
        <v>52.133164818611178</v>
      </c>
      <c r="K26" s="144">
        <v>31076377</v>
      </c>
      <c r="L26" s="1"/>
      <c r="M26" s="7"/>
      <c r="S26" s="30"/>
      <c r="T26" s="30"/>
      <c r="U26" s="31"/>
      <c r="V26" s="31"/>
      <c r="W26" s="31"/>
      <c r="X26" s="31"/>
      <c r="Y26" s="31"/>
    </row>
    <row r="27" spans="1:25" ht="20.100000000000001" customHeight="1">
      <c r="A27" s="419" t="s">
        <v>502</v>
      </c>
      <c r="B27" s="416" t="s">
        <v>6</v>
      </c>
      <c r="C27" s="417">
        <v>109200</v>
      </c>
      <c r="D27" s="417">
        <v>109200</v>
      </c>
      <c r="E27" s="417" t="s">
        <v>6</v>
      </c>
      <c r="F27" s="417">
        <f>10200+9900+9900+9900+9900+9900+9900+9900</f>
        <v>79500</v>
      </c>
      <c r="G27" s="417">
        <v>9900</v>
      </c>
      <c r="H27" s="417">
        <f>K27+G27</f>
        <v>59700</v>
      </c>
      <c r="I27" s="520"/>
      <c r="J27" s="418">
        <f>+H27/F27*100</f>
        <v>75.094339622641513</v>
      </c>
      <c r="K27" s="144">
        <v>49800</v>
      </c>
      <c r="L27" s="1"/>
      <c r="M27" s="7"/>
      <c r="S27" s="30"/>
      <c r="T27" s="30"/>
      <c r="U27" s="31"/>
      <c r="V27" s="31"/>
      <c r="W27" s="31"/>
      <c r="X27" s="31"/>
      <c r="Y27" s="31"/>
    </row>
    <row r="28" spans="1:25" ht="20.100000000000001" customHeight="1">
      <c r="A28" s="419" t="s">
        <v>521</v>
      </c>
      <c r="B28" s="416"/>
      <c r="C28" s="417">
        <v>15829734</v>
      </c>
      <c r="D28" s="417">
        <v>15829734</v>
      </c>
      <c r="E28" s="417">
        <v>6060891</v>
      </c>
      <c r="F28" s="417">
        <f>2055517+1249548+1283191+1242245+1241241+1235386+1246018+1243523</f>
        <v>10796669</v>
      </c>
      <c r="G28" s="417">
        <v>0</v>
      </c>
      <c r="H28" s="417">
        <f>+G28+K28</f>
        <v>5829497</v>
      </c>
      <c r="I28" s="525">
        <f>+H28-F28</f>
        <v>-4967172</v>
      </c>
      <c r="J28" s="418">
        <f>+H28/F28*100</f>
        <v>53.993477062230951</v>
      </c>
      <c r="K28" s="136">
        <v>5829497</v>
      </c>
      <c r="L28" s="1"/>
      <c r="M28" s="7"/>
      <c r="S28" s="30"/>
      <c r="T28" s="30"/>
      <c r="U28" s="31"/>
      <c r="V28" s="31"/>
      <c r="W28" s="31"/>
      <c r="X28" s="31"/>
      <c r="Y28" s="31"/>
    </row>
    <row r="29" spans="1:25" ht="20.100000000000001" customHeight="1">
      <c r="A29" s="420" t="s">
        <v>6</v>
      </c>
      <c r="B29" s="421"/>
      <c r="C29" s="413" t="s">
        <v>6</v>
      </c>
      <c r="D29" s="413" t="s">
        <v>6</v>
      </c>
      <c r="E29" s="413" t="s">
        <v>6</v>
      </c>
      <c r="F29" s="425" t="s">
        <v>6</v>
      </c>
      <c r="G29" s="417" t="s">
        <v>6</v>
      </c>
      <c r="H29" s="413" t="s">
        <v>6</v>
      </c>
      <c r="I29" s="413"/>
      <c r="J29" s="414"/>
      <c r="K29" s="141" t="s">
        <v>6</v>
      </c>
      <c r="L29" s="1"/>
      <c r="M29" s="7"/>
      <c r="S29" s="30"/>
      <c r="T29" s="30"/>
      <c r="U29" s="31"/>
      <c r="V29" s="31"/>
      <c r="W29" s="31"/>
      <c r="X29" s="31"/>
      <c r="Y29" s="31"/>
    </row>
    <row r="30" spans="1:25" ht="23.25" customHeight="1">
      <c r="A30" s="424" t="s">
        <v>49</v>
      </c>
      <c r="B30" s="422" t="s">
        <v>50</v>
      </c>
      <c r="C30" s="409">
        <v>54805194</v>
      </c>
      <c r="D30" s="409">
        <v>24605941</v>
      </c>
      <c r="E30" s="409">
        <v>5210534</v>
      </c>
      <c r="F30" s="409">
        <v>24605941</v>
      </c>
      <c r="G30" s="409">
        <v>0</v>
      </c>
      <c r="H30" s="409">
        <f>+G30+K30</f>
        <v>11206673</v>
      </c>
      <c r="I30" s="524">
        <f>+H30-F30</f>
        <v>-13399268</v>
      </c>
      <c r="J30" s="410">
        <f>+H30/F30*100</f>
        <v>45.5445820990955</v>
      </c>
      <c r="K30" s="140">
        <v>11206673</v>
      </c>
      <c r="L30" s="1" t="s">
        <v>6</v>
      </c>
      <c r="M30" s="7"/>
      <c r="S30" s="33"/>
      <c r="T30" s="33"/>
      <c r="U30" s="31"/>
      <c r="V30" s="31"/>
      <c r="W30" s="31"/>
      <c r="X30" s="31"/>
      <c r="Y30" s="31"/>
    </row>
    <row r="31" spans="1:25" ht="20.100000000000001" customHeight="1" thickBot="1">
      <c r="A31" s="426" t="s">
        <v>6</v>
      </c>
      <c r="B31" s="427"/>
      <c r="C31" s="428"/>
      <c r="D31" s="429"/>
      <c r="E31" s="429"/>
      <c r="F31" s="429">
        <v>0</v>
      </c>
      <c r="G31" s="428" t="s">
        <v>6</v>
      </c>
      <c r="H31" s="429" t="s">
        <v>6</v>
      </c>
      <c r="I31" s="429"/>
      <c r="J31" s="430"/>
    </row>
    <row r="32" spans="1:25" ht="10.5" customHeight="1">
      <c r="A32" s="51" t="s">
        <v>6</v>
      </c>
      <c r="B32" s="51"/>
      <c r="C32" s="431"/>
      <c r="D32" s="51"/>
      <c r="E32" s="51"/>
      <c r="F32" s="51"/>
      <c r="G32" s="51"/>
      <c r="H32" s="51"/>
      <c r="I32" s="51"/>
      <c r="J32" s="51"/>
    </row>
    <row r="33" spans="1:10" ht="15.75">
      <c r="A33" s="117" t="s">
        <v>479</v>
      </c>
      <c r="B33" s="117"/>
      <c r="C33" s="432"/>
      <c r="D33" s="51"/>
      <c r="E33" s="51"/>
      <c r="F33" s="51" t="s">
        <v>6</v>
      </c>
      <c r="G33" s="51"/>
      <c r="H33" s="51"/>
      <c r="I33" s="51"/>
      <c r="J33" s="51"/>
    </row>
    <row r="38" spans="1:10" ht="12" customHeight="1"/>
    <row r="69" spans="1:25">
      <c r="A69" t="s">
        <v>519</v>
      </c>
      <c r="Y69" t="s">
        <v>522</v>
      </c>
    </row>
    <row r="70" spans="1:25">
      <c r="Y70" t="s">
        <v>445</v>
      </c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2" type="noConversion"/>
  <pageMargins left="7.874015748031496E-2" right="0" top="0.39370078740157483" bottom="0.39370078740157483" header="0.51181102362204722" footer="0.51181102362204722"/>
  <pageSetup scale="87" firstPageNumber="0" orientation="landscape" r:id="rId1"/>
  <headerFooter alignWithMargins="0"/>
  <ignoredErrors>
    <ignoredError sqref="F22 G22 H22:H23 F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</sheetPr>
  <dimension ref="A1:X56"/>
  <sheetViews>
    <sheetView showGridLines="0" showZeros="0" workbookViewId="0">
      <selection activeCell="A2" sqref="A2:H34"/>
    </sheetView>
  </sheetViews>
  <sheetFormatPr baseColWidth="10" defaultColWidth="11.42578125" defaultRowHeight="12.75"/>
  <cols>
    <col min="1" max="1" width="43.28515625" style="9" customWidth="1"/>
    <col min="2" max="2" width="12.28515625" style="9" customWidth="1"/>
    <col min="3" max="3" width="14.85546875" style="9" customWidth="1"/>
    <col min="4" max="4" width="17.140625" style="9" hidden="1" customWidth="1"/>
    <col min="5" max="5" width="17.7109375" style="9" hidden="1" customWidth="1"/>
    <col min="6" max="6" width="13.7109375" style="9" customWidth="1"/>
    <col min="7" max="7" width="14.5703125" style="9" customWidth="1"/>
    <col min="8" max="8" width="13.42578125" style="9" customWidth="1"/>
    <col min="9" max="9" width="4" customWidth="1"/>
  </cols>
  <sheetData>
    <row r="1" spans="1:24" ht="6.75" customHeight="1">
      <c r="A1" s="38"/>
      <c r="B1" s="38"/>
      <c r="C1" s="38"/>
      <c r="D1" s="39"/>
      <c r="E1" s="39"/>
      <c r="F1" s="39"/>
      <c r="G1" s="39"/>
      <c r="H1" s="40"/>
    </row>
    <row r="2" spans="1:24" ht="15" customHeight="1">
      <c r="A2" s="576" t="s">
        <v>375</v>
      </c>
      <c r="B2" s="576"/>
      <c r="C2" s="576"/>
      <c r="D2" s="576"/>
      <c r="E2" s="576"/>
      <c r="F2" s="576"/>
      <c r="G2" s="576"/>
      <c r="H2" s="576"/>
      <c r="I2" s="15"/>
      <c r="J2" s="15"/>
    </row>
    <row r="3" spans="1:24" ht="16.5" customHeight="1">
      <c r="A3" s="576" t="s">
        <v>376</v>
      </c>
      <c r="B3" s="576"/>
      <c r="C3" s="576"/>
      <c r="D3" s="576"/>
      <c r="E3" s="576"/>
      <c r="F3" s="576"/>
      <c r="G3" s="576"/>
      <c r="H3" s="576"/>
      <c r="I3" s="15"/>
      <c r="J3" s="15"/>
    </row>
    <row r="4" spans="1:24" ht="18" customHeight="1">
      <c r="A4" s="577" t="s">
        <v>517</v>
      </c>
      <c r="B4" s="577"/>
      <c r="C4" s="577"/>
      <c r="D4" s="577"/>
      <c r="E4" s="577"/>
      <c r="F4" s="577"/>
      <c r="G4" s="577"/>
      <c r="H4" s="577"/>
    </row>
    <row r="5" spans="1:24" ht="18" customHeight="1">
      <c r="A5" s="577" t="s">
        <v>543</v>
      </c>
      <c r="B5" s="577"/>
      <c r="C5" s="577"/>
      <c r="D5" s="577"/>
      <c r="E5" s="577"/>
      <c r="F5" s="577"/>
      <c r="G5" s="577"/>
      <c r="H5" s="577"/>
    </row>
    <row r="6" spans="1:24" ht="15.75" customHeight="1">
      <c r="A6" s="45"/>
      <c r="B6" s="45"/>
      <c r="C6" s="45"/>
      <c r="D6" s="45"/>
      <c r="E6" s="45"/>
      <c r="F6" s="45"/>
      <c r="G6" s="45"/>
      <c r="H6" s="45" t="s">
        <v>6</v>
      </c>
    </row>
    <row r="7" spans="1:24" ht="20.25" customHeight="1">
      <c r="A7" s="598" t="s">
        <v>0</v>
      </c>
      <c r="B7" s="602" t="s">
        <v>33</v>
      </c>
      <c r="C7" s="603"/>
      <c r="D7" s="603"/>
      <c r="E7" s="603"/>
      <c r="F7" s="604"/>
      <c r="G7" s="605" t="s">
        <v>516</v>
      </c>
      <c r="H7" s="600" t="s">
        <v>369</v>
      </c>
    </row>
    <row r="8" spans="1:24" ht="31.5" customHeight="1">
      <c r="A8" s="599"/>
      <c r="B8" s="196" t="s">
        <v>84</v>
      </c>
      <c r="C8" s="508" t="s">
        <v>523</v>
      </c>
      <c r="D8" s="197" t="s">
        <v>12</v>
      </c>
      <c r="E8" s="197" t="s">
        <v>12</v>
      </c>
      <c r="F8" s="197" t="s">
        <v>2</v>
      </c>
      <c r="G8" s="606"/>
      <c r="H8" s="601"/>
    </row>
    <row r="9" spans="1:24" s="4" customFormat="1" ht="6" customHeight="1">
      <c r="A9" s="198"/>
      <c r="B9" s="198"/>
      <c r="C9" s="199"/>
      <c r="D9" s="200" t="s">
        <v>6</v>
      </c>
      <c r="E9" s="200"/>
      <c r="F9" s="200"/>
      <c r="G9" s="200" t="s">
        <v>6</v>
      </c>
      <c r="H9" s="201" t="s">
        <v>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4.95" customHeight="1">
      <c r="A10" s="160" t="s">
        <v>51</v>
      </c>
      <c r="B10" s="202">
        <f>+[2]CA1!C11</f>
        <v>141094806</v>
      </c>
      <c r="C10" s="202">
        <f>+RECAUDACION!D11</f>
        <v>140457693</v>
      </c>
      <c r="D10" s="202">
        <f>+[2]CA1!D11</f>
        <v>141094806</v>
      </c>
      <c r="E10" s="165"/>
      <c r="F10" s="165">
        <f>+RECAUDACION!E11</f>
        <v>95020910</v>
      </c>
      <c r="G10" s="165">
        <f>+RECAUDACION!G11</f>
        <v>52268254.189999998</v>
      </c>
      <c r="H10" s="203">
        <f>G10/F10*100</f>
        <v>55.007107582951996</v>
      </c>
      <c r="I10" s="6"/>
    </row>
    <row r="11" spans="1:24" ht="15" customHeight="1">
      <c r="A11" s="160"/>
      <c r="B11" s="160"/>
      <c r="C11" s="202" t="s">
        <v>6</v>
      </c>
      <c r="D11" s="202">
        <f>+'EJEC GASTOS'!D181</f>
        <v>39580</v>
      </c>
      <c r="E11" s="165"/>
      <c r="F11" s="165"/>
      <c r="G11" s="165"/>
      <c r="H11" s="204"/>
      <c r="I11" s="6" t="s">
        <v>6</v>
      </c>
    </row>
    <row r="12" spans="1:24" ht="24.95" customHeight="1">
      <c r="A12" s="205" t="s">
        <v>52</v>
      </c>
      <c r="B12" s="206">
        <f>+B14+B15</f>
        <v>141094806</v>
      </c>
      <c r="C12" s="202">
        <f>+BALANCE!C11</f>
        <v>140457693</v>
      </c>
      <c r="D12" s="202" t="e">
        <f>+BALANCE!#REF!</f>
        <v>#REF!</v>
      </c>
      <c r="E12" s="202"/>
      <c r="F12" s="202">
        <f>+'EJEC GASTOS'!E182</f>
        <v>98029277</v>
      </c>
      <c r="G12" s="202">
        <f>+'EJEC GASTOS'!G182</f>
        <v>81242997.969999999</v>
      </c>
      <c r="H12" s="203">
        <f>G12/F12*100</f>
        <v>82.876259477053978</v>
      </c>
    </row>
    <row r="13" spans="1:24" ht="15" customHeight="1">
      <c r="A13" s="207"/>
      <c r="B13" s="207"/>
      <c r="C13" s="202" t="s">
        <v>6</v>
      </c>
      <c r="D13" s="202">
        <f>+'EJEC GASTOS'!D183</f>
        <v>0</v>
      </c>
      <c r="E13" s="208"/>
      <c r="F13" s="208"/>
      <c r="G13" s="208" t="s">
        <v>6</v>
      </c>
      <c r="H13" s="209"/>
    </row>
    <row r="14" spans="1:24" ht="24.95" customHeight="1">
      <c r="A14" s="210" t="s">
        <v>524</v>
      </c>
      <c r="B14" s="211">
        <f>+BALANCE!B13</f>
        <v>138843212</v>
      </c>
      <c r="C14" s="211">
        <f>+BALANCE!C13</f>
        <v>137019252</v>
      </c>
      <c r="D14" s="202" t="e">
        <f>+BALANCE!#REF!</f>
        <v>#REF!</v>
      </c>
      <c r="E14" s="211"/>
      <c r="F14" s="211">
        <f>+BALANCE!D13</f>
        <v>94683770</v>
      </c>
      <c r="G14" s="211">
        <f>+G12-G15</f>
        <v>79551409.599999994</v>
      </c>
      <c r="H14" s="212">
        <f>G14/F14*100</f>
        <v>84.01799970575739</v>
      </c>
    </row>
    <row r="15" spans="1:24" ht="24.95" customHeight="1">
      <c r="A15" s="213" t="s">
        <v>53</v>
      </c>
      <c r="B15" s="211">
        <f>+'EJEC GASTOS'!C159</f>
        <v>2251594</v>
      </c>
      <c r="C15" s="211">
        <f>+'EJEC GASTOS'!D159</f>
        <v>3438441</v>
      </c>
      <c r="D15" s="202" t="e">
        <f>+BALANCE!#REF!</f>
        <v>#REF!</v>
      </c>
      <c r="E15" s="211"/>
      <c r="F15" s="211">
        <f>+'EJEC GASTOS'!E159</f>
        <v>3345507</v>
      </c>
      <c r="G15" s="211">
        <f>+'EJEC GASTOS'!G159</f>
        <v>1691588.37</v>
      </c>
      <c r="H15" s="212">
        <f>G15/F15*100</f>
        <v>50.562990004205645</v>
      </c>
    </row>
    <row r="16" spans="1:24" ht="13.5" customHeight="1">
      <c r="A16" s="213"/>
      <c r="B16" s="213"/>
      <c r="C16" s="214"/>
      <c r="D16" s="211"/>
      <c r="E16" s="211"/>
      <c r="F16" s="211"/>
      <c r="G16" s="211"/>
      <c r="H16" s="212" t="s">
        <v>6</v>
      </c>
      <c r="L16" s="1" t="s">
        <v>6</v>
      </c>
    </row>
    <row r="17" spans="1:11" ht="24.95" customHeight="1">
      <c r="A17" s="205" t="s">
        <v>392</v>
      </c>
      <c r="B17" s="205"/>
      <c r="C17" s="215"/>
      <c r="D17" s="216">
        <v>0</v>
      </c>
      <c r="E17" s="216"/>
      <c r="F17" s="216">
        <v>0</v>
      </c>
      <c r="G17" s="217">
        <f>G10-G12-1</f>
        <v>-28974744.780000001</v>
      </c>
      <c r="H17" s="212" t="s">
        <v>6</v>
      </c>
    </row>
    <row r="18" spans="1:11" ht="12.75" customHeight="1">
      <c r="A18" s="213" t="s">
        <v>6</v>
      </c>
      <c r="B18" s="213"/>
      <c r="C18" s="214"/>
      <c r="D18" s="211"/>
      <c r="E18" s="211"/>
      <c r="F18" s="211"/>
      <c r="G18" s="211"/>
      <c r="H18" s="212" t="s">
        <v>6</v>
      </c>
    </row>
    <row r="19" spans="1:11" ht="24.95" customHeight="1">
      <c r="A19" s="205" t="s">
        <v>54</v>
      </c>
      <c r="B19" s="218">
        <f>+B21</f>
        <v>56905194</v>
      </c>
      <c r="C19" s="202">
        <f>SUM(C21)</f>
        <v>26705941</v>
      </c>
      <c r="D19" s="202">
        <f>SUM(D21:D24)</f>
        <v>56905194</v>
      </c>
      <c r="E19" s="202"/>
      <c r="F19" s="202">
        <f>SUM(F21:F24)</f>
        <v>26705941</v>
      </c>
      <c r="G19" s="202">
        <f>SUM(G21:G24)</f>
        <v>25647260.290000003</v>
      </c>
      <c r="H19" s="203">
        <f>G19/F19*100</f>
        <v>96.035785782646656</v>
      </c>
    </row>
    <row r="20" spans="1:11" ht="15.75" customHeight="1">
      <c r="A20" s="213"/>
      <c r="B20" s="213"/>
      <c r="C20" s="214"/>
      <c r="D20" s="211" t="s">
        <v>6</v>
      </c>
      <c r="E20" s="211"/>
      <c r="F20" s="211" t="s">
        <v>6</v>
      </c>
      <c r="G20" s="211"/>
      <c r="H20" s="212" t="s">
        <v>6</v>
      </c>
    </row>
    <row r="21" spans="1:11" ht="24.95" customHeight="1">
      <c r="A21" s="213" t="s">
        <v>393</v>
      </c>
      <c r="B21" s="211">
        <f>+'PROYECTOS INV'!B42</f>
        <v>56905194</v>
      </c>
      <c r="C21" s="211">
        <f>+'PROYECTOS INV'!C42</f>
        <v>26705941</v>
      </c>
      <c r="D21" s="211">
        <f>+'PROYECTOS INV'!B42</f>
        <v>56905194</v>
      </c>
      <c r="E21" s="211"/>
      <c r="F21" s="211">
        <f>+'PROYECTOS INV'!D42</f>
        <v>26705941</v>
      </c>
      <c r="G21" s="211">
        <f>+'PROYECTOS INV'!F42</f>
        <v>25647260.290000003</v>
      </c>
      <c r="H21" s="212">
        <f>G21/F21*100</f>
        <v>96.035785782646656</v>
      </c>
      <c r="I21" t="s">
        <v>6</v>
      </c>
    </row>
    <row r="22" spans="1:11" ht="24.95" customHeight="1">
      <c r="A22" s="213" t="s">
        <v>483</v>
      </c>
      <c r="B22" s="213"/>
      <c r="C22" s="214"/>
      <c r="D22" s="211">
        <v>0</v>
      </c>
      <c r="E22" s="211"/>
      <c r="F22" s="211">
        <v>0</v>
      </c>
      <c r="G22" s="211" t="s">
        <v>6</v>
      </c>
      <c r="H22" s="212" t="s">
        <v>6</v>
      </c>
    </row>
    <row r="23" spans="1:11" ht="24.95" customHeight="1">
      <c r="A23" s="213" t="s">
        <v>484</v>
      </c>
      <c r="B23" s="213"/>
      <c r="C23" s="214"/>
      <c r="D23" s="211">
        <v>0</v>
      </c>
      <c r="E23" s="211"/>
      <c r="F23" s="211">
        <v>0</v>
      </c>
      <c r="G23" s="211">
        <v>0</v>
      </c>
      <c r="H23" s="212" t="s">
        <v>6</v>
      </c>
    </row>
    <row r="24" spans="1:11" ht="24.95" customHeight="1">
      <c r="A24" s="213" t="s">
        <v>485</v>
      </c>
      <c r="B24" s="213"/>
      <c r="C24" s="214"/>
      <c r="D24" s="211" t="s">
        <v>6</v>
      </c>
      <c r="E24" s="211"/>
      <c r="F24" s="211" t="s">
        <v>6</v>
      </c>
      <c r="G24" s="211">
        <v>0</v>
      </c>
      <c r="H24" s="212" t="s">
        <v>6</v>
      </c>
    </row>
    <row r="25" spans="1:11" ht="11.25" customHeight="1">
      <c r="A25" s="213"/>
      <c r="B25" s="213"/>
      <c r="C25" s="214"/>
      <c r="D25" s="211"/>
      <c r="E25" s="211"/>
      <c r="F25" s="211"/>
      <c r="G25" s="211" t="s">
        <v>6</v>
      </c>
      <c r="H25" s="212" t="s">
        <v>6</v>
      </c>
    </row>
    <row r="26" spans="1:11" ht="24.95" customHeight="1">
      <c r="A26" s="205" t="s">
        <v>55</v>
      </c>
      <c r="B26" s="206">
        <f>+B28+B30</f>
        <v>56905194</v>
      </c>
      <c r="C26" s="202">
        <f>SUM(C28:C30)</f>
        <v>26705941</v>
      </c>
      <c r="D26" s="202" t="e">
        <f>SUM(D28:D30)</f>
        <v>#REF!</v>
      </c>
      <c r="E26" s="202"/>
      <c r="F26" s="202">
        <f>SUM(F28:F30)</f>
        <v>26285941</v>
      </c>
      <c r="G26" s="202">
        <f>SUM(G28:G30)</f>
        <v>12886673</v>
      </c>
      <c r="H26" s="203">
        <f>G26/F26*100</f>
        <v>49.024963572732666</v>
      </c>
    </row>
    <row r="27" spans="1:11" ht="12.75" customHeight="1">
      <c r="A27" s="213"/>
      <c r="B27" s="213"/>
      <c r="C27" s="214"/>
      <c r="D27" s="211"/>
      <c r="E27" s="211"/>
      <c r="F27" s="211"/>
      <c r="G27" s="211"/>
      <c r="H27" s="212" t="s">
        <v>6</v>
      </c>
    </row>
    <row r="28" spans="1:11" ht="24.95" customHeight="1">
      <c r="A28" s="213" t="s">
        <v>56</v>
      </c>
      <c r="B28" s="211">
        <f>+RECAUDACION!C40</f>
        <v>2100000</v>
      </c>
      <c r="C28" s="211">
        <f>+RECAUDACION!D40</f>
        <v>2100000</v>
      </c>
      <c r="D28" s="211">
        <f>+RECAUDACION!D40</f>
        <v>2100000</v>
      </c>
      <c r="E28" s="211"/>
      <c r="F28" s="211">
        <f>+RECAUDACION!E40</f>
        <v>1680000</v>
      </c>
      <c r="G28" s="211">
        <f>+RECAUDACION!G41</f>
        <v>1680000</v>
      </c>
      <c r="H28" s="212">
        <f>G28/F28*100</f>
        <v>100</v>
      </c>
    </row>
    <row r="29" spans="1:11" ht="24.95" customHeight="1">
      <c r="A29" s="213" t="s">
        <v>394</v>
      </c>
      <c r="B29" s="213"/>
      <c r="C29" s="214"/>
      <c r="D29" s="211">
        <v>0</v>
      </c>
      <c r="E29" s="211"/>
      <c r="F29" s="211">
        <v>0</v>
      </c>
      <c r="G29" s="211">
        <v>0</v>
      </c>
      <c r="H29" s="212" t="s">
        <v>6</v>
      </c>
      <c r="K29" t="s">
        <v>6</v>
      </c>
    </row>
    <row r="30" spans="1:11" ht="24.95" customHeight="1">
      <c r="A30" s="213" t="s">
        <v>57</v>
      </c>
      <c r="B30" s="211">
        <f>+RECAUDACION!C37</f>
        <v>54805194</v>
      </c>
      <c r="C30" s="211">
        <f>+RECAUDACION!D37</f>
        <v>24605941</v>
      </c>
      <c r="D30" s="211" t="e">
        <f>+RECAUDACION!#REF!</f>
        <v>#REF!</v>
      </c>
      <c r="E30" s="211"/>
      <c r="F30" s="211">
        <f>+RECAUDACION!E37</f>
        <v>24605941</v>
      </c>
      <c r="G30" s="211">
        <f>+RECAUDACION!G37</f>
        <v>11206673</v>
      </c>
      <c r="H30" s="212">
        <f>G30/F30*100</f>
        <v>45.5445820990955</v>
      </c>
    </row>
    <row r="31" spans="1:11" ht="8.25" customHeight="1">
      <c r="A31" s="219"/>
      <c r="B31" s="219"/>
      <c r="C31" s="220"/>
      <c r="D31" s="221" t="s">
        <v>6</v>
      </c>
      <c r="E31" s="221"/>
      <c r="F31" s="221" t="s">
        <v>6</v>
      </c>
      <c r="G31" s="208" t="s">
        <v>6</v>
      </c>
      <c r="H31" s="209" t="s">
        <v>6</v>
      </c>
    </row>
    <row r="32" spans="1:11" ht="24.95" customHeight="1">
      <c r="A32" s="222" t="s">
        <v>58</v>
      </c>
      <c r="B32" s="223"/>
      <c r="C32" s="224"/>
      <c r="D32" s="225" t="s">
        <v>6</v>
      </c>
      <c r="E32" s="225"/>
      <c r="F32" s="225" t="s">
        <v>6</v>
      </c>
      <c r="G32" s="226">
        <f>G17-G19+G26+1</f>
        <v>-41735331.070000008</v>
      </c>
      <c r="H32" s="227" t="s">
        <v>6</v>
      </c>
    </row>
    <row r="33" spans="1:11" ht="16.5" customHeight="1">
      <c r="A33" s="228" t="s">
        <v>6</v>
      </c>
      <c r="B33" s="228"/>
      <c r="C33" s="228"/>
      <c r="D33" s="229"/>
      <c r="E33" s="229"/>
      <c r="F33" s="229"/>
      <c r="G33" s="229"/>
      <c r="H33" s="229"/>
      <c r="I33" s="13"/>
      <c r="J33" s="9"/>
      <c r="K33" s="9"/>
    </row>
    <row r="34" spans="1:11" ht="13.5" customHeight="1">
      <c r="A34" s="117" t="s">
        <v>480</v>
      </c>
      <c r="B34"/>
      <c r="C34"/>
      <c r="D34"/>
      <c r="E34"/>
      <c r="F34"/>
      <c r="G34"/>
      <c r="H34"/>
      <c r="I34" s="9"/>
      <c r="J34" s="26"/>
      <c r="K34" s="9"/>
    </row>
    <row r="35" spans="1:11" ht="12.75" customHeight="1">
      <c r="A35"/>
      <c r="B35"/>
      <c r="C35"/>
      <c r="D35"/>
      <c r="E35"/>
      <c r="F35"/>
      <c r="G35" s="597" t="s">
        <v>6</v>
      </c>
      <c r="H35" s="597"/>
      <c r="I35" s="9"/>
      <c r="J35" s="27" t="s">
        <v>6</v>
      </c>
      <c r="K35" s="9"/>
    </row>
    <row r="36" spans="1:11" ht="14.25" customHeight="1">
      <c r="D36" s="13"/>
      <c r="E36" s="13"/>
      <c r="F36" s="13"/>
      <c r="G36" s="13"/>
      <c r="H36" s="13"/>
    </row>
    <row r="37" spans="1:11" ht="11.25" customHeight="1">
      <c r="A37" s="13" t="s">
        <v>6</v>
      </c>
      <c r="B37" s="13"/>
      <c r="C37" s="13"/>
    </row>
    <row r="38" spans="1:11" ht="11.25" customHeight="1">
      <c r="A38" s="13"/>
      <c r="B38" s="13"/>
      <c r="C38" s="13"/>
      <c r="J38" t="s">
        <v>6</v>
      </c>
    </row>
    <row r="39" spans="1:11" ht="11.25" customHeight="1">
      <c r="A39" s="13"/>
      <c r="B39" s="13"/>
      <c r="C39" s="13"/>
    </row>
    <row r="56" spans="7:7">
      <c r="G56" s="9" t="s">
        <v>6</v>
      </c>
    </row>
  </sheetData>
  <mergeCells count="9">
    <mergeCell ref="A2:H2"/>
    <mergeCell ref="A3:H3"/>
    <mergeCell ref="G35:H35"/>
    <mergeCell ref="A4:H4"/>
    <mergeCell ref="A5:H5"/>
    <mergeCell ref="A7:A8"/>
    <mergeCell ref="H7:H8"/>
    <mergeCell ref="B7:F7"/>
    <mergeCell ref="G7:G8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C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1:L88"/>
  <sheetViews>
    <sheetView showGridLines="0" showZeros="0" topLeftCell="A160" workbookViewId="0">
      <pane ySplit="1560" activePane="bottomLeft"/>
      <selection activeCell="A164" sqref="A164"/>
      <selection pane="bottomLeft" activeCell="I19" sqref="I19"/>
    </sheetView>
  </sheetViews>
  <sheetFormatPr baseColWidth="10" defaultColWidth="11.42578125" defaultRowHeight="12.75"/>
  <cols>
    <col min="1" max="1" width="32" style="9" customWidth="1"/>
    <col min="2" max="2" width="11.28515625" style="9" customWidth="1"/>
    <col min="3" max="3" width="12.7109375" style="9" customWidth="1"/>
    <col min="4" max="4" width="13.28515625" style="9" hidden="1" customWidth="1"/>
    <col min="5" max="5" width="15.140625" style="9" hidden="1" customWidth="1"/>
    <col min="6" max="6" width="12.28515625" style="9" customWidth="1"/>
    <col min="7" max="7" width="15.7109375" style="9" customWidth="1"/>
    <col min="8" max="8" width="12.5703125" style="9" hidden="1" customWidth="1"/>
    <col min="9" max="9" width="14.28515625" style="9" customWidth="1"/>
  </cols>
  <sheetData>
    <row r="1" spans="1:12" ht="18" customHeight="1">
      <c r="A1" s="576" t="s">
        <v>375</v>
      </c>
      <c r="B1" s="576"/>
      <c r="C1" s="576"/>
      <c r="D1" s="576"/>
      <c r="E1" s="576"/>
      <c r="F1" s="576"/>
      <c r="G1" s="576"/>
      <c r="H1" s="576"/>
      <c r="I1" s="576"/>
    </row>
    <row r="2" spans="1:12" ht="19.5" customHeight="1">
      <c r="A2" s="576" t="s">
        <v>376</v>
      </c>
      <c r="B2" s="576"/>
      <c r="C2" s="576"/>
      <c r="D2" s="576"/>
      <c r="E2" s="576"/>
      <c r="F2" s="576"/>
      <c r="G2" s="576"/>
      <c r="H2" s="576"/>
      <c r="I2" s="576"/>
    </row>
    <row r="3" spans="1:12" ht="18" customHeight="1">
      <c r="A3" s="577" t="s">
        <v>503</v>
      </c>
      <c r="B3" s="577"/>
      <c r="C3" s="577"/>
      <c r="D3" s="577"/>
      <c r="E3" s="577"/>
      <c r="F3" s="577"/>
      <c r="G3" s="577"/>
      <c r="H3" s="577"/>
      <c r="I3" s="577"/>
    </row>
    <row r="4" spans="1:12" ht="18" customHeight="1">
      <c r="A4" s="577" t="s">
        <v>544</v>
      </c>
      <c r="B4" s="577"/>
      <c r="C4" s="577"/>
      <c r="D4" s="577"/>
      <c r="E4" s="577"/>
      <c r="F4" s="577"/>
      <c r="G4" s="577"/>
      <c r="H4" s="577"/>
      <c r="I4" s="577"/>
    </row>
    <row r="5" spans="1:12" ht="3" customHeight="1">
      <c r="A5" s="230"/>
      <c r="B5" s="230"/>
      <c r="C5" s="230"/>
      <c r="D5" s="230"/>
      <c r="E5" s="230"/>
      <c r="F5" s="230"/>
      <c r="G5" s="230"/>
      <c r="H5" s="230"/>
      <c r="I5" s="230"/>
    </row>
    <row r="6" spans="1:12" ht="8.25" customHeight="1">
      <c r="A6" s="230"/>
      <c r="B6" s="230"/>
      <c r="C6" s="230"/>
      <c r="D6" s="230"/>
      <c r="E6" s="5"/>
      <c r="F6" s="5"/>
      <c r="G6" s="5"/>
      <c r="H6" s="5"/>
      <c r="I6" s="45"/>
    </row>
    <row r="7" spans="1:12" ht="20.100000000000001" customHeight="1">
      <c r="A7" s="607" t="s">
        <v>0</v>
      </c>
      <c r="B7" s="610" t="s">
        <v>33</v>
      </c>
      <c r="C7" s="611"/>
      <c r="D7" s="611"/>
      <c r="E7" s="611"/>
      <c r="F7" s="611"/>
      <c r="G7" s="612"/>
      <c r="H7" s="231"/>
      <c r="I7" s="600" t="s">
        <v>369</v>
      </c>
    </row>
    <row r="8" spans="1:12" ht="31.5" customHeight="1">
      <c r="A8" s="608"/>
      <c r="B8" s="232" t="s">
        <v>84</v>
      </c>
      <c r="C8" s="233" t="s">
        <v>523</v>
      </c>
      <c r="D8" s="233" t="s">
        <v>12</v>
      </c>
      <c r="E8" s="433" t="s">
        <v>12</v>
      </c>
      <c r="F8" s="433" t="s">
        <v>2</v>
      </c>
      <c r="G8" s="233" t="s">
        <v>516</v>
      </c>
      <c r="H8" s="234" t="s">
        <v>23</v>
      </c>
      <c r="I8" s="609"/>
      <c r="L8" t="s">
        <v>6</v>
      </c>
    </row>
    <row r="9" spans="1:12" ht="6.75" customHeight="1">
      <c r="A9" s="235"/>
      <c r="B9" s="235"/>
      <c r="C9" s="236"/>
      <c r="D9" s="237"/>
      <c r="E9" s="238"/>
      <c r="F9" s="239"/>
      <c r="G9" s="239"/>
      <c r="H9" s="239"/>
      <c r="I9" s="240"/>
    </row>
    <row r="10" spans="1:12" ht="18" customHeight="1">
      <c r="A10" s="241" t="s">
        <v>24</v>
      </c>
      <c r="B10" s="241"/>
      <c r="C10" s="242"/>
      <c r="D10" s="243"/>
      <c r="E10" s="243"/>
      <c r="F10" s="243"/>
      <c r="G10" s="243"/>
      <c r="H10" s="243"/>
      <c r="I10" s="244"/>
    </row>
    <row r="11" spans="1:12" ht="9" customHeight="1">
      <c r="A11" s="160"/>
      <c r="B11" s="160"/>
      <c r="C11" s="245"/>
      <c r="D11" s="245"/>
      <c r="E11" s="245"/>
      <c r="F11" s="245"/>
      <c r="G11" s="245"/>
      <c r="H11" s="245"/>
      <c r="I11" s="166"/>
    </row>
    <row r="12" spans="1:12" ht="15" customHeight="1">
      <c r="A12" s="160" t="s">
        <v>25</v>
      </c>
      <c r="B12" s="246">
        <f>B15</f>
        <v>141094.80600000001</v>
      </c>
      <c r="C12" s="246">
        <f>C15</f>
        <v>140457.69300000003</v>
      </c>
      <c r="D12" s="246" t="e">
        <f>+D15</f>
        <v>#REF!</v>
      </c>
      <c r="E12" s="246" t="e">
        <f>+E15+#REF!</f>
        <v>#REF!</v>
      </c>
      <c r="F12" s="246">
        <f>+F15</f>
        <v>95020.91</v>
      </c>
      <c r="G12" s="246">
        <f>+G15</f>
        <v>52268.25419</v>
      </c>
      <c r="H12" s="247" t="e">
        <f>+G12-E12</f>
        <v>#REF!</v>
      </c>
      <c r="I12" s="164">
        <f>G12/F12*100</f>
        <v>55.007107582951996</v>
      </c>
    </row>
    <row r="13" spans="1:12" ht="11.25" customHeight="1">
      <c r="A13" s="248"/>
      <c r="B13" s="249"/>
      <c r="C13" s="249"/>
      <c r="D13" s="249"/>
      <c r="E13" s="249"/>
      <c r="F13" s="249"/>
      <c r="G13" s="249"/>
      <c r="H13" s="249"/>
      <c r="I13" s="250" t="s">
        <v>6</v>
      </c>
    </row>
    <row r="14" spans="1:12" ht="15" customHeight="1">
      <c r="A14" s="160" t="s">
        <v>59</v>
      </c>
      <c r="B14" s="249"/>
      <c r="C14" s="249"/>
      <c r="D14" s="249"/>
      <c r="E14" s="249"/>
      <c r="F14" s="249"/>
      <c r="G14" s="249"/>
      <c r="H14" s="249"/>
      <c r="I14" s="250" t="s">
        <v>6</v>
      </c>
    </row>
    <row r="15" spans="1:12" ht="15" customHeight="1">
      <c r="A15" s="160" t="s">
        <v>60</v>
      </c>
      <c r="B15" s="246">
        <f>SUM(B16:B19)</f>
        <v>141094.80600000001</v>
      </c>
      <c r="C15" s="246">
        <f>SUM(C16:C19)</f>
        <v>140457.69300000003</v>
      </c>
      <c r="D15" s="246" t="e">
        <f>SUM(D16:D19)</f>
        <v>#REF!</v>
      </c>
      <c r="E15" s="246">
        <f>SUM(E16:E19)</f>
        <v>140457.69300000003</v>
      </c>
      <c r="F15" s="246">
        <f>+F16+F17+F18+F19</f>
        <v>95020.91</v>
      </c>
      <c r="G15" s="251">
        <f>+(RECAUDACION!G13)/1000</f>
        <v>52268.25419</v>
      </c>
      <c r="H15" s="247">
        <f>+G15-E15</f>
        <v>-88189.438810000021</v>
      </c>
      <c r="I15" s="164">
        <f t="shared" ref="I15:I50" si="0">G15/F15*100</f>
        <v>55.007107582951996</v>
      </c>
    </row>
    <row r="16" spans="1:12" ht="15" customHeight="1">
      <c r="A16" s="175" t="s">
        <v>61</v>
      </c>
      <c r="B16" s="251">
        <f>+(RECAUDACION!C15)/1000</f>
        <v>5476.4920000000002</v>
      </c>
      <c r="C16" s="251">
        <f>+(RECAUDACION!D15)/1000</f>
        <v>5476.4920000000002</v>
      </c>
      <c r="D16" s="251" t="e">
        <f>+(RECAUDACION!#REF!)/1000</f>
        <v>#REF!</v>
      </c>
      <c r="E16" s="251">
        <f>+(RECAUDACION!D15)/1000</f>
        <v>5476.4920000000002</v>
      </c>
      <c r="F16" s="251">
        <f>+(RECAUDACION!E15)/1000</f>
        <v>3810.2080000000001</v>
      </c>
      <c r="G16" s="251">
        <f>+(RECAUDACION!G15)/1000</f>
        <v>1129.9673</v>
      </c>
      <c r="H16" s="252">
        <f>+G16-E16</f>
        <v>-4346.5246999999999</v>
      </c>
      <c r="I16" s="174">
        <f t="shared" si="0"/>
        <v>29.656315350763002</v>
      </c>
      <c r="J16" t="s">
        <v>6</v>
      </c>
    </row>
    <row r="17" spans="1:11" ht="15" customHeight="1">
      <c r="A17" s="175" t="s">
        <v>395</v>
      </c>
      <c r="B17" s="251">
        <f>+(RECAUDACION!C21)/1000</f>
        <v>127866.63400000001</v>
      </c>
      <c r="C17" s="251">
        <f>+(RECAUDACION!D21)/1000</f>
        <v>127866.63400000001</v>
      </c>
      <c r="D17" s="251">
        <f>+(RECAUDACION!D21)/1000</f>
        <v>127866.63400000001</v>
      </c>
      <c r="E17" s="251">
        <f>+(RECAUDACION!D21)/1000</f>
        <v>127866.63400000001</v>
      </c>
      <c r="F17" s="251">
        <f>+(RECAUDACION!E21)/1000</f>
        <v>86431.981</v>
      </c>
      <c r="G17" s="251">
        <f>+(RECAUDACION!G21)/1000</f>
        <v>45278.832999999999</v>
      </c>
      <c r="H17" s="252">
        <f>+G17-E17</f>
        <v>-82587.801000000007</v>
      </c>
      <c r="I17" s="174">
        <f t="shared" si="0"/>
        <v>52.386665764377192</v>
      </c>
      <c r="K17" t="s">
        <v>6</v>
      </c>
    </row>
    <row r="18" spans="1:11" ht="15" customHeight="1">
      <c r="A18" s="175" t="s">
        <v>62</v>
      </c>
      <c r="B18" s="251">
        <f>+(RECAUDACION!C26)/1000</f>
        <v>5251.68</v>
      </c>
      <c r="C18" s="251">
        <f>+(RECAUDACION!D26)/1000</f>
        <v>4614.567</v>
      </c>
      <c r="D18" s="251" t="e">
        <f>+(RECAUDACION!#REF!)/1000</f>
        <v>#REF!</v>
      </c>
      <c r="E18" s="251">
        <f>+(RECAUDACION!D26)/1000</f>
        <v>4614.567</v>
      </c>
      <c r="F18" s="251">
        <f>+(RECAUDACION!E26)/1000</f>
        <v>3028.72</v>
      </c>
      <c r="G18" s="251">
        <f>+(RECAUDACION!G26)/1000</f>
        <v>5318.588459999999</v>
      </c>
      <c r="H18" s="252">
        <f>+G18-E18</f>
        <v>704.02145999999902</v>
      </c>
      <c r="I18" s="174">
        <f t="shared" si="0"/>
        <v>175.60515531313555</v>
      </c>
    </row>
    <row r="19" spans="1:11" ht="15" customHeight="1">
      <c r="A19" s="175" t="s">
        <v>63</v>
      </c>
      <c r="B19" s="251">
        <f>+(RECAUDACION!C31)/1000</f>
        <v>2500</v>
      </c>
      <c r="C19" s="251">
        <f>+(RECAUDACION!D31)/1000</f>
        <v>2500</v>
      </c>
      <c r="D19" s="251" t="e">
        <f>+(RECAUDACION!#REF!)/1000</f>
        <v>#REF!</v>
      </c>
      <c r="E19" s="251">
        <f>+(RECAUDACION!D31)/1000</f>
        <v>2500</v>
      </c>
      <c r="F19" s="251">
        <f>+(RECAUDACION!E31)/1000</f>
        <v>1750.001</v>
      </c>
      <c r="G19" s="251">
        <f>+(RECAUDACION!G31)/1000</f>
        <v>540.86542999999995</v>
      </c>
      <c r="H19" s="252">
        <f>+G19-E19</f>
        <v>-1959.1345700000002</v>
      </c>
      <c r="I19" s="174">
        <f t="shared" si="0"/>
        <v>30.90657833909809</v>
      </c>
    </row>
    <row r="20" spans="1:11" ht="9" customHeight="1">
      <c r="A20" s="248"/>
      <c r="B20" s="249"/>
      <c r="C20" s="249"/>
      <c r="D20" s="249"/>
      <c r="E20" s="249"/>
      <c r="F20" s="249"/>
      <c r="G20" s="249"/>
      <c r="H20" s="249"/>
      <c r="I20" s="250" t="s">
        <v>6</v>
      </c>
    </row>
    <row r="21" spans="1:11" ht="15" customHeight="1">
      <c r="A21" s="160" t="s">
        <v>11</v>
      </c>
      <c r="B21" s="249">
        <f t="shared" ref="B21:G21" si="1">SUM(B23:B25)</f>
        <v>2100</v>
      </c>
      <c r="C21" s="249">
        <f t="shared" si="1"/>
        <v>7310.5339999999997</v>
      </c>
      <c r="D21" s="246" t="e">
        <f t="shared" si="1"/>
        <v>#REF!</v>
      </c>
      <c r="E21" s="246">
        <f t="shared" si="1"/>
        <v>7310.5339999999997</v>
      </c>
      <c r="F21" s="246">
        <f t="shared" si="1"/>
        <v>6319.3770000000004</v>
      </c>
      <c r="G21" s="246">
        <f t="shared" si="1"/>
        <v>12886.673000000001</v>
      </c>
      <c r="H21" s="247">
        <f>+G21-E21</f>
        <v>5576.139000000001</v>
      </c>
      <c r="I21" s="164">
        <f t="shared" si="0"/>
        <v>203.923155716141</v>
      </c>
    </row>
    <row r="22" spans="1:11" ht="9" customHeight="1">
      <c r="A22" s="248"/>
      <c r="B22" s="249"/>
      <c r="C22" s="249"/>
      <c r="D22" s="249"/>
      <c r="E22" s="249"/>
      <c r="F22" s="249"/>
      <c r="G22" s="249"/>
      <c r="H22" s="253"/>
      <c r="I22" s="250" t="s">
        <v>6</v>
      </c>
    </row>
    <row r="23" spans="1:11" ht="15" customHeight="1">
      <c r="A23" s="175" t="s">
        <v>396</v>
      </c>
      <c r="B23" s="251">
        <f>+(RECAUDACION!C40)/1000</f>
        <v>2100</v>
      </c>
      <c r="C23" s="251">
        <f>+(RECAUDACION!D40)/1000</f>
        <v>2100</v>
      </c>
      <c r="D23" s="251" t="e">
        <f>+(RECAUDACION!#REF!)/1000</f>
        <v>#REF!</v>
      </c>
      <c r="E23" s="251">
        <f>+(RECAUDACION!D40)/1000</f>
        <v>2100</v>
      </c>
      <c r="F23" s="251">
        <f>+(RECAUDACION!E40)/1000</f>
        <v>1680</v>
      </c>
      <c r="G23" s="251">
        <f>+(RECAUDACION!G40)/1000</f>
        <v>1680</v>
      </c>
      <c r="H23" s="252">
        <f>+G23-E23</f>
        <v>-420</v>
      </c>
      <c r="I23" s="174">
        <f t="shared" si="0"/>
        <v>100</v>
      </c>
    </row>
    <row r="24" spans="1:11" ht="15" customHeight="1">
      <c r="A24" s="175" t="s">
        <v>64</v>
      </c>
      <c r="B24" s="251">
        <v>0</v>
      </c>
      <c r="C24" s="251">
        <v>0</v>
      </c>
      <c r="D24" s="251">
        <v>0</v>
      </c>
      <c r="E24" s="251">
        <v>0</v>
      </c>
      <c r="F24" s="251">
        <v>0</v>
      </c>
      <c r="G24" s="251">
        <v>0</v>
      </c>
      <c r="H24" s="252">
        <f>+G24-E24</f>
        <v>0</v>
      </c>
      <c r="I24" s="174" t="s">
        <v>6</v>
      </c>
    </row>
    <row r="25" spans="1:11" ht="15" customHeight="1">
      <c r="A25" s="160" t="s">
        <v>397</v>
      </c>
      <c r="B25" s="251">
        <f t="shared" ref="B25:G25" si="2">SUM(B26)</f>
        <v>0</v>
      </c>
      <c r="C25" s="251">
        <f t="shared" si="2"/>
        <v>5210.5339999999997</v>
      </c>
      <c r="D25" s="246" t="e">
        <f t="shared" si="2"/>
        <v>#REF!</v>
      </c>
      <c r="E25" s="246">
        <f t="shared" si="2"/>
        <v>5210.5339999999997</v>
      </c>
      <c r="F25" s="246">
        <f t="shared" si="2"/>
        <v>4639.3770000000004</v>
      </c>
      <c r="G25" s="246">
        <f t="shared" si="2"/>
        <v>11206.673000000001</v>
      </c>
      <c r="H25" s="247">
        <f>+G25-E25</f>
        <v>5996.139000000001</v>
      </c>
      <c r="I25" s="164">
        <f t="shared" si="0"/>
        <v>241.5555579984123</v>
      </c>
    </row>
    <row r="26" spans="1:11" ht="15" customHeight="1">
      <c r="A26" s="175" t="s">
        <v>398</v>
      </c>
      <c r="B26" s="251">
        <f>+(RECAUDACION!C45)/1000</f>
        <v>0</v>
      </c>
      <c r="C26" s="251">
        <f>+(RECAUDACION!D45)/1000</f>
        <v>5210.5339999999997</v>
      </c>
      <c r="D26" s="251" t="e">
        <f>+(RECAUDACION!#REF!)/1000</f>
        <v>#REF!</v>
      </c>
      <c r="E26" s="251">
        <f>+(RECAUDACION!D45)/1000</f>
        <v>5210.5339999999997</v>
      </c>
      <c r="F26" s="251">
        <f>+(RECAUDACION!E45)/1000</f>
        <v>4639.3770000000004</v>
      </c>
      <c r="G26" s="251">
        <f>+(RECAUDACION!G37)/1000</f>
        <v>11206.673000000001</v>
      </c>
      <c r="H26" s="252">
        <f>+G26-E26</f>
        <v>5996.139000000001</v>
      </c>
      <c r="I26" s="174">
        <f t="shared" si="0"/>
        <v>241.5555579984123</v>
      </c>
    </row>
    <row r="27" spans="1:11" ht="15" customHeight="1">
      <c r="A27" s="175" t="s">
        <v>65</v>
      </c>
      <c r="B27" s="251"/>
      <c r="C27" s="251"/>
      <c r="D27" s="251"/>
      <c r="E27" s="251"/>
      <c r="F27" s="251"/>
      <c r="G27" s="251"/>
      <c r="H27" s="252"/>
      <c r="I27" s="174" t="s">
        <v>6</v>
      </c>
    </row>
    <row r="28" spans="1:11" ht="9" customHeight="1">
      <c r="A28" s="175"/>
      <c r="B28" s="251"/>
      <c r="C28" s="251"/>
      <c r="D28" s="251"/>
      <c r="E28" s="251"/>
      <c r="F28" s="251"/>
      <c r="G28" s="251"/>
      <c r="H28" s="252"/>
      <c r="I28" s="174" t="s">
        <v>6</v>
      </c>
    </row>
    <row r="29" spans="1:11" ht="18" customHeight="1">
      <c r="A29" s="160" t="s">
        <v>66</v>
      </c>
      <c r="B29" s="246">
        <f t="shared" ref="B29:G29" si="3">+B12+B21</f>
        <v>143194.80600000001</v>
      </c>
      <c r="C29" s="246">
        <f t="shared" si="3"/>
        <v>147768.22700000001</v>
      </c>
      <c r="D29" s="246" t="e">
        <f t="shared" si="3"/>
        <v>#REF!</v>
      </c>
      <c r="E29" s="246" t="e">
        <f t="shared" si="3"/>
        <v>#REF!</v>
      </c>
      <c r="F29" s="246">
        <f t="shared" si="3"/>
        <v>101340.28700000001</v>
      </c>
      <c r="G29" s="246">
        <f t="shared" si="3"/>
        <v>65154.927190000002</v>
      </c>
      <c r="H29" s="247" t="e">
        <f>+G29-E29</f>
        <v>#REF!</v>
      </c>
      <c r="I29" s="164">
        <f t="shared" si="0"/>
        <v>64.293213606154481</v>
      </c>
    </row>
    <row r="30" spans="1:11" ht="9" customHeight="1">
      <c r="A30" s="175"/>
      <c r="B30" s="171"/>
      <c r="C30" s="171"/>
      <c r="D30" s="251"/>
      <c r="E30" s="251"/>
      <c r="F30" s="251"/>
      <c r="G30" s="251"/>
      <c r="H30" s="251"/>
      <c r="I30" s="174" t="s">
        <v>6</v>
      </c>
    </row>
    <row r="31" spans="1:11" ht="18" customHeight="1">
      <c r="A31" s="241" t="s">
        <v>26</v>
      </c>
      <c r="B31" s="254"/>
      <c r="C31" s="254"/>
      <c r="D31" s="251"/>
      <c r="E31" s="251"/>
      <c r="F31" s="251"/>
      <c r="G31" s="251"/>
      <c r="H31" s="251"/>
      <c r="I31" s="174" t="s">
        <v>6</v>
      </c>
    </row>
    <row r="32" spans="1:11" ht="9" customHeight="1">
      <c r="A32" s="175"/>
      <c r="B32" s="171"/>
      <c r="C32" s="171"/>
      <c r="D32" s="251"/>
      <c r="E32" s="251"/>
      <c r="F32" s="251"/>
      <c r="G32" s="251"/>
      <c r="H32" s="251"/>
      <c r="I32" s="174" t="s">
        <v>6</v>
      </c>
    </row>
    <row r="33" spans="1:10" ht="15" customHeight="1">
      <c r="A33" s="160" t="s">
        <v>27</v>
      </c>
      <c r="B33" s="246">
        <f>+B35+B41</f>
        <v>141094.80599999998</v>
      </c>
      <c r="C33" s="246">
        <f>+C35+C41</f>
        <v>140457.693</v>
      </c>
      <c r="D33" s="246" t="e">
        <f>+D35+D41+#REF!</f>
        <v>#REF!</v>
      </c>
      <c r="E33" s="246" t="e">
        <f>+E35+E41+#REF!</f>
        <v>#REF!</v>
      </c>
      <c r="F33" s="246">
        <f>+F35+F41</f>
        <v>98029.277000000002</v>
      </c>
      <c r="G33" s="246">
        <f>+G35+G41</f>
        <v>81242.997969999997</v>
      </c>
      <c r="H33" s="246" t="e">
        <f>+E33-G33</f>
        <v>#REF!</v>
      </c>
      <c r="I33" s="164">
        <f t="shared" si="0"/>
        <v>82.876259477053978</v>
      </c>
    </row>
    <row r="34" spans="1:10" ht="15" customHeight="1">
      <c r="A34" s="175"/>
      <c r="B34" s="171"/>
      <c r="C34" s="171"/>
      <c r="D34" s="251"/>
      <c r="E34" s="251"/>
      <c r="F34" s="251"/>
      <c r="G34" s="251"/>
      <c r="H34" s="251"/>
      <c r="I34" s="174"/>
    </row>
    <row r="35" spans="1:10" ht="18" customHeight="1">
      <c r="A35" s="160" t="s">
        <v>399</v>
      </c>
      <c r="B35" s="246">
        <f t="shared" ref="B35:G35" si="4">SUM(B36:B39)</f>
        <v>138843.21199999997</v>
      </c>
      <c r="C35" s="246">
        <f t="shared" si="4"/>
        <v>137019.25200000001</v>
      </c>
      <c r="D35" s="246">
        <f t="shared" si="4"/>
        <v>137019.25200000001</v>
      </c>
      <c r="E35" s="246">
        <f t="shared" si="4"/>
        <v>137019.25200000001</v>
      </c>
      <c r="F35" s="246">
        <f t="shared" si="4"/>
        <v>94683.77</v>
      </c>
      <c r="G35" s="246">
        <f t="shared" si="4"/>
        <v>79551.409599999999</v>
      </c>
      <c r="H35" s="246">
        <f t="shared" ref="H35:H39" si="5">+E35-G35</f>
        <v>57467.842400000009</v>
      </c>
      <c r="I35" s="164">
        <f t="shared" si="0"/>
        <v>84.01799970575739</v>
      </c>
      <c r="J35" s="8"/>
    </row>
    <row r="36" spans="1:10" ht="20.25" customHeight="1">
      <c r="A36" s="175" t="s">
        <v>331</v>
      </c>
      <c r="B36" s="251">
        <f>(+'EJEC GASTOS'!C11)/1000</f>
        <v>125299.72900000001</v>
      </c>
      <c r="C36" s="251">
        <f>(+'EJEC GASTOS'!D11)/1000</f>
        <v>123578.084</v>
      </c>
      <c r="D36" s="251">
        <f>(+'EJEC GASTOS'!D11)/1000</f>
        <v>123578.084</v>
      </c>
      <c r="E36" s="251">
        <f>(+'EJEC GASTOS'!D11)/1000</f>
        <v>123578.084</v>
      </c>
      <c r="F36" s="251">
        <f>(+'EJEC GASTOS'!E11)/1000</f>
        <v>81936.460000000006</v>
      </c>
      <c r="G36" s="251">
        <f>(+'EJEC GASTOS'!G11)/1000</f>
        <v>70922.087390000001</v>
      </c>
      <c r="H36" s="251">
        <f t="shared" si="5"/>
        <v>52655.996610000002</v>
      </c>
      <c r="I36" s="174">
        <f t="shared" si="0"/>
        <v>86.557421921815987</v>
      </c>
      <c r="J36" s="8"/>
    </row>
    <row r="37" spans="1:10" ht="17.25" customHeight="1">
      <c r="A37" s="175" t="s">
        <v>400</v>
      </c>
      <c r="B37" s="251">
        <f>(+'EJEC GASTOS'!C37)/1000</f>
        <v>7293.0079999999998</v>
      </c>
      <c r="C37" s="251">
        <f>(+'EJEC GASTOS'!D37)/1000</f>
        <v>6910.3729999999996</v>
      </c>
      <c r="D37" s="251">
        <f>(+'EJEC GASTOS'!D37)/1000</f>
        <v>6910.3729999999996</v>
      </c>
      <c r="E37" s="251">
        <f>(+'EJEC GASTOS'!D37)/1000</f>
        <v>6910.3729999999996</v>
      </c>
      <c r="F37" s="251">
        <f>(+'EJEC GASTOS'!E37)/1000</f>
        <v>6222.8720000000003</v>
      </c>
      <c r="G37" s="251">
        <f>(+'EJEC GASTOS'!G37)/1000</f>
        <v>4512.0405799999999</v>
      </c>
      <c r="H37" s="251">
        <f t="shared" si="5"/>
        <v>2398.3324199999997</v>
      </c>
      <c r="I37" s="174">
        <f t="shared" si="0"/>
        <v>72.507366052202258</v>
      </c>
      <c r="J37" s="8"/>
    </row>
    <row r="38" spans="1:10" ht="15.75" customHeight="1">
      <c r="A38" s="175" t="s">
        <v>67</v>
      </c>
      <c r="B38" s="251">
        <f>(+'EJEC GASTOS'!C94)/1000</f>
        <v>3042.5610000000001</v>
      </c>
      <c r="C38" s="251">
        <f>(+'EJEC GASTOS'!D94)/1000</f>
        <v>4235.7550000000001</v>
      </c>
      <c r="D38" s="251">
        <f>(+'EJEC GASTOS'!D94)/1000</f>
        <v>4235.7550000000001</v>
      </c>
      <c r="E38" s="251">
        <f>(+'EJEC GASTOS'!D94)/1000</f>
        <v>4235.7550000000001</v>
      </c>
      <c r="F38" s="251">
        <f>(+'EJEC GASTOS'!E94)/1000</f>
        <v>4229.3980000000001</v>
      </c>
      <c r="G38" s="251">
        <f>(+'EJEC GASTOS'!G94)/1000</f>
        <v>2769.9923599999997</v>
      </c>
      <c r="H38" s="251">
        <f t="shared" si="5"/>
        <v>1465.7626400000004</v>
      </c>
      <c r="I38" s="174">
        <f t="shared" si="0"/>
        <v>65.493773818401564</v>
      </c>
      <c r="J38" s="8"/>
    </row>
    <row r="39" spans="1:10" ht="17.25" customHeight="1">
      <c r="A39" s="175" t="s">
        <v>477</v>
      </c>
      <c r="B39" s="251">
        <f>(+'EJEC GASTOS'!C154)/1000</f>
        <v>3207.9140000000002</v>
      </c>
      <c r="C39" s="251">
        <f>(+'EJEC GASTOS'!D154)/1000</f>
        <v>2295.04</v>
      </c>
      <c r="D39" s="251">
        <f>(+'EJEC GASTOS'!D154)/1000</f>
        <v>2295.04</v>
      </c>
      <c r="E39" s="251">
        <f>(+'EJEC GASTOS'!D154)/1000</f>
        <v>2295.04</v>
      </c>
      <c r="F39" s="251">
        <f>(+'EJEC GASTOS'!E154)/1000</f>
        <v>2295.04</v>
      </c>
      <c r="G39" s="251">
        <f>(+'EJEC GASTOS'!G154)/1000</f>
        <v>1347.2892699999998</v>
      </c>
      <c r="H39" s="251">
        <f t="shared" si="5"/>
        <v>947.7507300000002</v>
      </c>
      <c r="I39" s="174">
        <f t="shared" si="0"/>
        <v>58.704391644590061</v>
      </c>
      <c r="J39" s="8"/>
    </row>
    <row r="40" spans="1:10" ht="9" customHeight="1">
      <c r="A40" s="175" t="s">
        <v>6</v>
      </c>
      <c r="B40" s="171"/>
      <c r="C40" s="171"/>
      <c r="D40" s="251">
        <v>0</v>
      </c>
      <c r="E40" s="251">
        <v>0</v>
      </c>
      <c r="F40" s="251" t="s">
        <v>6</v>
      </c>
      <c r="G40" s="251" t="s">
        <v>6</v>
      </c>
      <c r="H40" s="251"/>
      <c r="I40" s="174" t="s">
        <v>6</v>
      </c>
    </row>
    <row r="41" spans="1:10" ht="15" customHeight="1">
      <c r="A41" s="160" t="s">
        <v>512</v>
      </c>
      <c r="B41" s="246">
        <f>(+'EJEC GASTOS'!C159)/1000</f>
        <v>2251.5940000000001</v>
      </c>
      <c r="C41" s="246">
        <f>(+'EJEC GASTOS'!D159)/1000</f>
        <v>3438.4409999999998</v>
      </c>
      <c r="D41" s="246">
        <f>(+'EJEC GASTOS'!D159)/1000</f>
        <v>3438.4409999999998</v>
      </c>
      <c r="E41" s="246">
        <f>(+'EJEC GASTOS'!D159)/1000</f>
        <v>3438.4409999999998</v>
      </c>
      <c r="F41" s="246">
        <f>(+'EJEC GASTOS'!E159)/1000</f>
        <v>3345.5070000000001</v>
      </c>
      <c r="G41" s="246">
        <f>(+'EJEC GASTOS'!G159)/1000</f>
        <v>1691.5883700000002</v>
      </c>
      <c r="H41" s="246">
        <f>+E41-G41</f>
        <v>1746.8526299999996</v>
      </c>
      <c r="I41" s="164">
        <f t="shared" si="0"/>
        <v>50.562990004205645</v>
      </c>
    </row>
    <row r="42" spans="1:10" ht="8.25" customHeight="1">
      <c r="A42" s="175"/>
      <c r="B42" s="171"/>
      <c r="C42" s="171"/>
      <c r="D42" s="251"/>
      <c r="E42" s="251"/>
      <c r="F42" s="251"/>
      <c r="G42" s="251"/>
      <c r="H42" s="251"/>
      <c r="I42" s="174" t="s">
        <v>6</v>
      </c>
    </row>
    <row r="43" spans="1:10" ht="15" customHeight="1">
      <c r="A43" s="160" t="s">
        <v>28</v>
      </c>
      <c r="B43" s="246">
        <f t="shared" ref="B43:G43" si="6">SUM(B45)</f>
        <v>56905.194000000003</v>
      </c>
      <c r="C43" s="246">
        <f t="shared" si="6"/>
        <v>26705.940999999999</v>
      </c>
      <c r="D43" s="246">
        <f t="shared" si="6"/>
        <v>26705.940999999999</v>
      </c>
      <c r="E43" s="246" t="e">
        <f t="shared" si="6"/>
        <v>#REF!</v>
      </c>
      <c r="F43" s="246">
        <f t="shared" si="6"/>
        <v>26705.940999999999</v>
      </c>
      <c r="G43" s="246">
        <f t="shared" si="6"/>
        <v>25647.260290000002</v>
      </c>
      <c r="H43" s="246" t="e">
        <f>+E43-G43</f>
        <v>#REF!</v>
      </c>
      <c r="I43" s="164">
        <f t="shared" si="0"/>
        <v>96.035785782646656</v>
      </c>
      <c r="J43" t="s">
        <v>6</v>
      </c>
    </row>
    <row r="44" spans="1:10" ht="15" customHeight="1">
      <c r="A44" s="175"/>
      <c r="B44" s="171"/>
      <c r="C44" s="171"/>
      <c r="D44" s="251"/>
      <c r="E44" s="251"/>
      <c r="F44" s="251"/>
      <c r="G44" s="251"/>
      <c r="H44" s="251"/>
      <c r="I44" s="174" t="s">
        <v>6</v>
      </c>
    </row>
    <row r="45" spans="1:10" ht="15" customHeight="1">
      <c r="A45" s="175" t="s">
        <v>401</v>
      </c>
      <c r="B45" s="251">
        <f>+('PROYECTOS INV'!B42)/1000</f>
        <v>56905.194000000003</v>
      </c>
      <c r="C45" s="251">
        <f>+('PROYECTOS INV'!C42)/1000</f>
        <v>26705.940999999999</v>
      </c>
      <c r="D45" s="251">
        <f>+('PROYECTOS INV'!C42)/1000</f>
        <v>26705.940999999999</v>
      </c>
      <c r="E45" s="251" t="e">
        <f>+(#REF!)/1000</f>
        <v>#REF!</v>
      </c>
      <c r="F45" s="251">
        <f>+('PROYECTOS INV'!D42)/1000</f>
        <v>26705.940999999999</v>
      </c>
      <c r="G45" s="251">
        <f>+('PROYECTOS INV'!F42)/1000</f>
        <v>25647.260290000002</v>
      </c>
      <c r="H45" s="251" t="e">
        <f>+E45-G45</f>
        <v>#REF!</v>
      </c>
      <c r="I45" s="174">
        <f t="shared" si="0"/>
        <v>96.035785782646656</v>
      </c>
    </row>
    <row r="46" spans="1:10" ht="14.25" customHeight="1">
      <c r="A46" s="175" t="s">
        <v>68</v>
      </c>
      <c r="B46" s="171"/>
      <c r="C46" s="251">
        <f>+('PROYECTOS INV'!B43)/1000</f>
        <v>0</v>
      </c>
      <c r="D46" s="251">
        <v>0</v>
      </c>
      <c r="E46" s="251">
        <v>0</v>
      </c>
      <c r="F46" s="251">
        <v>0</v>
      </c>
      <c r="G46" s="251">
        <v>0</v>
      </c>
      <c r="H46" s="251">
        <f>+E46-G46</f>
        <v>0</v>
      </c>
      <c r="I46" s="174" t="s">
        <v>6</v>
      </c>
    </row>
    <row r="47" spans="1:10" ht="15" customHeight="1">
      <c r="A47" s="175" t="s">
        <v>402</v>
      </c>
      <c r="B47" s="171"/>
      <c r="C47" s="251">
        <f>+('PROYECTOS INV'!B44)/1000</f>
        <v>0</v>
      </c>
      <c r="D47" s="251" t="s">
        <v>6</v>
      </c>
      <c r="E47" s="251" t="s">
        <v>6</v>
      </c>
      <c r="F47" s="251" t="s">
        <v>6</v>
      </c>
      <c r="G47" s="251" t="s">
        <v>6</v>
      </c>
      <c r="H47" s="251" t="s">
        <v>6</v>
      </c>
      <c r="I47" s="174" t="s">
        <v>6</v>
      </c>
    </row>
    <row r="48" spans="1:10" ht="15" customHeight="1">
      <c r="A48" s="175" t="s">
        <v>69</v>
      </c>
      <c r="B48" s="171"/>
      <c r="C48" s="171"/>
      <c r="D48" s="251">
        <v>0</v>
      </c>
      <c r="E48" s="251">
        <v>0</v>
      </c>
      <c r="F48" s="251">
        <v>0</v>
      </c>
      <c r="G48" s="251">
        <v>0</v>
      </c>
      <c r="H48" s="251">
        <f>+E48-G48</f>
        <v>0</v>
      </c>
      <c r="I48" s="174" t="s">
        <v>6</v>
      </c>
    </row>
    <row r="49" spans="1:9" ht="8.25" customHeight="1">
      <c r="A49" s="175"/>
      <c r="B49" s="171"/>
      <c r="C49" s="171"/>
      <c r="D49" s="251"/>
      <c r="E49" s="251"/>
      <c r="F49" s="251"/>
      <c r="G49" s="251"/>
      <c r="H49" s="251"/>
      <c r="I49" s="174" t="s">
        <v>6</v>
      </c>
    </row>
    <row r="50" spans="1:9" ht="18" customHeight="1">
      <c r="A50" s="160" t="s">
        <v>70</v>
      </c>
      <c r="B50" s="246">
        <f t="shared" ref="B50:H50" si="7">+B33+B43</f>
        <v>198000</v>
      </c>
      <c r="C50" s="246">
        <f t="shared" si="7"/>
        <v>167163.63399999999</v>
      </c>
      <c r="D50" s="246" t="e">
        <f t="shared" si="7"/>
        <v>#REF!</v>
      </c>
      <c r="E50" s="246" t="e">
        <f t="shared" si="7"/>
        <v>#REF!</v>
      </c>
      <c r="F50" s="246">
        <f t="shared" si="7"/>
        <v>124735.21799999999</v>
      </c>
      <c r="G50" s="246">
        <f t="shared" si="7"/>
        <v>106890.25826</v>
      </c>
      <c r="H50" s="246" t="e">
        <f t="shared" si="7"/>
        <v>#REF!</v>
      </c>
      <c r="I50" s="164">
        <f t="shared" si="0"/>
        <v>85.693727861204366</v>
      </c>
    </row>
    <row r="51" spans="1:9" ht="9" customHeight="1">
      <c r="A51" s="175"/>
      <c r="B51" s="175"/>
      <c r="C51" s="171"/>
      <c r="D51" s="251"/>
      <c r="E51" s="251"/>
      <c r="F51" s="251"/>
      <c r="G51" s="251"/>
      <c r="H51" s="251"/>
      <c r="I51" s="174" t="s">
        <v>6</v>
      </c>
    </row>
    <row r="52" spans="1:9" ht="21.75" customHeight="1">
      <c r="A52" s="255" t="s">
        <v>29</v>
      </c>
      <c r="B52" s="256"/>
      <c r="C52" s="257"/>
      <c r="D52" s="258" t="s">
        <v>6</v>
      </c>
      <c r="E52" s="258" t="e">
        <f>E29-E50</f>
        <v>#REF!</v>
      </c>
      <c r="F52" s="259" t="s">
        <v>6</v>
      </c>
      <c r="G52" s="260">
        <f>G29-G50</f>
        <v>-41735.33107</v>
      </c>
      <c r="H52" s="259" t="s">
        <v>6</v>
      </c>
      <c r="I52" s="261" t="s">
        <v>6</v>
      </c>
    </row>
    <row r="53" spans="1:9" ht="6.75" customHeight="1">
      <c r="A53" s="262"/>
      <c r="B53" s="5"/>
      <c r="C53" s="5"/>
      <c r="D53" s="262"/>
      <c r="E53" s="263"/>
      <c r="F53" s="263"/>
      <c r="G53" s="263"/>
      <c r="H53" s="264"/>
      <c r="I53" s="265"/>
    </row>
    <row r="54" spans="1:9" ht="15" customHeight="1">
      <c r="A54" s="573" t="s">
        <v>479</v>
      </c>
      <c r="B54" s="573"/>
      <c r="C54" s="117"/>
      <c r="D54" s="117"/>
      <c r="E54" s="5"/>
      <c r="F54" s="5" t="s">
        <v>6</v>
      </c>
      <c r="G54" s="5"/>
      <c r="H54" s="116"/>
      <c r="I54" s="45"/>
    </row>
    <row r="55" spans="1:9" ht="15" customHeight="1">
      <c r="A55" s="9" t="s">
        <v>6</v>
      </c>
      <c r="H55" s="21"/>
      <c r="I55" s="14"/>
    </row>
    <row r="56" spans="1:9" ht="15" customHeight="1">
      <c r="F56" s="28" t="s">
        <v>6</v>
      </c>
      <c r="G56" s="28"/>
      <c r="H56" s="21"/>
      <c r="I56" s="14"/>
    </row>
    <row r="57" spans="1:9" ht="15" customHeight="1">
      <c r="A57" s="15"/>
      <c r="B57" s="15"/>
      <c r="C57" s="15"/>
      <c r="D57" s="15"/>
      <c r="E57" s="20"/>
      <c r="F57" s="20"/>
      <c r="G57" s="20" t="s">
        <v>6</v>
      </c>
      <c r="H57" s="21"/>
      <c r="I57" s="14"/>
    </row>
    <row r="58" spans="1:9" ht="15" customHeight="1">
      <c r="A58" s="15"/>
      <c r="B58" s="15"/>
      <c r="C58" s="15"/>
      <c r="D58" s="15"/>
      <c r="E58" s="20"/>
      <c r="F58" s="20"/>
      <c r="G58" s="20"/>
      <c r="H58" s="21"/>
      <c r="I58" s="14"/>
    </row>
    <row r="59" spans="1:9" ht="15" customHeight="1">
      <c r="A59" s="15"/>
      <c r="B59" s="15"/>
      <c r="C59" s="15"/>
      <c r="D59" s="15"/>
      <c r="E59" s="20"/>
      <c r="F59" s="20"/>
      <c r="G59" s="20"/>
      <c r="H59" s="21"/>
      <c r="I59" s="14"/>
    </row>
    <row r="60" spans="1:9" ht="15" customHeight="1">
      <c r="A60" s="13"/>
      <c r="B60" s="13"/>
      <c r="C60" s="13"/>
      <c r="D60" s="13"/>
      <c r="E60" s="13"/>
      <c r="F60" s="13"/>
      <c r="H60" s="21"/>
      <c r="I60" s="14"/>
    </row>
    <row r="61" spans="1:9" ht="15" customHeight="1">
      <c r="A61" s="13"/>
      <c r="B61" s="13"/>
      <c r="C61" s="13"/>
      <c r="D61" s="13"/>
      <c r="E61" s="13"/>
      <c r="F61" s="13"/>
      <c r="I61" s="14"/>
    </row>
    <row r="62" spans="1:9" ht="15" customHeight="1">
      <c r="A62" s="13"/>
      <c r="B62" s="13"/>
      <c r="C62" s="13"/>
      <c r="D62" s="13"/>
      <c r="I62" s="14"/>
    </row>
    <row r="63" spans="1:9">
      <c r="A63" s="13"/>
      <c r="B63" s="13"/>
      <c r="C63" s="13"/>
      <c r="D63" s="13"/>
      <c r="I63" s="14"/>
    </row>
    <row r="64" spans="1:9">
      <c r="A64" s="13"/>
      <c r="B64" s="13"/>
      <c r="C64" s="13"/>
      <c r="D64" s="13"/>
      <c r="I64" s="14"/>
    </row>
    <row r="65" spans="1:9">
      <c r="A65" s="13"/>
      <c r="B65" s="13"/>
      <c r="C65" s="13"/>
      <c r="D65" s="13"/>
      <c r="I65" s="14"/>
    </row>
    <row r="66" spans="1:9" ht="15">
      <c r="A66" s="13"/>
      <c r="B66" s="13"/>
      <c r="C66" s="13"/>
      <c r="D66" s="13"/>
      <c r="E66" s="16"/>
      <c r="F66" s="16"/>
      <c r="G66" s="16"/>
      <c r="H66" s="17"/>
      <c r="I66" s="14"/>
    </row>
    <row r="67" spans="1:9" ht="15">
      <c r="A67" s="13"/>
      <c r="B67" s="13"/>
      <c r="C67" s="13"/>
      <c r="D67" s="13"/>
      <c r="E67" s="16"/>
      <c r="F67" s="16"/>
      <c r="G67" s="16"/>
      <c r="H67" s="17"/>
      <c r="I67" s="14"/>
    </row>
    <row r="68" spans="1:9">
      <c r="A68" s="13"/>
      <c r="B68" s="13"/>
      <c r="C68" s="13"/>
      <c r="D68" s="13"/>
      <c r="I68" s="14"/>
    </row>
    <row r="69" spans="1:9">
      <c r="I69" s="14"/>
    </row>
    <row r="70" spans="1:9">
      <c r="I70" s="14"/>
    </row>
    <row r="71" spans="1:9">
      <c r="I71" s="14"/>
    </row>
    <row r="72" spans="1:9">
      <c r="I72" s="14"/>
    </row>
    <row r="73" spans="1:9">
      <c r="I73" s="14"/>
    </row>
    <row r="74" spans="1:9">
      <c r="I74" s="14"/>
    </row>
    <row r="75" spans="1:9">
      <c r="I75" s="14"/>
    </row>
    <row r="76" spans="1:9">
      <c r="I76" s="14"/>
    </row>
    <row r="77" spans="1:9">
      <c r="I77" s="14"/>
    </row>
    <row r="78" spans="1:9">
      <c r="I78" s="14"/>
    </row>
    <row r="79" spans="1:9">
      <c r="I79" s="14"/>
    </row>
    <row r="80" spans="1:9">
      <c r="I80" s="14"/>
    </row>
    <row r="81" spans="9:9">
      <c r="I81" s="14"/>
    </row>
    <row r="82" spans="9:9">
      <c r="I82" s="14"/>
    </row>
    <row r="83" spans="9:9">
      <c r="I83" s="14"/>
    </row>
    <row r="84" spans="9:9">
      <c r="I84" s="14"/>
    </row>
    <row r="85" spans="9:9">
      <c r="I85" s="14"/>
    </row>
    <row r="86" spans="9:9">
      <c r="I86" s="14"/>
    </row>
    <row r="87" spans="9:9">
      <c r="I87" s="14"/>
    </row>
    <row r="88" spans="9:9">
      <c r="I88" s="14"/>
    </row>
  </sheetData>
  <mergeCells count="8">
    <mergeCell ref="A54:B54"/>
    <mergeCell ref="A1:I1"/>
    <mergeCell ref="A2:I2"/>
    <mergeCell ref="A7:A8"/>
    <mergeCell ref="A3:I3"/>
    <mergeCell ref="A4:I4"/>
    <mergeCell ref="I7:I8"/>
    <mergeCell ref="B7:G7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</sheetPr>
  <dimension ref="A1:Q181"/>
  <sheetViews>
    <sheetView showGridLines="0" showZeros="0" workbookViewId="0">
      <selection activeCell="G20" sqref="G20"/>
    </sheetView>
  </sheetViews>
  <sheetFormatPr baseColWidth="10" defaultColWidth="11.42578125" defaultRowHeight="12.75"/>
  <cols>
    <col min="1" max="1" width="35.28515625" style="9" customWidth="1"/>
    <col min="2" max="3" width="13" style="9" customWidth="1"/>
    <col min="4" max="4" width="12.42578125" style="9" customWidth="1"/>
    <col min="5" max="5" width="0.28515625" style="9" hidden="1" customWidth="1"/>
    <col min="6" max="6" width="15.140625" style="9" customWidth="1"/>
    <col min="7" max="7" width="13" style="9" customWidth="1"/>
    <col min="8" max="8" width="12.7109375" style="9" customWidth="1"/>
    <col min="9" max="9" width="12.28515625" style="9" customWidth="1"/>
    <col min="10" max="10" width="11.85546875" style="9" hidden="1" customWidth="1"/>
    <col min="11" max="11" width="13.28515625" style="9" customWidth="1"/>
    <col min="12" max="12" width="0.140625" customWidth="1"/>
    <col min="13" max="13" width="13.5703125" customWidth="1"/>
  </cols>
  <sheetData>
    <row r="1" spans="1:14" ht="12" customHeight="1">
      <c r="A1" s="42"/>
      <c r="B1" s="42"/>
      <c r="C1" s="42"/>
      <c r="D1" s="38"/>
      <c r="E1" s="38"/>
      <c r="F1" s="41"/>
      <c r="G1" s="41"/>
      <c r="H1" s="41"/>
      <c r="I1" s="41"/>
      <c r="J1" s="41"/>
      <c r="K1" s="41"/>
    </row>
    <row r="2" spans="1:14" ht="18" customHeight="1">
      <c r="A2" s="576" t="s">
        <v>375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</row>
    <row r="3" spans="1:14" ht="15.75" customHeight="1">
      <c r="A3" s="576" t="s">
        <v>376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</row>
    <row r="4" spans="1:14" ht="15">
      <c r="A4" s="577" t="s">
        <v>504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</row>
    <row r="5" spans="1:14" ht="15">
      <c r="A5" s="577" t="s">
        <v>543</v>
      </c>
      <c r="B5" s="577"/>
      <c r="C5" s="577"/>
      <c r="D5" s="577"/>
      <c r="E5" s="577"/>
      <c r="F5" s="577"/>
      <c r="G5" s="577"/>
      <c r="H5" s="577"/>
      <c r="I5" s="577"/>
      <c r="J5" s="577"/>
      <c r="K5" s="577"/>
    </row>
    <row r="6" spans="1:14" ht="13.5" thickBot="1">
      <c r="A6" s="5"/>
      <c r="B6" s="5"/>
      <c r="C6" s="5"/>
      <c r="D6" s="5"/>
      <c r="E6" s="5"/>
      <c r="F6" s="5"/>
      <c r="G6" s="5"/>
      <c r="H6" s="5"/>
      <c r="I6" s="5"/>
      <c r="J6" s="5"/>
      <c r="K6" s="5" t="s">
        <v>6</v>
      </c>
      <c r="L6" t="s">
        <v>6</v>
      </c>
    </row>
    <row r="7" spans="1:14" ht="20.100000000000001" customHeight="1">
      <c r="A7" s="614" t="s">
        <v>0</v>
      </c>
      <c r="B7" s="619" t="s">
        <v>71</v>
      </c>
      <c r="C7" s="620"/>
      <c r="D7" s="620"/>
      <c r="E7" s="620"/>
      <c r="F7" s="620"/>
      <c r="G7" s="620"/>
      <c r="H7" s="621"/>
      <c r="I7" s="616" t="s">
        <v>297</v>
      </c>
      <c r="J7" s="614"/>
      <c r="K7" s="616" t="s">
        <v>369</v>
      </c>
      <c r="L7" t="s">
        <v>6</v>
      </c>
    </row>
    <row r="8" spans="1:14" ht="31.5" customHeight="1">
      <c r="A8" s="615"/>
      <c r="B8" s="333" t="s">
        <v>84</v>
      </c>
      <c r="C8" s="333" t="s">
        <v>525</v>
      </c>
      <c r="D8" s="146" t="s">
        <v>2</v>
      </c>
      <c r="E8" s="435" t="s">
        <v>38</v>
      </c>
      <c r="F8" s="436" t="s">
        <v>516</v>
      </c>
      <c r="G8" s="434" t="s">
        <v>514</v>
      </c>
      <c r="H8" s="434" t="s">
        <v>344</v>
      </c>
      <c r="I8" s="617"/>
      <c r="J8" s="618"/>
      <c r="K8" s="617"/>
      <c r="L8" t="s">
        <v>3</v>
      </c>
      <c r="M8" t="s">
        <v>6</v>
      </c>
    </row>
    <row r="9" spans="1:14" ht="24.75" customHeight="1">
      <c r="A9" s="266" t="s">
        <v>73</v>
      </c>
      <c r="B9" s="267">
        <f>+B11+B36</f>
        <v>198000000</v>
      </c>
      <c r="C9" s="268">
        <f>+C11+C36</f>
        <v>167163634</v>
      </c>
      <c r="D9" s="268">
        <f>++D11+D36</f>
        <v>124735218</v>
      </c>
      <c r="E9" s="268">
        <f>+E11+E36</f>
        <v>18995425.32</v>
      </c>
      <c r="F9" s="268">
        <f>+F11+F36</f>
        <v>106890258.26000001</v>
      </c>
      <c r="G9" s="268">
        <f>+G11+G36</f>
        <v>77289354.150000006</v>
      </c>
      <c r="H9" s="268">
        <f>++H11+H36</f>
        <v>75157960.189999998</v>
      </c>
      <c r="I9" s="268">
        <f>+D9-F9</f>
        <v>17844959.739999995</v>
      </c>
      <c r="J9" s="268" t="e">
        <f>+#REF!-F9</f>
        <v>#REF!</v>
      </c>
      <c r="K9" s="269">
        <f>+F9/D9*100</f>
        <v>85.693727861204366</v>
      </c>
      <c r="L9">
        <v>84817701.783999994</v>
      </c>
    </row>
    <row r="10" spans="1:14" ht="11.1" customHeight="1">
      <c r="A10" s="266"/>
      <c r="B10" s="266"/>
      <c r="C10" s="270"/>
      <c r="D10" s="268"/>
      <c r="E10" s="268"/>
      <c r="F10" s="268" t="s">
        <v>6</v>
      </c>
      <c r="G10" s="268"/>
      <c r="H10" s="268" t="s">
        <v>6</v>
      </c>
      <c r="I10" s="268" t="s">
        <v>6</v>
      </c>
      <c r="J10" s="268" t="s">
        <v>6</v>
      </c>
      <c r="K10" s="269" t="s">
        <v>6</v>
      </c>
      <c r="L10" t="s">
        <v>6</v>
      </c>
    </row>
    <row r="11" spans="1:14" ht="15">
      <c r="A11" s="266" t="s">
        <v>74</v>
      </c>
      <c r="B11" s="267">
        <f>+B13+B20+B34</f>
        <v>141094806</v>
      </c>
      <c r="C11" s="268">
        <f>+C13+C20+C34</f>
        <v>140457693</v>
      </c>
      <c r="D11" s="271">
        <f>+D13+D20</f>
        <v>98029277</v>
      </c>
      <c r="E11" s="271">
        <f>+E20+E13</f>
        <v>13172504.060000001</v>
      </c>
      <c r="F11" s="271">
        <f>+F20+F13</f>
        <v>81242997.969999999</v>
      </c>
      <c r="G11" s="271">
        <f>+G20+G13</f>
        <v>68963756.280000001</v>
      </c>
      <c r="H11" s="271">
        <f>+H20+H13+H34</f>
        <v>72899055.929999992</v>
      </c>
      <c r="I11" s="271">
        <f>+D11-F11</f>
        <v>16786279.030000001</v>
      </c>
      <c r="J11" s="271" t="e">
        <f>+#REF!-F11</f>
        <v>#REF!</v>
      </c>
      <c r="K11" s="272">
        <f>+F11/D11*100</f>
        <v>82.876259477053978</v>
      </c>
      <c r="L11">
        <v>71948551.653999999</v>
      </c>
      <c r="N11" t="s">
        <v>6</v>
      </c>
    </row>
    <row r="12" spans="1:14" ht="10.35" customHeight="1">
      <c r="A12" s="266"/>
      <c r="B12" s="266"/>
      <c r="C12" s="270"/>
      <c r="D12" s="268"/>
      <c r="E12" s="268"/>
      <c r="F12" s="268" t="s">
        <v>6</v>
      </c>
      <c r="G12" s="268"/>
      <c r="H12" s="268"/>
      <c r="I12" s="268"/>
      <c r="J12" s="268" t="s">
        <v>6</v>
      </c>
      <c r="K12" s="269"/>
      <c r="L12" t="s">
        <v>6</v>
      </c>
    </row>
    <row r="13" spans="1:14" ht="18" customHeight="1">
      <c r="A13" s="266" t="s">
        <v>75</v>
      </c>
      <c r="B13" s="267">
        <f>SUM(B15:B18)</f>
        <v>138843212</v>
      </c>
      <c r="C13" s="268">
        <f>SUM(C15:C18)</f>
        <v>137019252</v>
      </c>
      <c r="D13" s="268">
        <f>SUM(D15:D18)</f>
        <v>94683770</v>
      </c>
      <c r="E13" s="268">
        <f>SUM(E15:E18)</f>
        <v>12304797.24</v>
      </c>
      <c r="F13" s="268">
        <f>SUM(F15:F18)+1</f>
        <v>79551409.599999994</v>
      </c>
      <c r="G13" s="268">
        <f>SUM(G15:G18)</f>
        <v>67380854.659999996</v>
      </c>
      <c r="H13" s="268">
        <f>SUM(H15:H18)</f>
        <v>71330840.689999998</v>
      </c>
      <c r="I13" s="268">
        <f>+D13-F13</f>
        <v>15132360.400000006</v>
      </c>
      <c r="J13" s="268" t="e">
        <f>+#REF!-F13</f>
        <v>#REF!</v>
      </c>
      <c r="K13" s="269">
        <f>+F13/D13*100</f>
        <v>84.01799970575739</v>
      </c>
      <c r="L13">
        <v>71049250.593999997</v>
      </c>
      <c r="M13" s="1" t="s">
        <v>6</v>
      </c>
    </row>
    <row r="14" spans="1:14" ht="11.1" customHeight="1">
      <c r="A14" s="266"/>
      <c r="B14" s="266"/>
      <c r="C14" s="270"/>
      <c r="D14" s="268"/>
      <c r="E14" s="268"/>
      <c r="F14" s="268" t="s">
        <v>6</v>
      </c>
      <c r="G14" s="268"/>
      <c r="H14" s="268"/>
      <c r="I14" s="268"/>
      <c r="J14" s="268"/>
      <c r="K14" s="269"/>
      <c r="L14" t="s">
        <v>6</v>
      </c>
    </row>
    <row r="15" spans="1:14" ht="20.100000000000001" customHeight="1">
      <c r="A15" s="273" t="s">
        <v>76</v>
      </c>
      <c r="B15" s="274">
        <f>+'EJEC GASTOS'!C11</f>
        <v>125299729</v>
      </c>
      <c r="C15" s="274">
        <f>+'EJEC GASTOS'!D11</f>
        <v>123578084</v>
      </c>
      <c r="D15" s="274">
        <f>+'EJEC GASTOS'!E11</f>
        <v>81936460</v>
      </c>
      <c r="E15" s="274">
        <f>+'EJEC GASTOS'!F11</f>
        <v>10919493.310000001</v>
      </c>
      <c r="F15" s="274">
        <f>+'EJEC GASTOS'!G11-1</f>
        <v>70922086.390000001</v>
      </c>
      <c r="G15" s="274">
        <f>+'EJEC GASTOS'!H11</f>
        <v>61674178.609999999</v>
      </c>
      <c r="H15" s="274">
        <f>+'EJEC GASTOS'!I11</f>
        <v>67418344.079999998</v>
      </c>
      <c r="I15" s="274">
        <f>+D15-F15</f>
        <v>11014373.609999999</v>
      </c>
      <c r="J15" s="274" t="e">
        <f>+#REF!-F15</f>
        <v>#REF!</v>
      </c>
      <c r="K15" s="275">
        <f>+F15/D15*100</f>
        <v>86.557420701358097</v>
      </c>
      <c r="L15">
        <v>67328817.609999999</v>
      </c>
    </row>
    <row r="16" spans="1:14" ht="20.100000000000001" customHeight="1">
      <c r="A16" s="273" t="s">
        <v>403</v>
      </c>
      <c r="B16" s="274">
        <f>+'EJEC GASTOS'!C37</f>
        <v>7293008</v>
      </c>
      <c r="C16" s="274">
        <f>+'EJEC GASTOS'!D37</f>
        <v>6910373</v>
      </c>
      <c r="D16" s="274">
        <f>+'EJEC GASTOS'!E37</f>
        <v>6222872</v>
      </c>
      <c r="E16" s="274">
        <f>+'EJEC GASTOS'!F37</f>
        <v>624076.89</v>
      </c>
      <c r="F16" s="274">
        <f>+'EJEC GASTOS'!G37</f>
        <v>4512040.58</v>
      </c>
      <c r="G16" s="274">
        <f>+'EJEC GASTOS'!H37</f>
        <v>3294982.7499999991</v>
      </c>
      <c r="H16" s="274">
        <f>+'EJEC GASTOS'!I37</f>
        <v>2336872.5300000003</v>
      </c>
      <c r="I16" s="274">
        <f>+D16-F16</f>
        <v>1710831.42</v>
      </c>
      <c r="J16" s="274" t="e">
        <f>+#REF!-F16</f>
        <v>#REF!</v>
      </c>
      <c r="K16" s="275">
        <f>+F16/D16*100</f>
        <v>72.507366052202258</v>
      </c>
      <c r="L16">
        <v>2361674.9099999997</v>
      </c>
    </row>
    <row r="17" spans="1:16" ht="20.100000000000001" customHeight="1">
      <c r="A17" s="273" t="s">
        <v>77</v>
      </c>
      <c r="B17" s="274">
        <f>+'EJEC GASTOS'!C94</f>
        <v>3042561</v>
      </c>
      <c r="C17" s="274">
        <f>+'EJEC GASTOS'!D94</f>
        <v>4235755</v>
      </c>
      <c r="D17" s="274">
        <f>+'EJEC GASTOS'!E94</f>
        <v>4229398</v>
      </c>
      <c r="E17" s="274">
        <f>+'EJEC GASTOS'!F94</f>
        <v>513524.36</v>
      </c>
      <c r="F17" s="274">
        <f>+'EJEC GASTOS'!G94</f>
        <v>2769992.36</v>
      </c>
      <c r="G17" s="274">
        <f>+'EJEC GASTOS'!H94</f>
        <v>1617123.36</v>
      </c>
      <c r="H17" s="274">
        <f>+'EJEC GASTOS'!I94</f>
        <v>1129859.28</v>
      </c>
      <c r="I17" s="274">
        <f>+D17-F17</f>
        <v>1459405.6400000001</v>
      </c>
      <c r="J17" s="274" t="e">
        <f>+#REF!-F17</f>
        <v>#REF!</v>
      </c>
      <c r="K17" s="275">
        <f>+F17/D17*100</f>
        <v>65.493773818401579</v>
      </c>
      <c r="L17">
        <v>1178096.594</v>
      </c>
      <c r="N17" t="s">
        <v>6</v>
      </c>
    </row>
    <row r="18" spans="1:16" ht="20.100000000000001" customHeight="1">
      <c r="A18" s="273" t="s">
        <v>478</v>
      </c>
      <c r="B18" s="274">
        <f>+'EJEC GASTOS'!C154</f>
        <v>3207914</v>
      </c>
      <c r="C18" s="274">
        <f>+'EJEC GASTOS'!D154</f>
        <v>2295040</v>
      </c>
      <c r="D18" s="274">
        <f>+'EJEC GASTOS'!E154</f>
        <v>2295040</v>
      </c>
      <c r="E18" s="274">
        <f>+'EJEC GASTOS'!F154</f>
        <v>247702.68</v>
      </c>
      <c r="F18" s="274">
        <f>+'EJEC GASTOS'!G154</f>
        <v>1347289.2699999998</v>
      </c>
      <c r="G18" s="274">
        <f>+'EJEC GASTOS'!H154</f>
        <v>794569.94</v>
      </c>
      <c r="H18" s="274">
        <f>+'EJEC GASTOS'!I154</f>
        <v>445764.80000000005</v>
      </c>
      <c r="I18" s="274">
        <f>+D18-F18</f>
        <v>947750.73000000021</v>
      </c>
      <c r="J18" s="274" t="e">
        <f>+#REF!-F18</f>
        <v>#REF!</v>
      </c>
      <c r="K18" s="275">
        <f>+F18/D18*100</f>
        <v>58.704391644590061</v>
      </c>
      <c r="L18">
        <v>105848.37</v>
      </c>
    </row>
    <row r="19" spans="1:16" ht="9.75" customHeight="1">
      <c r="A19" s="266"/>
      <c r="B19" s="266"/>
      <c r="C19" s="268"/>
      <c r="D19" s="268"/>
      <c r="E19" s="268" t="s">
        <v>6</v>
      </c>
      <c r="F19" s="268" t="s">
        <v>6</v>
      </c>
      <c r="G19" s="268" t="s">
        <v>6</v>
      </c>
      <c r="H19" s="268"/>
      <c r="I19" s="268"/>
      <c r="J19" s="268"/>
      <c r="K19" s="269" t="s">
        <v>6</v>
      </c>
      <c r="L19" t="s">
        <v>6</v>
      </c>
    </row>
    <row r="20" spans="1:16" ht="18" customHeight="1">
      <c r="A20" s="266" t="s">
        <v>78</v>
      </c>
      <c r="B20" s="268">
        <f>+'EJEC GASTOS'!C159</f>
        <v>2251594</v>
      </c>
      <c r="C20" s="268">
        <f>+'EJEC GASTOS'!D159</f>
        <v>3438441</v>
      </c>
      <c r="D20" s="268">
        <f>+'EJEC GASTOS'!E159</f>
        <v>3345507</v>
      </c>
      <c r="E20" s="268">
        <f>+'EJEC GASTOS'!F159</f>
        <v>867706.82</v>
      </c>
      <c r="F20" s="268">
        <f>+'EJEC GASTOS'!G159</f>
        <v>1691588.37</v>
      </c>
      <c r="G20" s="268">
        <f>+'EJEC GASTOS'!H159</f>
        <v>1582901.62</v>
      </c>
      <c r="H20" s="268">
        <f>+'EJEC GASTOS'!I159</f>
        <v>1568215.24</v>
      </c>
      <c r="I20" s="268">
        <f>+D20-F20</f>
        <v>1653918.63</v>
      </c>
      <c r="J20" s="268" t="e">
        <f>+#REF!-F20</f>
        <v>#REF!</v>
      </c>
      <c r="K20" s="269">
        <f>+F20/D20*100</f>
        <v>50.562990004205645</v>
      </c>
      <c r="L20">
        <v>899301.06000000017</v>
      </c>
      <c r="P20" s="1" t="s">
        <v>6</v>
      </c>
    </row>
    <row r="21" spans="1:16" ht="12.75" customHeight="1">
      <c r="A21" s="266" t="s">
        <v>332</v>
      </c>
      <c r="B21" s="266"/>
      <c r="C21" s="268"/>
      <c r="D21" s="268"/>
      <c r="E21" s="268" t="s">
        <v>6</v>
      </c>
      <c r="F21" s="268" t="s">
        <v>6</v>
      </c>
      <c r="G21" s="268" t="s">
        <v>6</v>
      </c>
      <c r="H21" s="268"/>
      <c r="I21" s="268"/>
      <c r="J21" s="268"/>
      <c r="K21" s="269" t="s">
        <v>6</v>
      </c>
      <c r="L21" t="s">
        <v>6</v>
      </c>
    </row>
    <row r="22" spans="1:16" ht="18" customHeight="1">
      <c r="A22" s="266" t="s">
        <v>508</v>
      </c>
      <c r="B22" s="267">
        <f>+B28</f>
        <v>1964594</v>
      </c>
      <c r="C22" s="268">
        <f>SUM(C28)</f>
        <v>3310361</v>
      </c>
      <c r="D22" s="268">
        <f t="shared" ref="D22:H22" si="0">SUM(D28)</f>
        <v>3058161</v>
      </c>
      <c r="E22" s="268">
        <f t="shared" si="0"/>
        <v>864076.82000000007</v>
      </c>
      <c r="F22" s="268">
        <f t="shared" si="0"/>
        <v>864076.82000000007</v>
      </c>
      <c r="G22" s="268">
        <f t="shared" ref="G22" si="1">SUM(G28)</f>
        <v>1582001.62</v>
      </c>
      <c r="H22" s="268">
        <f t="shared" si="0"/>
        <v>1567315.24</v>
      </c>
      <c r="I22" s="268">
        <f>+D22-F22</f>
        <v>2194084.1799999997</v>
      </c>
      <c r="J22" s="268" t="e">
        <f>+#REF!-F22</f>
        <v>#REF!</v>
      </c>
      <c r="K22" s="269">
        <f>+F22/D22*100</f>
        <v>28.254785147021366</v>
      </c>
      <c r="L22">
        <v>59671.520000000004</v>
      </c>
    </row>
    <row r="23" spans="1:16" ht="12.75" hidden="1" customHeight="1">
      <c r="A23" s="266" t="s">
        <v>79</v>
      </c>
      <c r="B23" s="266"/>
      <c r="C23" s="268"/>
      <c r="D23" s="268" t="s">
        <v>6</v>
      </c>
      <c r="E23" s="268">
        <f ca="1">+F23-L23</f>
        <v>134579</v>
      </c>
      <c r="F23" s="268">
        <f t="shared" ref="F23:F35" ca="1" si="2">+E23+L23</f>
        <v>1231</v>
      </c>
      <c r="G23" s="268">
        <f>+H23-N23</f>
        <v>0</v>
      </c>
      <c r="H23" s="268"/>
      <c r="I23" s="268"/>
      <c r="J23" s="268"/>
      <c r="K23" s="269" t="s">
        <v>6</v>
      </c>
      <c r="L23">
        <v>1231</v>
      </c>
    </row>
    <row r="24" spans="1:16" ht="12.75" hidden="1" customHeight="1">
      <c r="A24" s="266" t="s">
        <v>404</v>
      </c>
      <c r="B24" s="266"/>
      <c r="C24" s="268"/>
      <c r="D24" s="268"/>
      <c r="E24" s="268">
        <f ca="1">+F24-L24</f>
        <v>134579</v>
      </c>
      <c r="F24" s="268">
        <f t="shared" ca="1" si="2"/>
        <v>1231</v>
      </c>
      <c r="G24" s="268">
        <f>+H24-N24</f>
        <v>0</v>
      </c>
      <c r="H24" s="268"/>
      <c r="I24" s="268"/>
      <c r="J24" s="268"/>
      <c r="K24" s="269" t="s">
        <v>6</v>
      </c>
      <c r="L24">
        <v>1231</v>
      </c>
    </row>
    <row r="25" spans="1:16" ht="12.75" hidden="1" customHeight="1">
      <c r="A25" s="266" t="s">
        <v>405</v>
      </c>
      <c r="B25" s="266"/>
      <c r="C25" s="268"/>
      <c r="D25" s="268"/>
      <c r="E25" s="268">
        <f ca="1">+F25-L25</f>
        <v>134579</v>
      </c>
      <c r="F25" s="268">
        <f t="shared" ca="1" si="2"/>
        <v>1231</v>
      </c>
      <c r="G25" s="268">
        <f>+H25-N25</f>
        <v>0</v>
      </c>
      <c r="H25" s="268"/>
      <c r="I25" s="268"/>
      <c r="J25" s="268"/>
      <c r="K25" s="269" t="s">
        <v>6</v>
      </c>
      <c r="L25">
        <v>1231</v>
      </c>
    </row>
    <row r="26" spans="1:16" ht="12.75" hidden="1" customHeight="1">
      <c r="A26" s="266" t="s">
        <v>80</v>
      </c>
      <c r="B26" s="266"/>
      <c r="C26" s="268"/>
      <c r="D26" s="268"/>
      <c r="E26" s="268">
        <f ca="1">+F26-L26</f>
        <v>134579</v>
      </c>
      <c r="F26" s="268">
        <f t="shared" ca="1" si="2"/>
        <v>1231</v>
      </c>
      <c r="G26" s="268">
        <f>+H26-N26</f>
        <v>0</v>
      </c>
      <c r="H26" s="268"/>
      <c r="I26" s="268"/>
      <c r="J26" s="268"/>
      <c r="K26" s="269" t="s">
        <v>6</v>
      </c>
      <c r="L26">
        <v>1231</v>
      </c>
    </row>
    <row r="27" spans="1:16" ht="12.75" customHeight="1">
      <c r="A27" s="266"/>
      <c r="B27" s="266"/>
      <c r="C27" s="268"/>
      <c r="D27" s="268"/>
      <c r="E27" s="268"/>
      <c r="F27" s="268"/>
      <c r="G27" s="268"/>
      <c r="H27" s="268"/>
      <c r="I27" s="268"/>
      <c r="J27" s="268"/>
      <c r="K27" s="269"/>
    </row>
    <row r="28" spans="1:16" ht="18" customHeight="1">
      <c r="A28" s="273" t="s">
        <v>509</v>
      </c>
      <c r="B28" s="274">
        <f>+'EJEC GASTOS'!C160+'EJEC GASTOS'!C162++'EJEC GASTOS'!C168+'EJEC GASTOS'!C172</f>
        <v>1964594</v>
      </c>
      <c r="C28" s="274">
        <f>+'EJEC GASTOS'!D160+'EJEC GASTOS'!D162++'EJEC GASTOS'!D168+'EJEC GASTOS'!D172</f>
        <v>3310361</v>
      </c>
      <c r="D28" s="274">
        <f>+'EJEC GASTOS'!E160+'EJEC GASTOS'!E162++'EJEC GASTOS'!E168</f>
        <v>3058161</v>
      </c>
      <c r="E28" s="274">
        <f>+'EJEC GASTOS'!F160+'EJEC GASTOS'!F162++'EJEC GASTOS'!F168</f>
        <v>864076.82000000007</v>
      </c>
      <c r="F28" s="274">
        <f>+'EJEC GASTOS'!F160+'EJEC GASTOS'!F162++'EJEC GASTOS'!F168</f>
        <v>864076.82000000007</v>
      </c>
      <c r="G28" s="274">
        <f>+'EJEC GASTOS'!H160+'EJEC GASTOS'!H162++'EJEC GASTOS'!H168</f>
        <v>1582001.62</v>
      </c>
      <c r="H28" s="274">
        <f>+'EJEC GASTOS'!I160+'EJEC GASTOS'!I162++'EJEC GASTOS'!I168</f>
        <v>1567315.24</v>
      </c>
      <c r="I28" s="274">
        <f>+I22</f>
        <v>2194084.1799999997</v>
      </c>
      <c r="J28" s="274" t="e">
        <f>+J22</f>
        <v>#REF!</v>
      </c>
      <c r="K28" s="275">
        <f>+F28/D28*100</f>
        <v>28.254785147021366</v>
      </c>
      <c r="L28">
        <v>59671.520000000004</v>
      </c>
    </row>
    <row r="29" spans="1:16" ht="18" customHeight="1">
      <c r="A29" s="273" t="s">
        <v>510</v>
      </c>
      <c r="B29" s="273"/>
      <c r="C29" s="274"/>
      <c r="D29" s="274" t="s">
        <v>6</v>
      </c>
      <c r="E29" s="274" t="s">
        <v>6</v>
      </c>
      <c r="F29" s="274" t="s">
        <v>6</v>
      </c>
      <c r="G29" s="274" t="s">
        <v>6</v>
      </c>
      <c r="H29" s="274"/>
      <c r="I29" s="274"/>
      <c r="J29" s="274"/>
      <c r="K29" s="275" t="s">
        <v>6</v>
      </c>
      <c r="L29" t="s">
        <v>6</v>
      </c>
    </row>
    <row r="30" spans="1:16" ht="18" customHeight="1">
      <c r="A30" s="273" t="s">
        <v>511</v>
      </c>
      <c r="B30" s="273"/>
      <c r="C30" s="274"/>
      <c r="D30" s="274" t="s">
        <v>6</v>
      </c>
      <c r="E30" s="274"/>
      <c r="F30" s="274">
        <f t="shared" si="2"/>
        <v>0</v>
      </c>
      <c r="G30" s="274"/>
      <c r="H30" s="274"/>
      <c r="I30" s="274"/>
      <c r="J30" s="274"/>
      <c r="K30" s="275" t="s">
        <v>6</v>
      </c>
      <c r="L30">
        <v>0</v>
      </c>
    </row>
    <row r="31" spans="1:16" ht="9" customHeight="1">
      <c r="A31" s="273"/>
      <c r="B31" s="273"/>
      <c r="C31" s="274"/>
      <c r="D31" s="274"/>
      <c r="E31" s="274"/>
      <c r="F31" s="274"/>
      <c r="G31" s="274"/>
      <c r="H31" s="274"/>
      <c r="I31" s="274"/>
      <c r="J31" s="274"/>
      <c r="K31" s="275"/>
    </row>
    <row r="32" spans="1:16" ht="22.5" customHeight="1">
      <c r="A32" s="276" t="s">
        <v>507</v>
      </c>
      <c r="B32" s="277">
        <f>+'EJEC GASTOS'!C174</f>
        <v>287000</v>
      </c>
      <c r="C32" s="277">
        <f>+'EJEC GASTOS'!D174</f>
        <v>86500</v>
      </c>
      <c r="D32" s="277">
        <f>+'EJEC GASTOS'!E174</f>
        <v>86500</v>
      </c>
      <c r="E32" s="277">
        <f>+'EJEC GASTOS'!F174</f>
        <v>1815</v>
      </c>
      <c r="F32" s="277">
        <f>+'EJEC GASTOS'!G174</f>
        <v>22424.21</v>
      </c>
      <c r="G32" s="277">
        <f>+'EJEC GASTOS'!H174</f>
        <v>900</v>
      </c>
      <c r="H32" s="277">
        <f>+'EJEC GASTOS'!I163+'EJEC GASTOS'!I165++'EJEC GASTOS'!I174</f>
        <v>900</v>
      </c>
      <c r="I32" s="277">
        <f>+D32-F32</f>
        <v>64075.79</v>
      </c>
      <c r="J32" s="277" t="e">
        <f>+#REF!-F32</f>
        <v>#REF!</v>
      </c>
      <c r="K32" s="278">
        <f>+F32/D32*100</f>
        <v>25.92394219653179</v>
      </c>
      <c r="L32">
        <v>5963.5599999999995</v>
      </c>
    </row>
    <row r="33" spans="1:17" ht="12.6" customHeight="1">
      <c r="A33" s="266"/>
      <c r="B33" s="266"/>
      <c r="C33" s="268"/>
      <c r="D33" s="268"/>
      <c r="E33" s="268"/>
      <c r="F33" s="268"/>
      <c r="G33" s="268"/>
      <c r="H33" s="268"/>
      <c r="I33" s="268"/>
      <c r="J33" s="268"/>
      <c r="K33" s="269"/>
    </row>
    <row r="34" spans="1:17" ht="15.75" customHeight="1">
      <c r="A34" s="266" t="s">
        <v>6</v>
      </c>
      <c r="B34" s="266"/>
      <c r="C34" s="268"/>
      <c r="D34" s="268" t="s">
        <v>6</v>
      </c>
      <c r="E34" s="268" t="s">
        <v>6</v>
      </c>
      <c r="F34" s="268" t="s">
        <v>6</v>
      </c>
      <c r="G34" s="268" t="s">
        <v>6</v>
      </c>
      <c r="H34" s="268">
        <v>0</v>
      </c>
      <c r="I34" s="268" t="s">
        <v>6</v>
      </c>
      <c r="J34" s="268" t="s">
        <v>6</v>
      </c>
      <c r="K34" s="269">
        <v>0</v>
      </c>
      <c r="L34" t="s">
        <v>6</v>
      </c>
    </row>
    <row r="35" spans="1:17" ht="7.9" customHeight="1">
      <c r="A35" s="266" t="s">
        <v>6</v>
      </c>
      <c r="B35" s="266"/>
      <c r="C35" s="268"/>
      <c r="D35" s="268"/>
      <c r="E35" s="268"/>
      <c r="F35" s="268">
        <f t="shared" si="2"/>
        <v>0</v>
      </c>
      <c r="G35" s="268"/>
      <c r="H35" s="268"/>
      <c r="I35" s="268" t="s">
        <v>6</v>
      </c>
      <c r="J35" s="268" t="s">
        <v>6</v>
      </c>
      <c r="K35" s="269" t="s">
        <v>6</v>
      </c>
      <c r="L35">
        <v>0</v>
      </c>
    </row>
    <row r="36" spans="1:17" ht="15">
      <c r="A36" s="279" t="s">
        <v>81</v>
      </c>
      <c r="B36" s="271">
        <f>+B39</f>
        <v>56905194</v>
      </c>
      <c r="C36" s="271">
        <f>+C39+C45</f>
        <v>26705941</v>
      </c>
      <c r="D36" s="271">
        <f>+D45+D39</f>
        <v>26705941</v>
      </c>
      <c r="E36" s="271">
        <f>+E39+E45</f>
        <v>5822921.2599999988</v>
      </c>
      <c r="F36" s="271">
        <f>+F39</f>
        <v>25647260.290000003</v>
      </c>
      <c r="G36" s="271">
        <f>+G39+G45</f>
        <v>8325597.8700000001</v>
      </c>
      <c r="H36" s="271">
        <f>+H45+H39</f>
        <v>2258904.2599999998</v>
      </c>
      <c r="I36" s="494">
        <f>+D36-F36</f>
        <v>1058680.7099999972</v>
      </c>
      <c r="J36" s="271" t="e">
        <f>+#REF!-F36</f>
        <v>#REF!</v>
      </c>
      <c r="K36" s="272">
        <f>+F36/D36*100</f>
        <v>96.035785782646656</v>
      </c>
      <c r="L36">
        <v>12869150.130000001</v>
      </c>
    </row>
    <row r="37" spans="1:17" ht="4.5" customHeight="1">
      <c r="A37" s="266"/>
      <c r="B37" s="266"/>
      <c r="C37" s="268"/>
      <c r="D37" s="280" t="s">
        <v>6</v>
      </c>
      <c r="E37" s="268" t="s">
        <v>6</v>
      </c>
      <c r="F37" s="268" t="s">
        <v>6</v>
      </c>
      <c r="G37" s="268" t="s">
        <v>6</v>
      </c>
      <c r="H37" s="268"/>
      <c r="I37" s="268"/>
      <c r="J37" s="268"/>
      <c r="K37" s="269" t="s">
        <v>6</v>
      </c>
      <c r="L37" t="s">
        <v>6</v>
      </c>
    </row>
    <row r="38" spans="1:17" ht="15.75" customHeight="1">
      <c r="A38" s="266"/>
      <c r="B38" s="266"/>
      <c r="C38" s="268"/>
      <c r="D38" s="280"/>
      <c r="E38" s="268"/>
      <c r="F38" s="268"/>
      <c r="G38" s="268"/>
      <c r="H38" s="268"/>
      <c r="I38" s="268"/>
      <c r="J38" s="268"/>
      <c r="K38" s="269"/>
    </row>
    <row r="39" spans="1:17" ht="13.5">
      <c r="A39" s="266" t="s">
        <v>82</v>
      </c>
      <c r="B39" s="267">
        <f>+B41+B42+B43</f>
        <v>56905194</v>
      </c>
      <c r="C39" s="268">
        <f t="shared" ref="C39:E39" si="3">+C41+C42+C43</f>
        <v>26705941</v>
      </c>
      <c r="D39" s="268">
        <f t="shared" si="3"/>
        <v>26705941</v>
      </c>
      <c r="E39" s="268">
        <f t="shared" si="3"/>
        <v>5822921.2599999988</v>
      </c>
      <c r="F39" s="268">
        <f>+F41+F42+F43</f>
        <v>25647260.290000003</v>
      </c>
      <c r="G39" s="268">
        <f>+G41+G42+G43+1</f>
        <v>8325597.8700000001</v>
      </c>
      <c r="H39" s="268">
        <f>+H41+H42+H43</f>
        <v>2258904.2599999998</v>
      </c>
      <c r="I39" s="491">
        <f>+D39-F39</f>
        <v>1058680.7099999972</v>
      </c>
      <c r="J39" s="268" t="e">
        <f>+#REF!-F39</f>
        <v>#REF!</v>
      </c>
      <c r="K39" s="269">
        <f>+F39/D39*100</f>
        <v>96.035785782646656</v>
      </c>
      <c r="L39">
        <v>12869150.130000001</v>
      </c>
      <c r="N39" t="s">
        <v>6</v>
      </c>
    </row>
    <row r="40" spans="1:17" ht="6" customHeight="1">
      <c r="A40" s="266"/>
      <c r="B40" s="266"/>
      <c r="C40" s="268"/>
      <c r="D40" s="268"/>
      <c r="E40" s="268" t="s">
        <v>6</v>
      </c>
      <c r="F40" s="268" t="s">
        <v>6</v>
      </c>
      <c r="G40" s="268" t="s">
        <v>6</v>
      </c>
      <c r="H40" s="268"/>
      <c r="I40" s="491" t="s">
        <v>6</v>
      </c>
      <c r="J40" s="268" t="s">
        <v>6</v>
      </c>
      <c r="K40" s="269"/>
      <c r="L40" t="s">
        <v>6</v>
      </c>
    </row>
    <row r="41" spans="1:17" ht="18" customHeight="1">
      <c r="A41" s="266" t="s">
        <v>406</v>
      </c>
      <c r="B41" s="274">
        <f>+'PROYECTOS INV'!B8</f>
        <v>27799680</v>
      </c>
      <c r="C41" s="274">
        <f>+'PROYECTOS INV'!C8</f>
        <v>9400097</v>
      </c>
      <c r="D41" s="274">
        <f>+'PROYECTOS INV'!D8</f>
        <v>9400097</v>
      </c>
      <c r="E41" s="274">
        <f>+'PROYECTOS INV'!E8</f>
        <v>4718429.4399999995</v>
      </c>
      <c r="F41" s="274">
        <f>+'PROYECTOS INV'!F8</f>
        <v>10552579.790000001</v>
      </c>
      <c r="G41" s="274">
        <f>+'PROYECTOS INV'!G8</f>
        <v>654847.5199999999</v>
      </c>
      <c r="H41" s="274">
        <f>+'PROYECTOS INV'!H8</f>
        <v>283150.19</v>
      </c>
      <c r="I41" s="492">
        <f>+D41-F41</f>
        <v>-1152482.790000001</v>
      </c>
      <c r="J41" s="274" t="e">
        <f>+#REF!-F41</f>
        <v>#REF!</v>
      </c>
      <c r="K41" s="275">
        <f>+F41/D41*100</f>
        <v>112.26032869660814</v>
      </c>
      <c r="L41" s="43">
        <v>12221531.41</v>
      </c>
      <c r="N41" s="1"/>
      <c r="O41" s="1"/>
      <c r="Q41" s="25"/>
    </row>
    <row r="42" spans="1:17" ht="18" customHeight="1">
      <c r="A42" s="266" t="s">
        <v>407</v>
      </c>
      <c r="B42" s="274">
        <f>+'PROYECTOS INV'!B16</f>
        <v>15761574</v>
      </c>
      <c r="C42" s="274">
        <f>+'PROYECTOS INV'!C16</f>
        <v>8710851</v>
      </c>
      <c r="D42" s="274">
        <f>+'PROYECTOS INV'!D16</f>
        <v>8710851</v>
      </c>
      <c r="E42" s="274">
        <f>+'PROYECTOS INV'!E16</f>
        <v>812889.93</v>
      </c>
      <c r="F42" s="274">
        <f>+'PROYECTOS INV'!F16</f>
        <v>7951714.1300000018</v>
      </c>
      <c r="G42" s="274">
        <f>+'PROYECTOS INV'!G16-1</f>
        <v>3086069.0799999996</v>
      </c>
      <c r="H42" s="274">
        <f>+'PROYECTOS INV'!H16</f>
        <v>1380547.8799999997</v>
      </c>
      <c r="I42" s="492">
        <f>+D42-F42</f>
        <v>759136.86999999825</v>
      </c>
      <c r="J42" s="274" t="e">
        <f>+#REF!-F42</f>
        <v>#REF!</v>
      </c>
      <c r="K42" s="275">
        <f>+F42/D42*100</f>
        <v>91.285158361680189</v>
      </c>
      <c r="L42" s="43">
        <v>647618.71999999986</v>
      </c>
      <c r="N42" s="1"/>
      <c r="O42" s="1"/>
      <c r="Q42" s="25"/>
    </row>
    <row r="43" spans="1:17" ht="19.5" customHeight="1">
      <c r="A43" s="266" t="s">
        <v>408</v>
      </c>
      <c r="B43" s="274">
        <f>+'PROYECTOS INV'!B33</f>
        <v>13343940</v>
      </c>
      <c r="C43" s="274">
        <f>+'PROYECTOS INV'!C33</f>
        <v>8594993</v>
      </c>
      <c r="D43" s="274">
        <f>+'PROYECTOS INV'!D33</f>
        <v>8594993</v>
      </c>
      <c r="E43" s="274">
        <f>+'PROYECTOS INV'!E33</f>
        <v>291601.89</v>
      </c>
      <c r="F43" s="274">
        <f>+'PROYECTOS INV'!F33</f>
        <v>7142966.3700000001</v>
      </c>
      <c r="G43" s="274">
        <f>+'PROYECTOS INV'!G33</f>
        <v>4584680.2700000005</v>
      </c>
      <c r="H43" s="274">
        <f>+'PROYECTOS INV'!H33</f>
        <v>595206.18999999994</v>
      </c>
      <c r="I43" s="493">
        <f>+D43-F43</f>
        <v>1452026.63</v>
      </c>
      <c r="J43" s="274" t="e">
        <f>+#REF!-F43</f>
        <v>#REF!</v>
      </c>
      <c r="K43" s="275">
        <f>+F43/D43*100</f>
        <v>83.106133652464877</v>
      </c>
      <c r="L43" s="43">
        <v>0</v>
      </c>
      <c r="N43" s="1"/>
      <c r="O43" s="1"/>
    </row>
    <row r="44" spans="1:17" ht="7.5" customHeight="1">
      <c r="A44" s="266"/>
      <c r="B44" s="266"/>
      <c r="C44" s="268"/>
      <c r="D44" s="268"/>
      <c r="E44" s="268"/>
      <c r="F44" s="268" t="s">
        <v>6</v>
      </c>
      <c r="G44" s="268"/>
      <c r="H44" s="268"/>
      <c r="I44" s="268" t="s">
        <v>6</v>
      </c>
      <c r="J44" s="268" t="s">
        <v>6</v>
      </c>
      <c r="K44" s="269" t="s">
        <v>6</v>
      </c>
      <c r="L44" t="s">
        <v>6</v>
      </c>
    </row>
    <row r="45" spans="1:17" ht="13.5">
      <c r="A45" s="266"/>
      <c r="B45" s="266"/>
      <c r="C45" s="268"/>
      <c r="D45" s="268">
        <v>0</v>
      </c>
      <c r="E45" s="268">
        <v>0</v>
      </c>
      <c r="F45" s="268" t="s">
        <v>6</v>
      </c>
      <c r="G45" s="268"/>
      <c r="H45" s="268">
        <v>0</v>
      </c>
      <c r="I45" s="268" t="s">
        <v>6</v>
      </c>
      <c r="J45" s="268" t="s">
        <v>6</v>
      </c>
      <c r="K45" s="269" t="s">
        <v>6</v>
      </c>
      <c r="L45" t="s">
        <v>6</v>
      </c>
    </row>
    <row r="46" spans="1:17" ht="9" customHeight="1">
      <c r="A46" s="266"/>
      <c r="B46" s="266"/>
      <c r="C46" s="268"/>
      <c r="D46" s="268"/>
      <c r="E46" s="268"/>
      <c r="F46" s="268" t="s">
        <v>6</v>
      </c>
      <c r="G46" s="268"/>
      <c r="H46" s="268" t="s">
        <v>6</v>
      </c>
      <c r="I46" s="268" t="s">
        <v>6</v>
      </c>
      <c r="J46" s="268" t="s">
        <v>6</v>
      </c>
      <c r="K46" s="269" t="s">
        <v>6</v>
      </c>
      <c r="L46" t="s">
        <v>6</v>
      </c>
    </row>
    <row r="47" spans="1:17" ht="13.5">
      <c r="A47" s="266"/>
      <c r="B47" s="266"/>
      <c r="C47" s="268"/>
      <c r="D47" s="268"/>
      <c r="E47" s="268"/>
      <c r="F47" s="268" t="s">
        <v>6</v>
      </c>
      <c r="G47" s="268"/>
      <c r="H47" s="268"/>
      <c r="I47" s="268" t="s">
        <v>6</v>
      </c>
      <c r="J47" s="268" t="s">
        <v>6</v>
      </c>
      <c r="K47" s="269" t="s">
        <v>6</v>
      </c>
      <c r="L47" t="s">
        <v>6</v>
      </c>
    </row>
    <row r="48" spans="1:17" ht="13.5">
      <c r="A48" s="266"/>
      <c r="B48" s="266"/>
      <c r="C48" s="268"/>
      <c r="D48" s="268"/>
      <c r="E48" s="268"/>
      <c r="F48" s="268" t="s">
        <v>6</v>
      </c>
      <c r="G48" s="268"/>
      <c r="H48" s="268"/>
      <c r="I48" s="268" t="s">
        <v>6</v>
      </c>
      <c r="J48" s="268" t="s">
        <v>6</v>
      </c>
      <c r="K48" s="269" t="s">
        <v>6</v>
      </c>
      <c r="L48" t="s">
        <v>6</v>
      </c>
    </row>
    <row r="49" spans="1:12" ht="13.5">
      <c r="A49" s="266"/>
      <c r="B49" s="266"/>
      <c r="C49" s="268"/>
      <c r="D49" s="268"/>
      <c r="E49" s="268"/>
      <c r="F49" s="268" t="s">
        <v>6</v>
      </c>
      <c r="G49" s="268"/>
      <c r="H49" s="268"/>
      <c r="I49" s="268" t="s">
        <v>6</v>
      </c>
      <c r="J49" s="268" t="s">
        <v>6</v>
      </c>
      <c r="K49" s="269" t="s">
        <v>6</v>
      </c>
      <c r="L49" t="s">
        <v>6</v>
      </c>
    </row>
    <row r="50" spans="1:12" ht="15.75">
      <c r="A50" s="281"/>
      <c r="B50" s="281"/>
      <c r="C50" s="282"/>
      <c r="D50" s="283"/>
      <c r="E50" s="283"/>
      <c r="F50" s="283" t="s">
        <v>6</v>
      </c>
      <c r="G50" s="283"/>
      <c r="H50" s="283"/>
      <c r="I50" s="283" t="s">
        <v>6</v>
      </c>
      <c r="J50" s="283" t="s">
        <v>6</v>
      </c>
      <c r="K50" s="284" t="s">
        <v>6</v>
      </c>
      <c r="L50" t="s">
        <v>6</v>
      </c>
    </row>
    <row r="51" spans="1:12" ht="12" customHeight="1" thickBot="1">
      <c r="A51" s="285"/>
      <c r="B51" s="285"/>
      <c r="C51" s="286"/>
      <c r="D51" s="287"/>
      <c r="E51" s="287"/>
      <c r="F51" s="288" t="s">
        <v>6</v>
      </c>
      <c r="G51" s="288"/>
      <c r="H51" s="287"/>
      <c r="I51" s="287"/>
      <c r="J51" s="288" t="s">
        <v>6</v>
      </c>
      <c r="K51" s="289"/>
    </row>
    <row r="52" spans="1:12" ht="8.25" customHeight="1">
      <c r="A52" s="230"/>
      <c r="B52" s="230"/>
      <c r="C52" s="230"/>
      <c r="D52" s="66"/>
      <c r="E52" s="66"/>
      <c r="F52" s="66"/>
      <c r="G52" s="66"/>
      <c r="H52" s="66"/>
      <c r="I52" s="66"/>
      <c r="J52" s="66"/>
      <c r="K52" s="290"/>
    </row>
    <row r="53" spans="1:12">
      <c r="A53" s="613" t="s">
        <v>479</v>
      </c>
      <c r="B53" s="613"/>
      <c r="C53" s="5"/>
      <c r="D53" s="1"/>
      <c r="E53" s="1"/>
      <c r="F53" s="66"/>
      <c r="G53" s="66"/>
      <c r="H53" s="66"/>
      <c r="I53" s="66"/>
      <c r="J53" s="66"/>
      <c r="K53" s="45"/>
    </row>
    <row r="54" spans="1:12">
      <c r="A54" s="13" cm="1">
        <f t="array" ref="A54">A1:K54</f>
        <v>0</v>
      </c>
      <c r="B54" s="13"/>
      <c r="C54" s="13"/>
      <c r="D54" s="19"/>
      <c r="E54" s="19"/>
      <c r="F54" s="18"/>
      <c r="G54" s="18"/>
      <c r="H54" s="18"/>
      <c r="I54" s="18"/>
      <c r="J54" s="18"/>
      <c r="K54" s="14"/>
    </row>
    <row r="55" spans="1:12">
      <c r="A55" s="13" t="s">
        <v>6</v>
      </c>
      <c r="B55" s="13"/>
      <c r="C55" s="13"/>
      <c r="D55" s="19"/>
      <c r="E55" s="19"/>
      <c r="F55" s="18"/>
      <c r="G55" s="18"/>
      <c r="H55" s="18"/>
      <c r="I55" s="18"/>
      <c r="J55" s="18"/>
      <c r="K55" s="14"/>
    </row>
    <row r="56" spans="1:12">
      <c r="A56" s="13" t="s">
        <v>6</v>
      </c>
      <c r="B56" s="13"/>
      <c r="C56" s="13"/>
      <c r="D56" s="12"/>
      <c r="E56" s="12"/>
      <c r="F56" s="12"/>
      <c r="G56" s="12"/>
      <c r="H56" s="12"/>
      <c r="I56" s="12"/>
      <c r="J56" s="12"/>
      <c r="K56" s="14"/>
    </row>
    <row r="57" spans="1:12">
      <c r="A57" s="13" t="s">
        <v>6</v>
      </c>
      <c r="B57" s="13"/>
      <c r="C57" s="13"/>
      <c r="D57" s="12"/>
      <c r="E57" s="12"/>
      <c r="F57" s="12"/>
      <c r="G57" s="12"/>
      <c r="H57" s="12"/>
      <c r="I57" s="12"/>
      <c r="J57" s="12"/>
      <c r="K57" s="14"/>
    </row>
    <row r="58" spans="1:12">
      <c r="A58" s="13" t="s">
        <v>6</v>
      </c>
      <c r="B58" s="13"/>
      <c r="C58" s="13"/>
      <c r="D58" s="12"/>
      <c r="E58" s="12"/>
      <c r="F58" s="12"/>
      <c r="G58" s="12"/>
      <c r="H58" s="12"/>
      <c r="I58" s="12"/>
      <c r="J58" s="12"/>
      <c r="K58" s="14"/>
    </row>
    <row r="59" spans="1:12">
      <c r="A59" s="13" t="s">
        <v>6</v>
      </c>
      <c r="B59" s="13"/>
      <c r="C59" s="13"/>
      <c r="D59" s="12"/>
      <c r="E59" s="12"/>
      <c r="F59" s="12"/>
      <c r="G59" s="12"/>
      <c r="H59" s="12"/>
      <c r="I59" s="12"/>
      <c r="J59" s="12"/>
      <c r="K59" s="14"/>
    </row>
    <row r="60" spans="1:12">
      <c r="A60" s="13" t="s">
        <v>6</v>
      </c>
      <c r="B60" s="13"/>
      <c r="C60" s="13"/>
      <c r="D60" s="12"/>
      <c r="E60" s="12"/>
      <c r="F60" s="12"/>
      <c r="G60" s="12"/>
      <c r="H60" s="12"/>
      <c r="I60" s="12"/>
      <c r="J60" s="12"/>
      <c r="K60" s="14"/>
    </row>
    <row r="61" spans="1:12">
      <c r="A61" s="13" t="s">
        <v>6</v>
      </c>
      <c r="B61" s="13"/>
      <c r="C61" s="13"/>
      <c r="D61" s="12"/>
      <c r="E61" s="12"/>
      <c r="F61" s="12"/>
      <c r="G61" s="12"/>
      <c r="H61" s="12"/>
      <c r="I61" s="12"/>
      <c r="J61" s="12"/>
      <c r="K61" s="14"/>
    </row>
    <row r="62" spans="1:12" ht="74.25" customHeight="1">
      <c r="A62" s="13" t="s">
        <v>6</v>
      </c>
      <c r="B62" s="13"/>
      <c r="C62" s="13"/>
      <c r="D62" s="12"/>
      <c r="E62" s="12"/>
      <c r="F62" s="12"/>
      <c r="G62" s="12"/>
      <c r="H62" s="12"/>
      <c r="I62" s="12"/>
      <c r="J62" s="12"/>
      <c r="K62" s="14"/>
    </row>
    <row r="63" spans="1:12">
      <c r="A63" s="9" t="s">
        <v>6</v>
      </c>
      <c r="D63" s="12"/>
      <c r="E63" s="12"/>
      <c r="F63" s="12"/>
      <c r="G63" s="12"/>
      <c r="H63" s="12"/>
      <c r="I63" s="12"/>
      <c r="J63" s="12"/>
      <c r="K63" s="14"/>
    </row>
    <row r="64" spans="1:12">
      <c r="D64" s="12"/>
      <c r="E64" s="12"/>
      <c r="F64" s="12"/>
      <c r="G64" s="12"/>
      <c r="H64" s="12"/>
      <c r="I64" s="12"/>
      <c r="J64" s="12"/>
      <c r="K64" s="14"/>
    </row>
    <row r="65" spans="1:11">
      <c r="A65" s="9" t="s">
        <v>6</v>
      </c>
      <c r="D65" s="12"/>
      <c r="E65" s="12"/>
      <c r="F65" s="12"/>
      <c r="G65" s="12"/>
      <c r="H65" s="12"/>
      <c r="I65" s="12"/>
      <c r="J65" s="12"/>
      <c r="K65" s="14"/>
    </row>
    <row r="66" spans="1:11">
      <c r="A66" s="9" t="s">
        <v>6</v>
      </c>
      <c r="D66" s="12"/>
      <c r="E66" s="12"/>
      <c r="F66" s="12"/>
      <c r="G66" s="12"/>
      <c r="H66" s="12"/>
      <c r="I66" s="12"/>
      <c r="J66" s="12"/>
      <c r="K66" s="14"/>
    </row>
    <row r="67" spans="1:11">
      <c r="D67" s="12"/>
      <c r="E67" s="12"/>
      <c r="F67" s="12"/>
      <c r="G67" s="12"/>
      <c r="H67" s="12"/>
      <c r="I67" s="12"/>
      <c r="J67" s="12"/>
      <c r="K67" s="14"/>
    </row>
    <row r="68" spans="1:11">
      <c r="D68" s="12"/>
      <c r="E68" s="12"/>
      <c r="F68" s="12"/>
      <c r="G68" s="12"/>
      <c r="H68" s="12"/>
      <c r="I68" s="12"/>
      <c r="J68" s="12"/>
      <c r="K68" s="14"/>
    </row>
    <row r="69" spans="1:11">
      <c r="D69" s="12"/>
      <c r="E69" s="12"/>
      <c r="F69" s="12"/>
      <c r="G69" s="12"/>
      <c r="H69" s="12"/>
      <c r="I69" s="12"/>
      <c r="J69" s="12"/>
      <c r="K69" s="14"/>
    </row>
    <row r="70" spans="1:11">
      <c r="D70" s="12"/>
      <c r="E70" s="12"/>
      <c r="F70" s="12"/>
      <c r="G70" s="12"/>
      <c r="H70" s="12"/>
      <c r="I70" s="12"/>
      <c r="J70" s="12"/>
      <c r="K70" s="14"/>
    </row>
    <row r="71" spans="1:11">
      <c r="D71" s="12"/>
      <c r="E71" s="12"/>
      <c r="F71" s="12"/>
      <c r="G71" s="12"/>
      <c r="H71" s="12"/>
      <c r="I71" s="12"/>
      <c r="J71" s="12"/>
      <c r="K71" s="14"/>
    </row>
    <row r="72" spans="1:11">
      <c r="D72" s="12"/>
      <c r="E72" s="12"/>
      <c r="F72" s="12"/>
      <c r="G72" s="12"/>
      <c r="H72" s="12"/>
      <c r="I72" s="12"/>
      <c r="J72" s="12"/>
      <c r="K72" s="14"/>
    </row>
    <row r="73" spans="1:11">
      <c r="D73" s="12"/>
      <c r="E73" s="12"/>
      <c r="F73" s="12"/>
      <c r="G73" s="12"/>
      <c r="H73" s="12"/>
      <c r="I73" s="12"/>
      <c r="J73" s="12"/>
      <c r="K73" s="14"/>
    </row>
    <row r="74" spans="1:11">
      <c r="D74" s="12"/>
      <c r="E74" s="12"/>
      <c r="F74" s="12"/>
      <c r="G74" s="12"/>
      <c r="H74" s="12"/>
      <c r="I74" s="12"/>
      <c r="J74" s="12"/>
      <c r="K74" s="14"/>
    </row>
    <row r="75" spans="1:11">
      <c r="D75" s="12"/>
      <c r="E75" s="12"/>
      <c r="F75" s="12"/>
      <c r="G75" s="12"/>
      <c r="H75" s="12"/>
      <c r="I75" s="12"/>
      <c r="J75" s="12"/>
      <c r="K75" s="14"/>
    </row>
    <row r="76" spans="1:11">
      <c r="D76" s="12"/>
      <c r="E76" s="12"/>
      <c r="F76" s="12"/>
      <c r="G76" s="12"/>
      <c r="H76" s="12"/>
      <c r="I76" s="12"/>
      <c r="J76" s="12"/>
      <c r="K76" s="14"/>
    </row>
    <row r="77" spans="1:11">
      <c r="D77" s="12"/>
      <c r="E77" s="12"/>
      <c r="F77" s="12"/>
      <c r="G77" s="12"/>
      <c r="H77" s="12"/>
      <c r="I77" s="12"/>
      <c r="J77" s="12"/>
      <c r="K77" s="14"/>
    </row>
    <row r="78" spans="1:11">
      <c r="D78" s="12"/>
      <c r="E78" s="12"/>
      <c r="F78" s="12"/>
      <c r="G78" s="12"/>
      <c r="H78" s="12"/>
      <c r="I78" s="12"/>
      <c r="J78" s="12"/>
      <c r="K78" s="14"/>
    </row>
    <row r="79" spans="1:11">
      <c r="D79" s="12"/>
      <c r="E79" s="12"/>
      <c r="F79" s="12"/>
      <c r="G79" s="12"/>
      <c r="H79" s="12"/>
      <c r="I79" s="12"/>
      <c r="J79" s="12"/>
      <c r="K79" s="14"/>
    </row>
    <row r="80" spans="1:11">
      <c r="D80" s="12"/>
      <c r="E80" s="12"/>
      <c r="F80" s="12"/>
      <c r="G80" s="12"/>
      <c r="H80" s="12"/>
      <c r="I80" s="12"/>
      <c r="J80" s="12"/>
      <c r="K80" s="14"/>
    </row>
    <row r="81" spans="4:11">
      <c r="D81" s="12"/>
      <c r="E81" s="12"/>
      <c r="F81" s="12"/>
      <c r="G81" s="12"/>
      <c r="H81" s="12"/>
      <c r="I81" s="12"/>
      <c r="J81" s="12"/>
      <c r="K81" s="14"/>
    </row>
    <row r="82" spans="4:11">
      <c r="D82" s="12"/>
      <c r="E82" s="12"/>
      <c r="F82" s="12"/>
      <c r="G82" s="12"/>
      <c r="H82" s="12"/>
      <c r="I82" s="12"/>
      <c r="J82" s="12"/>
      <c r="K82" s="14"/>
    </row>
    <row r="83" spans="4:11">
      <c r="D83" s="12"/>
      <c r="E83" s="12"/>
      <c r="F83" s="12"/>
      <c r="G83" s="12"/>
      <c r="H83" s="12"/>
      <c r="I83" s="12"/>
      <c r="J83" s="12"/>
      <c r="K83" s="14"/>
    </row>
    <row r="84" spans="4:11">
      <c r="D84" s="12"/>
      <c r="E84" s="12"/>
      <c r="F84" s="12"/>
      <c r="G84" s="12"/>
      <c r="H84" s="12"/>
      <c r="I84" s="12"/>
      <c r="J84" s="12"/>
      <c r="K84" s="14"/>
    </row>
    <row r="85" spans="4:11">
      <c r="D85" s="12"/>
      <c r="E85" s="12"/>
      <c r="F85" s="12"/>
      <c r="G85" s="12"/>
      <c r="H85" s="12"/>
      <c r="I85" s="12"/>
      <c r="J85" s="12"/>
      <c r="K85" s="14"/>
    </row>
    <row r="86" spans="4:11">
      <c r="D86" s="12"/>
      <c r="E86" s="12"/>
      <c r="F86" s="12"/>
      <c r="G86" s="12"/>
      <c r="H86" s="12"/>
      <c r="I86" s="12"/>
      <c r="J86" s="12"/>
      <c r="K86" s="14"/>
    </row>
    <row r="87" spans="4:11">
      <c r="D87" s="12"/>
      <c r="E87" s="12"/>
      <c r="F87" s="12"/>
      <c r="G87" s="12"/>
      <c r="H87" s="12"/>
      <c r="I87" s="12"/>
      <c r="J87" s="12"/>
      <c r="K87" s="14"/>
    </row>
    <row r="88" spans="4:11">
      <c r="D88" s="12"/>
      <c r="E88" s="12"/>
      <c r="F88" s="12"/>
      <c r="G88" s="12"/>
      <c r="H88" s="12"/>
      <c r="I88" s="12"/>
      <c r="J88" s="12"/>
      <c r="K88" s="14"/>
    </row>
    <row r="89" spans="4:11">
      <c r="D89" s="12"/>
      <c r="E89" s="12"/>
      <c r="F89" s="12"/>
      <c r="G89" s="12"/>
      <c r="H89" s="12"/>
      <c r="I89" s="12"/>
      <c r="J89" s="12"/>
      <c r="K89" s="14"/>
    </row>
    <row r="90" spans="4:11">
      <c r="D90" s="12"/>
      <c r="E90" s="12"/>
      <c r="F90" s="12"/>
      <c r="G90" s="12"/>
      <c r="H90" s="12"/>
      <c r="I90" s="12"/>
      <c r="J90" s="12"/>
      <c r="K90" s="14"/>
    </row>
    <row r="91" spans="4:11">
      <c r="D91" s="12"/>
      <c r="E91" s="12"/>
      <c r="F91" s="12"/>
      <c r="G91" s="12"/>
      <c r="H91" s="12"/>
      <c r="I91" s="12"/>
      <c r="J91" s="12"/>
      <c r="K91" s="14"/>
    </row>
    <row r="92" spans="4:11">
      <c r="D92" s="12"/>
      <c r="E92" s="12"/>
      <c r="F92" s="12"/>
      <c r="G92" s="12"/>
      <c r="H92" s="12"/>
      <c r="I92" s="12"/>
      <c r="J92" s="12"/>
      <c r="K92" s="14"/>
    </row>
    <row r="93" spans="4:11">
      <c r="D93" s="12"/>
      <c r="E93" s="12"/>
      <c r="F93" s="12"/>
      <c r="G93" s="12"/>
      <c r="H93" s="12"/>
      <c r="I93" s="12"/>
      <c r="J93" s="12"/>
      <c r="K93" s="14"/>
    </row>
    <row r="94" spans="4:11">
      <c r="D94" s="12"/>
      <c r="E94" s="12"/>
      <c r="F94" s="12"/>
      <c r="G94" s="12"/>
      <c r="H94" s="12"/>
      <c r="I94" s="12"/>
      <c r="J94" s="12"/>
      <c r="K94" s="14"/>
    </row>
    <row r="95" spans="4:11">
      <c r="D95" s="12"/>
      <c r="E95" s="12"/>
      <c r="F95" s="12"/>
      <c r="G95" s="12"/>
      <c r="H95" s="12"/>
      <c r="I95" s="12"/>
      <c r="J95" s="12"/>
      <c r="K95" s="14"/>
    </row>
    <row r="96" spans="4:11">
      <c r="D96" s="12"/>
      <c r="E96" s="12"/>
      <c r="F96" s="12"/>
      <c r="G96" s="12"/>
      <c r="H96" s="12"/>
      <c r="I96" s="12"/>
      <c r="J96" s="12"/>
      <c r="K96" s="14"/>
    </row>
    <row r="97" spans="4:11">
      <c r="D97" s="12"/>
      <c r="E97" s="12"/>
      <c r="F97" s="12"/>
      <c r="G97" s="12"/>
      <c r="H97" s="12"/>
      <c r="I97" s="12"/>
      <c r="J97" s="12"/>
      <c r="K97" s="14"/>
    </row>
    <row r="98" spans="4:11">
      <c r="D98" s="12"/>
      <c r="E98" s="12"/>
      <c r="F98" s="12"/>
      <c r="G98" s="12"/>
      <c r="H98" s="12"/>
      <c r="I98" s="12"/>
      <c r="J98" s="12"/>
      <c r="K98" s="14"/>
    </row>
    <row r="99" spans="4:11">
      <c r="D99" s="12"/>
      <c r="E99" s="12"/>
      <c r="F99" s="12"/>
      <c r="G99" s="12"/>
      <c r="H99" s="12"/>
      <c r="I99" s="12"/>
      <c r="J99" s="12"/>
      <c r="K99" s="14"/>
    </row>
    <row r="100" spans="4:11">
      <c r="D100" s="12"/>
      <c r="E100" s="12"/>
      <c r="F100" s="12"/>
      <c r="G100" s="12"/>
      <c r="H100" s="12"/>
      <c r="I100" s="12"/>
      <c r="J100" s="12"/>
      <c r="K100" s="14"/>
    </row>
    <row r="101" spans="4:11">
      <c r="D101" s="12"/>
      <c r="E101" s="12"/>
      <c r="F101" s="12"/>
      <c r="G101" s="12"/>
      <c r="H101" s="12"/>
      <c r="I101" s="12"/>
      <c r="J101" s="12"/>
      <c r="K101" s="14"/>
    </row>
    <row r="102" spans="4:11">
      <c r="D102" s="12"/>
      <c r="E102" s="12"/>
      <c r="F102" s="12"/>
      <c r="G102" s="12"/>
      <c r="H102" s="12"/>
      <c r="I102" s="12"/>
      <c r="J102" s="12"/>
      <c r="K102" s="14"/>
    </row>
    <row r="103" spans="4:11">
      <c r="D103" s="12"/>
      <c r="E103" s="12"/>
      <c r="F103" s="12"/>
      <c r="G103" s="12"/>
      <c r="H103" s="12"/>
      <c r="I103" s="12"/>
      <c r="J103" s="12"/>
      <c r="K103" s="14"/>
    </row>
    <row r="104" spans="4:11">
      <c r="D104" s="12"/>
      <c r="E104" s="12"/>
      <c r="F104" s="12"/>
      <c r="G104" s="12"/>
      <c r="H104" s="12"/>
      <c r="I104" s="12"/>
      <c r="J104" s="12"/>
      <c r="K104" s="14"/>
    </row>
    <row r="105" spans="4:11">
      <c r="D105" s="12"/>
      <c r="E105" s="12"/>
      <c r="F105" s="12"/>
      <c r="G105" s="12"/>
      <c r="H105" s="12"/>
      <c r="I105" s="12"/>
      <c r="J105" s="12"/>
      <c r="K105" s="14"/>
    </row>
    <row r="106" spans="4:11">
      <c r="D106" s="12"/>
      <c r="E106" s="12"/>
      <c r="F106" s="12"/>
      <c r="G106" s="12"/>
      <c r="H106" s="12"/>
      <c r="I106" s="12"/>
      <c r="J106" s="12"/>
      <c r="K106" s="14"/>
    </row>
    <row r="107" spans="4:11">
      <c r="D107" s="12"/>
      <c r="E107" s="12"/>
      <c r="F107" s="12"/>
      <c r="G107" s="12"/>
      <c r="H107" s="12"/>
      <c r="I107" s="12"/>
      <c r="J107" s="12"/>
      <c r="K107" s="14"/>
    </row>
    <row r="108" spans="4:11">
      <c r="D108" s="12"/>
      <c r="E108" s="12"/>
      <c r="F108" s="12"/>
      <c r="G108" s="12"/>
      <c r="H108" s="12"/>
      <c r="I108" s="12"/>
      <c r="J108" s="12"/>
      <c r="K108" s="14"/>
    </row>
    <row r="109" spans="4:11">
      <c r="D109" s="12"/>
      <c r="E109" s="12"/>
      <c r="F109" s="12"/>
      <c r="G109" s="12"/>
      <c r="H109" s="12"/>
      <c r="I109" s="12"/>
      <c r="J109" s="12"/>
      <c r="K109" s="14"/>
    </row>
    <row r="110" spans="4:11">
      <c r="D110" s="12"/>
      <c r="E110" s="12"/>
      <c r="F110" s="12"/>
      <c r="G110" s="12"/>
      <c r="H110" s="12"/>
      <c r="I110" s="12"/>
      <c r="J110" s="12"/>
      <c r="K110" s="14"/>
    </row>
    <row r="111" spans="4:11">
      <c r="D111" s="12"/>
      <c r="E111" s="12"/>
      <c r="F111" s="12"/>
      <c r="G111" s="12"/>
      <c r="H111" s="12"/>
      <c r="I111" s="12"/>
      <c r="J111" s="12"/>
      <c r="K111" s="14"/>
    </row>
    <row r="112" spans="4:11">
      <c r="D112" s="12"/>
      <c r="E112" s="12"/>
      <c r="F112" s="12"/>
      <c r="G112" s="12"/>
      <c r="H112" s="12"/>
      <c r="I112" s="12"/>
      <c r="J112" s="12"/>
      <c r="K112" s="14"/>
    </row>
    <row r="113" spans="4:11">
      <c r="D113" s="12"/>
      <c r="E113" s="12"/>
      <c r="F113" s="12"/>
      <c r="G113" s="12"/>
      <c r="H113" s="12"/>
      <c r="I113" s="12"/>
      <c r="J113" s="12"/>
      <c r="K113" s="14"/>
    </row>
    <row r="114" spans="4:11">
      <c r="D114" s="12"/>
      <c r="E114" s="12"/>
      <c r="F114" s="12"/>
      <c r="G114" s="12"/>
      <c r="H114" s="12"/>
      <c r="I114" s="12"/>
      <c r="J114" s="12"/>
      <c r="K114" s="14"/>
    </row>
    <row r="115" spans="4:11">
      <c r="D115" s="12"/>
      <c r="E115" s="12"/>
      <c r="F115" s="12"/>
      <c r="G115" s="12"/>
      <c r="H115" s="12"/>
      <c r="I115" s="12"/>
      <c r="J115" s="12"/>
      <c r="K115" s="14"/>
    </row>
    <row r="116" spans="4:11">
      <c r="D116" s="12"/>
      <c r="E116" s="12"/>
      <c r="F116" s="12"/>
      <c r="G116" s="12"/>
      <c r="H116" s="12"/>
      <c r="I116" s="12"/>
      <c r="J116" s="12"/>
      <c r="K116" s="14"/>
    </row>
    <row r="117" spans="4:11">
      <c r="D117" s="12"/>
      <c r="E117" s="12"/>
      <c r="F117" s="12"/>
      <c r="G117" s="12"/>
      <c r="H117" s="12"/>
      <c r="I117" s="12"/>
      <c r="J117" s="12"/>
      <c r="K117" s="14"/>
    </row>
    <row r="118" spans="4:11">
      <c r="D118" s="12"/>
      <c r="E118" s="12"/>
      <c r="F118" s="12"/>
      <c r="G118" s="12"/>
      <c r="H118" s="12"/>
      <c r="I118" s="12"/>
      <c r="J118" s="12"/>
      <c r="K118" s="14"/>
    </row>
    <row r="119" spans="4:11">
      <c r="D119" s="12"/>
      <c r="E119" s="12"/>
      <c r="F119" s="12"/>
      <c r="G119" s="12"/>
      <c r="H119" s="12"/>
      <c r="I119" s="12"/>
      <c r="J119" s="12"/>
      <c r="K119" s="14"/>
    </row>
    <row r="120" spans="4:11">
      <c r="D120" s="12"/>
      <c r="E120" s="12"/>
      <c r="F120" s="12"/>
      <c r="G120" s="12"/>
      <c r="H120" s="12"/>
      <c r="I120" s="12"/>
      <c r="J120" s="12"/>
      <c r="K120" s="14"/>
    </row>
    <row r="121" spans="4:11">
      <c r="D121" s="12"/>
      <c r="E121" s="12"/>
      <c r="F121" s="12"/>
      <c r="G121" s="12"/>
      <c r="H121" s="12"/>
      <c r="I121" s="12"/>
      <c r="J121" s="12"/>
      <c r="K121" s="14"/>
    </row>
    <row r="122" spans="4:11">
      <c r="K122" s="14"/>
    </row>
    <row r="123" spans="4:11">
      <c r="K123" s="14"/>
    </row>
    <row r="124" spans="4:11">
      <c r="K124" s="14"/>
    </row>
    <row r="125" spans="4:11">
      <c r="K125" s="14"/>
    </row>
    <row r="126" spans="4:11">
      <c r="K126" s="14"/>
    </row>
    <row r="127" spans="4:11">
      <c r="K127" s="14"/>
    </row>
    <row r="128" spans="4:11">
      <c r="K128" s="14"/>
    </row>
    <row r="129" spans="11:11">
      <c r="K129" s="14"/>
    </row>
    <row r="130" spans="11:11">
      <c r="K130" s="14"/>
    </row>
    <row r="131" spans="11:11">
      <c r="K131" s="14"/>
    </row>
    <row r="132" spans="11:11">
      <c r="K132" s="14"/>
    </row>
    <row r="133" spans="11:11">
      <c r="K133" s="14"/>
    </row>
    <row r="134" spans="11:11">
      <c r="K134" s="14"/>
    </row>
    <row r="135" spans="11:11">
      <c r="K135" s="14"/>
    </row>
    <row r="136" spans="11:11">
      <c r="K136" s="14"/>
    </row>
    <row r="137" spans="11:11">
      <c r="K137" s="14"/>
    </row>
    <row r="138" spans="11:11">
      <c r="K138" s="14"/>
    </row>
    <row r="139" spans="11:11">
      <c r="K139" s="14"/>
    </row>
    <row r="140" spans="11:11">
      <c r="K140" s="14"/>
    </row>
    <row r="141" spans="11:11">
      <c r="K141" s="14"/>
    </row>
    <row r="142" spans="11:11">
      <c r="K142" s="14"/>
    </row>
    <row r="143" spans="11:11">
      <c r="K143" s="14"/>
    </row>
    <row r="144" spans="11:11">
      <c r="K144" s="14"/>
    </row>
    <row r="145" spans="11:11">
      <c r="K145" s="14"/>
    </row>
    <row r="146" spans="11:11">
      <c r="K146" s="14"/>
    </row>
    <row r="147" spans="11:11">
      <c r="K147" s="14"/>
    </row>
    <row r="148" spans="11:11">
      <c r="K148" s="14"/>
    </row>
    <row r="149" spans="11:11">
      <c r="K149" s="14"/>
    </row>
    <row r="150" spans="11:11">
      <c r="K150" s="14"/>
    </row>
    <row r="151" spans="11:11">
      <c r="K151" s="14"/>
    </row>
    <row r="152" spans="11:11">
      <c r="K152" s="14"/>
    </row>
    <row r="153" spans="11:11">
      <c r="K153" s="14"/>
    </row>
    <row r="154" spans="11:11">
      <c r="K154" s="14"/>
    </row>
    <row r="155" spans="11:11">
      <c r="K155" s="14"/>
    </row>
    <row r="156" spans="11:11">
      <c r="K156" s="14"/>
    </row>
    <row r="157" spans="11:11">
      <c r="K157" s="14"/>
    </row>
    <row r="158" spans="11:11">
      <c r="K158" s="14"/>
    </row>
    <row r="159" spans="11:11">
      <c r="K159" s="14"/>
    </row>
    <row r="160" spans="11:11">
      <c r="K160" s="14"/>
    </row>
    <row r="161" spans="11:11">
      <c r="K161" s="14"/>
    </row>
    <row r="162" spans="11:11">
      <c r="K162" s="14"/>
    </row>
    <row r="163" spans="11:11">
      <c r="K163" s="14"/>
    </row>
    <row r="164" spans="11:11">
      <c r="K164" s="14"/>
    </row>
    <row r="165" spans="11:11">
      <c r="K165" s="14"/>
    </row>
    <row r="166" spans="11:11">
      <c r="K166" s="14"/>
    </row>
    <row r="167" spans="11:11">
      <c r="K167" s="14"/>
    </row>
    <row r="168" spans="11:11">
      <c r="K168" s="14"/>
    </row>
    <row r="169" spans="11:11">
      <c r="K169" s="14"/>
    </row>
    <row r="170" spans="11:11">
      <c r="K170" s="14"/>
    </row>
    <row r="171" spans="11:11">
      <c r="K171" s="14"/>
    </row>
    <row r="172" spans="11:11">
      <c r="K172" s="14"/>
    </row>
    <row r="173" spans="11:11">
      <c r="K173" s="14"/>
    </row>
    <row r="174" spans="11:11">
      <c r="K174" s="14"/>
    </row>
    <row r="175" spans="11:11">
      <c r="K175" s="14"/>
    </row>
    <row r="176" spans="11:11">
      <c r="K176" s="14"/>
    </row>
    <row r="177" spans="11:11">
      <c r="K177" s="14"/>
    </row>
    <row r="178" spans="11:11">
      <c r="K178" s="14"/>
    </row>
    <row r="179" spans="11:11">
      <c r="K179" s="14"/>
    </row>
    <row r="180" spans="11:11">
      <c r="K180" s="14"/>
    </row>
    <row r="181" spans="11:11">
      <c r="K181" s="14"/>
    </row>
  </sheetData>
  <mergeCells count="9">
    <mergeCell ref="A53:B53"/>
    <mergeCell ref="A2:K2"/>
    <mergeCell ref="A3:K3"/>
    <mergeCell ref="A7:A8"/>
    <mergeCell ref="A4:K4"/>
    <mergeCell ref="A5:K5"/>
    <mergeCell ref="K7:K8"/>
    <mergeCell ref="I7:J8"/>
    <mergeCell ref="B7:H7"/>
  </mergeCells>
  <phoneticPr fontId="2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  <ignoredErrors>
    <ignoredError sqref="D9 F36 D36 F13 G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B050"/>
  </sheetPr>
  <dimension ref="A1:U201"/>
  <sheetViews>
    <sheetView showGridLines="0" showZeros="0" topLeftCell="A2" zoomScale="124" zoomScaleNormal="124" workbookViewId="0">
      <selection activeCell="G182" sqref="G182"/>
    </sheetView>
  </sheetViews>
  <sheetFormatPr baseColWidth="10" defaultColWidth="11.42578125" defaultRowHeight="12.75"/>
  <cols>
    <col min="1" max="1" width="4.85546875" style="11" customWidth="1"/>
    <col min="2" max="2" width="33.42578125" style="11" customWidth="1"/>
    <col min="3" max="3" width="12.28515625" style="11" customWidth="1"/>
    <col min="4" max="4" width="13.42578125" style="11" customWidth="1"/>
    <col min="5" max="5" width="13" style="11" customWidth="1"/>
    <col min="6" max="7" width="13.42578125" style="11" customWidth="1"/>
    <col min="8" max="8" width="12.85546875" style="11" customWidth="1"/>
    <col min="9" max="9" width="11.85546875" style="11" customWidth="1"/>
    <col min="10" max="10" width="11.140625" style="11" customWidth="1"/>
    <col min="11" max="11" width="6.85546875" style="11" hidden="1" customWidth="1"/>
    <col min="12" max="12" width="13.28515625" style="11" customWidth="1"/>
    <col min="13" max="13" width="5.140625" customWidth="1"/>
    <col min="14" max="14" width="13.5703125" customWidth="1"/>
    <col min="15" max="15" width="12.5703125" customWidth="1"/>
    <col min="16" max="16" width="13.140625" customWidth="1"/>
  </cols>
  <sheetData>
    <row r="1" spans="1:17" hidden="1"/>
    <row r="2" spans="1:17" ht="15.75">
      <c r="A2" s="576" t="s">
        <v>375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</row>
    <row r="3" spans="1:17" ht="15.75">
      <c r="A3" s="576" t="s">
        <v>376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</row>
    <row r="4" spans="1:17" ht="15">
      <c r="A4" s="577" t="s">
        <v>378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P4" t="s">
        <v>6</v>
      </c>
    </row>
    <row r="5" spans="1:17" ht="15">
      <c r="A5" s="577" t="s">
        <v>539</v>
      </c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</row>
    <row r="6" spans="1:17" ht="6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7" ht="0.75" customHeight="1" thickBo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7" ht="12.75" customHeight="1">
      <c r="A8" s="635" t="s">
        <v>366</v>
      </c>
      <c r="B8" s="632" t="s">
        <v>0</v>
      </c>
      <c r="C8" s="623" t="s">
        <v>33</v>
      </c>
      <c r="D8" s="623"/>
      <c r="E8" s="623"/>
      <c r="F8" s="625" t="s">
        <v>83</v>
      </c>
      <c r="G8" s="625"/>
      <c r="H8" s="638" t="s">
        <v>469</v>
      </c>
      <c r="I8" s="625" t="s">
        <v>72</v>
      </c>
      <c r="J8" s="641" t="s">
        <v>297</v>
      </c>
      <c r="K8" s="642"/>
      <c r="L8" s="629" t="s">
        <v>368</v>
      </c>
      <c r="N8" s="622" t="s">
        <v>537</v>
      </c>
    </row>
    <row r="9" spans="1:17" ht="4.5" customHeight="1" thickBot="1">
      <c r="A9" s="636"/>
      <c r="B9" s="633"/>
      <c r="C9" s="624"/>
      <c r="D9" s="624"/>
      <c r="E9" s="624"/>
      <c r="F9" s="626"/>
      <c r="G9" s="626"/>
      <c r="H9" s="639"/>
      <c r="I9" s="627"/>
      <c r="J9" s="643"/>
      <c r="K9" s="644"/>
      <c r="L9" s="630"/>
      <c r="N9" s="622"/>
    </row>
    <row r="10" spans="1:17" ht="23.25" customHeight="1">
      <c r="A10" s="637"/>
      <c r="B10" s="634"/>
      <c r="C10" s="138" t="s">
        <v>84</v>
      </c>
      <c r="D10" s="138" t="s">
        <v>12</v>
      </c>
      <c r="E10" s="138" t="s">
        <v>2</v>
      </c>
      <c r="F10" s="139" t="s">
        <v>38</v>
      </c>
      <c r="G10" s="139" t="s">
        <v>43</v>
      </c>
      <c r="H10" s="640"/>
      <c r="I10" s="628"/>
      <c r="J10" s="645"/>
      <c r="K10" s="646"/>
      <c r="L10" s="631"/>
      <c r="N10" s="622"/>
    </row>
    <row r="11" spans="1:17" ht="19.5" customHeight="1">
      <c r="A11" s="88" t="s">
        <v>85</v>
      </c>
      <c r="B11" s="89" t="s">
        <v>86</v>
      </c>
      <c r="C11" s="90">
        <f>SUM(C12+C16+C20+C21+C22+C27+C29)</f>
        <v>125299729</v>
      </c>
      <c r="D11" s="90">
        <f>+D12+D16+D20+D21+D22+D29</f>
        <v>123578084</v>
      </c>
      <c r="E11" s="90">
        <f>SUM(E12+E16+E20+E21+E22+E27+E29)</f>
        <v>81936460</v>
      </c>
      <c r="F11" s="90">
        <f>+F12+F16+F20+F22+F29+F21</f>
        <v>10919493.310000001</v>
      </c>
      <c r="G11" s="90">
        <f>+G12+G16+G20+G21+G22+G29</f>
        <v>70922087.390000001</v>
      </c>
      <c r="H11" s="536">
        <f>+H12+H16+H20+H22+H29+H21</f>
        <v>61674178.609999999</v>
      </c>
      <c r="I11" s="90">
        <f>SUM(I12+I16+I20+I21+I22+I27+I29)</f>
        <v>67418344.079999998</v>
      </c>
      <c r="J11" s="90">
        <f>+E11-G11</f>
        <v>11014372.609999999</v>
      </c>
      <c r="K11" s="90">
        <f t="shared" ref="K11:K26" si="0">+D11-G11</f>
        <v>52655996.609999999</v>
      </c>
      <c r="L11" s="121">
        <f t="shared" ref="L11:L19" si="1">+G11*100/E11</f>
        <v>86.557421921816001</v>
      </c>
      <c r="M11" s="29" t="s">
        <v>6</v>
      </c>
      <c r="N11" s="29">
        <v>60002594.079999991</v>
      </c>
      <c r="O11" t="s">
        <v>6</v>
      </c>
      <c r="P11" s="1">
        <v>0</v>
      </c>
      <c r="Q11" s="1" t="s">
        <v>6</v>
      </c>
    </row>
    <row r="12" spans="1:17" ht="17.25" customHeight="1">
      <c r="A12" s="55" t="s">
        <v>87</v>
      </c>
      <c r="B12" s="56" t="s">
        <v>88</v>
      </c>
      <c r="C12" s="57">
        <f>SUM(C13:C15)</f>
        <v>83395405</v>
      </c>
      <c r="D12" s="57">
        <f>+D13+D14+D15</f>
        <v>82072320</v>
      </c>
      <c r="E12" s="57">
        <f>SUM(E13:E15)</f>
        <v>54604337</v>
      </c>
      <c r="F12" s="57">
        <f>SUM(F13:F15)</f>
        <v>5935742.6399999997</v>
      </c>
      <c r="G12" s="57">
        <f>+G13+G14+G15</f>
        <v>47466005.499999993</v>
      </c>
      <c r="H12" s="57">
        <f>SUM(H13:H15)</f>
        <v>47466005.5</v>
      </c>
      <c r="I12" s="57">
        <f>SUM(I13:I15)</f>
        <v>47466005.5</v>
      </c>
      <c r="J12" s="57">
        <f t="shared" ref="J12:J33" si="2">+E12-G12</f>
        <v>7138331.5000000075</v>
      </c>
      <c r="K12" s="57">
        <f t="shared" si="0"/>
        <v>34606314.500000007</v>
      </c>
      <c r="L12" s="122">
        <f t="shared" si="1"/>
        <v>86.927171187885662</v>
      </c>
      <c r="N12" s="29">
        <v>41530262.859999992</v>
      </c>
      <c r="Q12" t="s">
        <v>6</v>
      </c>
    </row>
    <row r="13" spans="1:17">
      <c r="A13" s="52" t="s">
        <v>89</v>
      </c>
      <c r="B13" s="53" t="s">
        <v>88</v>
      </c>
      <c r="C13" s="54">
        <v>71073045</v>
      </c>
      <c r="D13" s="54">
        <f>69741045-19000-299000-299000+299000</f>
        <v>69423045</v>
      </c>
      <c r="E13" s="54">
        <v>45587101</v>
      </c>
      <c r="F13" s="54">
        <v>5227292.55</v>
      </c>
      <c r="G13" s="54">
        <f t="shared" ref="G13:G15" si="3">+N13+F13</f>
        <v>40709770.919999994</v>
      </c>
      <c r="H13" s="54">
        <v>40709770.920000002</v>
      </c>
      <c r="I13" s="54">
        <v>40709770.920000002</v>
      </c>
      <c r="J13" s="54">
        <f t="shared" si="2"/>
        <v>4877330.0800000057</v>
      </c>
      <c r="K13" s="54">
        <f t="shared" si="0"/>
        <v>28713274.080000006</v>
      </c>
      <c r="L13" s="123">
        <f t="shared" si="1"/>
        <v>89.301074266600097</v>
      </c>
      <c r="N13" s="29">
        <v>35482478.369999997</v>
      </c>
      <c r="O13" t="s">
        <v>6</v>
      </c>
    </row>
    <row r="14" spans="1:17">
      <c r="A14" s="52" t="s">
        <v>90</v>
      </c>
      <c r="B14" s="53" t="s">
        <v>91</v>
      </c>
      <c r="C14" s="54">
        <v>3944236</v>
      </c>
      <c r="D14" s="54">
        <v>3844236</v>
      </c>
      <c r="E14" s="54">
        <v>2508208</v>
      </c>
      <c r="F14" s="54">
        <v>273553.38</v>
      </c>
      <c r="G14" s="54">
        <f t="shared" si="3"/>
        <v>1976568.6099999999</v>
      </c>
      <c r="H14" s="58">
        <v>1976568.61</v>
      </c>
      <c r="I14" s="54">
        <v>1976568.61</v>
      </c>
      <c r="J14" s="54">
        <f t="shared" si="2"/>
        <v>531639.39000000013</v>
      </c>
      <c r="K14" s="54">
        <f t="shared" si="0"/>
        <v>1867667.3900000001</v>
      </c>
      <c r="L14" s="123">
        <f t="shared" si="1"/>
        <v>78.804015057762356</v>
      </c>
      <c r="N14" s="29">
        <v>1703015.23</v>
      </c>
    </row>
    <row r="15" spans="1:17">
      <c r="A15" s="52" t="s">
        <v>92</v>
      </c>
      <c r="B15" s="53" t="s">
        <v>93</v>
      </c>
      <c r="C15" s="54">
        <v>8378124</v>
      </c>
      <c r="D15" s="54">
        <v>8805039</v>
      </c>
      <c r="E15" s="54">
        <v>6509028</v>
      </c>
      <c r="F15" s="54">
        <v>434896.71</v>
      </c>
      <c r="G15" s="54">
        <f t="shared" si="3"/>
        <v>4779665.97</v>
      </c>
      <c r="H15" s="54">
        <v>4779665.97</v>
      </c>
      <c r="I15" s="54">
        <v>4779665.97</v>
      </c>
      <c r="J15" s="54">
        <f t="shared" si="2"/>
        <v>1729362.0300000003</v>
      </c>
      <c r="K15" s="54">
        <f t="shared" si="0"/>
        <v>4025373.0300000003</v>
      </c>
      <c r="L15" s="123">
        <f t="shared" si="1"/>
        <v>73.431332143601168</v>
      </c>
      <c r="N15" s="29">
        <v>4344769.26</v>
      </c>
    </row>
    <row r="16" spans="1:17" ht="15" customHeight="1">
      <c r="A16" s="440" t="s">
        <v>94</v>
      </c>
      <c r="B16" s="56" t="s">
        <v>95</v>
      </c>
      <c r="C16" s="57">
        <f t="shared" ref="C16:I16" si="4">SUM(C17:C19)</f>
        <v>17439165</v>
      </c>
      <c r="D16" s="57">
        <f t="shared" si="4"/>
        <v>17045165</v>
      </c>
      <c r="E16" s="57">
        <f t="shared" si="4"/>
        <v>10783048</v>
      </c>
      <c r="F16" s="57">
        <v>1371158.56</v>
      </c>
      <c r="G16" s="57">
        <f t="shared" si="4"/>
        <v>9688219.3800000008</v>
      </c>
      <c r="H16" s="57">
        <f t="shared" ref="H16" si="5">SUM(H17:H19)</f>
        <v>9688219.3800000008</v>
      </c>
      <c r="I16" s="57">
        <f t="shared" si="4"/>
        <v>9688219.3800000008</v>
      </c>
      <c r="J16" s="57">
        <f t="shared" si="2"/>
        <v>1094828.6199999992</v>
      </c>
      <c r="K16" s="57">
        <f t="shared" si="0"/>
        <v>7356945.6199999992</v>
      </c>
      <c r="L16" s="122">
        <f t="shared" si="1"/>
        <v>89.846761138409107</v>
      </c>
      <c r="N16" s="29">
        <v>8317060.8200000003</v>
      </c>
    </row>
    <row r="17" spans="1:14" ht="13.9" customHeight="1">
      <c r="A17" s="52" t="s">
        <v>96</v>
      </c>
      <c r="B17" s="53" t="s">
        <v>97</v>
      </c>
      <c r="C17" s="54">
        <v>223154</v>
      </c>
      <c r="D17" s="54">
        <v>223154</v>
      </c>
      <c r="E17" s="54">
        <v>120226</v>
      </c>
      <c r="F17" s="54">
        <v>20315.080000000002</v>
      </c>
      <c r="G17" s="54">
        <f>+F17+N17</f>
        <v>98321.02</v>
      </c>
      <c r="H17" s="54">
        <v>98321.02</v>
      </c>
      <c r="I17" s="54">
        <v>98321.02</v>
      </c>
      <c r="J17" s="54">
        <f t="shared" si="2"/>
        <v>21904.979999999996</v>
      </c>
      <c r="K17" s="54">
        <f t="shared" si="0"/>
        <v>124832.98</v>
      </c>
      <c r="L17" s="123">
        <f t="shared" si="1"/>
        <v>81.780164024420671</v>
      </c>
      <c r="N17" s="29">
        <v>78005.94</v>
      </c>
    </row>
    <row r="18" spans="1:14" ht="13.9" customHeight="1">
      <c r="A18" s="118" t="s">
        <v>409</v>
      </c>
      <c r="B18" s="53" t="s">
        <v>98</v>
      </c>
      <c r="C18" s="54">
        <v>1488300</v>
      </c>
      <c r="D18" s="54">
        <v>1443300</v>
      </c>
      <c r="E18" s="54">
        <v>947200</v>
      </c>
      <c r="F18" s="58">
        <v>97190.09</v>
      </c>
      <c r="G18" s="54">
        <f>+F18+N18</f>
        <v>764812.70000000007</v>
      </c>
      <c r="H18" s="54">
        <v>764812.7</v>
      </c>
      <c r="I18" s="54">
        <v>764812.7</v>
      </c>
      <c r="J18" s="54">
        <f t="shared" si="2"/>
        <v>182387.29999999993</v>
      </c>
      <c r="K18" s="54">
        <f t="shared" si="0"/>
        <v>678487.29999999993</v>
      </c>
      <c r="L18" s="123">
        <f t="shared" si="1"/>
        <v>80.744584037162156</v>
      </c>
      <c r="N18" s="29">
        <v>667622.6100000001</v>
      </c>
    </row>
    <row r="19" spans="1:14" ht="15.6" customHeight="1">
      <c r="A19" s="52" t="s">
        <v>99</v>
      </c>
      <c r="B19" s="53" t="s">
        <v>100</v>
      </c>
      <c r="C19" s="54">
        <v>15727711</v>
      </c>
      <c r="D19" s="54">
        <f>15577711-199000</f>
        <v>15378711</v>
      </c>
      <c r="E19" s="54">
        <v>9715622</v>
      </c>
      <c r="F19" s="58">
        <v>1253653.3899999999</v>
      </c>
      <c r="G19" s="54">
        <f>+F19+N19</f>
        <v>8825085.6600000001</v>
      </c>
      <c r="H19" s="54">
        <v>8825085.6600000001</v>
      </c>
      <c r="I19" s="54">
        <v>8825085.6600000001</v>
      </c>
      <c r="J19" s="54">
        <f t="shared" si="2"/>
        <v>890536.33999999985</v>
      </c>
      <c r="K19" s="54">
        <f t="shared" si="0"/>
        <v>6553625.3399999999</v>
      </c>
      <c r="L19" s="123">
        <f t="shared" si="1"/>
        <v>90.833975014672248</v>
      </c>
      <c r="N19" s="29">
        <v>7571432.2700000005</v>
      </c>
    </row>
    <row r="20" spans="1:14">
      <c r="A20" s="440" t="s">
        <v>101</v>
      </c>
      <c r="B20" s="56" t="s">
        <v>102</v>
      </c>
      <c r="C20" s="57">
        <v>228000</v>
      </c>
      <c r="D20" s="57">
        <f>228000+19000</f>
        <v>247000</v>
      </c>
      <c r="E20" s="57">
        <v>171000</v>
      </c>
      <c r="F20" s="57">
        <v>21700</v>
      </c>
      <c r="G20" s="57">
        <f>+F20+N20</f>
        <v>150316.66999999998</v>
      </c>
      <c r="H20" s="57">
        <v>153266.67000000001</v>
      </c>
      <c r="I20" s="57">
        <v>150316.67000000001</v>
      </c>
      <c r="J20" s="57">
        <f>+E20-G20</f>
        <v>20683.330000000016</v>
      </c>
      <c r="K20" s="57">
        <f t="shared" si="0"/>
        <v>96683.330000000016</v>
      </c>
      <c r="L20" s="122">
        <f>+G20*100/E20</f>
        <v>87.904485380116952</v>
      </c>
      <c r="N20" s="29">
        <v>128616.67</v>
      </c>
    </row>
    <row r="21" spans="1:14">
      <c r="A21" s="440" t="s">
        <v>103</v>
      </c>
      <c r="B21" s="56" t="s">
        <v>104</v>
      </c>
      <c r="C21" s="57">
        <v>8407425</v>
      </c>
      <c r="D21" s="57">
        <f>8120865-100000</f>
        <v>8020865</v>
      </c>
      <c r="E21" s="57">
        <v>5218406</v>
      </c>
      <c r="F21" s="57">
        <v>2156201.0099999998</v>
      </c>
      <c r="G21" s="57">
        <f>+F21+N21</f>
        <v>4191342.51</v>
      </c>
      <c r="H21" s="57">
        <v>4191394.59</v>
      </c>
      <c r="I21" s="57">
        <v>4191342.51</v>
      </c>
      <c r="J21" s="57">
        <f t="shared" si="2"/>
        <v>1027063.4900000002</v>
      </c>
      <c r="K21" s="57">
        <f t="shared" si="0"/>
        <v>3829522.49</v>
      </c>
      <c r="L21" s="122">
        <f t="shared" ref="L21" si="6">+G21*100/E21</f>
        <v>80.318444176248462</v>
      </c>
      <c r="N21" s="29">
        <v>2035141.5</v>
      </c>
    </row>
    <row r="22" spans="1:14" ht="14.25" customHeight="1">
      <c r="A22" s="55" t="s">
        <v>105</v>
      </c>
      <c r="B22" s="56" t="s">
        <v>106</v>
      </c>
      <c r="C22" s="57">
        <f t="shared" ref="C22:I22" si="7">SUM(C23:C26)</f>
        <v>15829734</v>
      </c>
      <c r="D22" s="57">
        <f t="shared" si="7"/>
        <v>15779734</v>
      </c>
      <c r="E22" s="57">
        <f t="shared" si="7"/>
        <v>10746669</v>
      </c>
      <c r="F22" s="57">
        <v>1379932.37</v>
      </c>
      <c r="G22" s="57">
        <f t="shared" si="7"/>
        <v>9222485.7400000002</v>
      </c>
      <c r="H22" s="57"/>
      <c r="I22" s="57">
        <f t="shared" si="7"/>
        <v>5736108.9400000004</v>
      </c>
      <c r="J22" s="57">
        <f t="shared" si="2"/>
        <v>1524183.2599999998</v>
      </c>
      <c r="K22" s="57">
        <f t="shared" si="0"/>
        <v>6557248.2599999998</v>
      </c>
      <c r="L22" s="122">
        <f>+G22*100/E22</f>
        <v>85.817156367242731</v>
      </c>
      <c r="M22" s="5"/>
      <c r="N22" s="29">
        <v>7842553.3700000001</v>
      </c>
    </row>
    <row r="23" spans="1:14" ht="15" customHeight="1">
      <c r="A23" s="52" t="s">
        <v>107</v>
      </c>
      <c r="B23" s="54" t="s">
        <v>108</v>
      </c>
      <c r="C23" s="54">
        <v>13304646</v>
      </c>
      <c r="D23" s="54">
        <v>13254646</v>
      </c>
      <c r="E23" s="54">
        <v>9044158</v>
      </c>
      <c r="F23" s="54">
        <v>1204698.43</v>
      </c>
      <c r="G23" s="54">
        <f>+N23+F23</f>
        <v>7851307.0899999999</v>
      </c>
      <c r="H23" s="54">
        <v>0</v>
      </c>
      <c r="I23" s="54">
        <v>4851013.1100000003</v>
      </c>
      <c r="J23" s="54">
        <f t="shared" si="2"/>
        <v>1192850.9100000001</v>
      </c>
      <c r="K23" s="54">
        <f t="shared" si="0"/>
        <v>5403338.9100000001</v>
      </c>
      <c r="L23" s="123">
        <f>+G23*100/E23</f>
        <v>86.810813013218038</v>
      </c>
      <c r="N23" s="29">
        <v>6646608.6600000001</v>
      </c>
    </row>
    <row r="24" spans="1:14" ht="13.5" customHeight="1">
      <c r="A24" s="52" t="s">
        <v>109</v>
      </c>
      <c r="B24" s="53" t="s">
        <v>110</v>
      </c>
      <c r="C24" s="54">
        <v>1515055</v>
      </c>
      <c r="D24" s="54">
        <v>1515055</v>
      </c>
      <c r="E24" s="54">
        <v>1021962</v>
      </c>
      <c r="F24" s="54">
        <v>109653.84</v>
      </c>
      <c r="G24" s="54">
        <f t="shared" ref="G24:G33" si="8">+N24+F24</f>
        <v>857600.14</v>
      </c>
      <c r="H24" s="54">
        <v>0</v>
      </c>
      <c r="I24" s="54">
        <v>537242.99</v>
      </c>
      <c r="J24" s="54">
        <f t="shared" si="2"/>
        <v>164361.85999999999</v>
      </c>
      <c r="K24" s="54">
        <f t="shared" si="0"/>
        <v>657454.86</v>
      </c>
      <c r="L24" s="123">
        <f>+G24*100/E24</f>
        <v>83.917028226098424</v>
      </c>
      <c r="N24" s="29">
        <v>747946.3</v>
      </c>
    </row>
    <row r="25" spans="1:14" ht="13.5" customHeight="1">
      <c r="A25" s="52" t="s">
        <v>111</v>
      </c>
      <c r="B25" s="53" t="s">
        <v>112</v>
      </c>
      <c r="C25" s="54">
        <v>707023</v>
      </c>
      <c r="D25" s="54">
        <v>707023</v>
      </c>
      <c r="E25" s="54">
        <v>476485</v>
      </c>
      <c r="F25" s="54">
        <v>51328.87</v>
      </c>
      <c r="G25" s="54">
        <f t="shared" si="8"/>
        <v>401314.16</v>
      </c>
      <c r="H25" s="54">
        <v>0</v>
      </c>
      <c r="I25" s="54">
        <v>249827.06</v>
      </c>
      <c r="J25" s="54">
        <v>42469.75</v>
      </c>
      <c r="K25" s="54">
        <f t="shared" si="0"/>
        <v>305708.84000000003</v>
      </c>
      <c r="L25" s="123">
        <f>+G25*100/E25</f>
        <v>84.223881129521388</v>
      </c>
      <c r="N25" s="29">
        <v>349985.29</v>
      </c>
    </row>
    <row r="26" spans="1:14" ht="13.5" customHeight="1">
      <c r="A26" s="52" t="s">
        <v>113</v>
      </c>
      <c r="B26" s="53" t="s">
        <v>114</v>
      </c>
      <c r="C26" s="54">
        <v>303010</v>
      </c>
      <c r="D26" s="54">
        <v>303010</v>
      </c>
      <c r="E26" s="54">
        <v>204064</v>
      </c>
      <c r="F26" s="54">
        <v>14251.23</v>
      </c>
      <c r="G26" s="54">
        <f t="shared" si="8"/>
        <v>112264.35</v>
      </c>
      <c r="H26" s="54">
        <v>0</v>
      </c>
      <c r="I26" s="54">
        <v>98025.78</v>
      </c>
      <c r="J26" s="54">
        <f t="shared" si="2"/>
        <v>91799.65</v>
      </c>
      <c r="K26" s="54">
        <f t="shared" si="0"/>
        <v>190745.65</v>
      </c>
      <c r="L26" s="123">
        <f>+G26*100/E26</f>
        <v>55.014284734201034</v>
      </c>
      <c r="N26" s="29">
        <v>98013.12000000001</v>
      </c>
    </row>
    <row r="27" spans="1:14" ht="1.5" hidden="1" customHeight="1">
      <c r="A27" s="55" t="s">
        <v>115</v>
      </c>
      <c r="B27" s="56" t="s">
        <v>116</v>
      </c>
      <c r="C27" s="57">
        <f>SUM(C28:C28)</f>
        <v>0</v>
      </c>
      <c r="D27" s="57" t="e">
        <f>SUM(D28:D28)</f>
        <v>#REF!</v>
      </c>
      <c r="E27" s="57">
        <v>0</v>
      </c>
      <c r="F27" s="57">
        <v>0</v>
      </c>
      <c r="G27" s="57">
        <f t="shared" si="8"/>
        <v>0</v>
      </c>
      <c r="H27" s="57"/>
      <c r="I27" s="57">
        <f>SUM(I28)</f>
        <v>0</v>
      </c>
      <c r="J27" s="57">
        <f t="shared" si="2"/>
        <v>0</v>
      </c>
      <c r="K27" s="57" t="e">
        <f>SUM(K28:K28)</f>
        <v>#REF!</v>
      </c>
      <c r="L27" s="123"/>
      <c r="N27" s="29">
        <v>0</v>
      </c>
    </row>
    <row r="28" spans="1:14" ht="9.75" hidden="1" customHeight="1">
      <c r="A28" s="52" t="s">
        <v>354</v>
      </c>
      <c r="B28" s="53" t="s">
        <v>355</v>
      </c>
      <c r="C28" s="54">
        <v>0</v>
      </c>
      <c r="D28" s="54" t="e">
        <f>+C28+#REF!</f>
        <v>#REF!</v>
      </c>
      <c r="E28" s="54">
        <v>0</v>
      </c>
      <c r="F28" s="54">
        <v>0</v>
      </c>
      <c r="G28" s="54">
        <f t="shared" si="8"/>
        <v>0</v>
      </c>
      <c r="H28" s="54"/>
      <c r="I28" s="54">
        <v>0</v>
      </c>
      <c r="J28" s="54">
        <f t="shared" si="2"/>
        <v>0</v>
      </c>
      <c r="K28" s="54" t="e">
        <f t="shared" ref="K28:K33" si="9">+D28-G28</f>
        <v>#REF!</v>
      </c>
      <c r="L28" s="123"/>
      <c r="N28" s="29">
        <v>0</v>
      </c>
    </row>
    <row r="29" spans="1:14" ht="13.5" customHeight="1">
      <c r="A29" s="55" t="s">
        <v>117</v>
      </c>
      <c r="B29" s="56" t="s">
        <v>118</v>
      </c>
      <c r="C29" s="54">
        <v>0</v>
      </c>
      <c r="D29" s="57">
        <f>SUM(D30:D35)</f>
        <v>413000</v>
      </c>
      <c r="E29" s="57">
        <f>SUM(E30:E35)</f>
        <v>413000</v>
      </c>
      <c r="F29" s="57">
        <v>54758.73</v>
      </c>
      <c r="G29" s="57">
        <f t="shared" si="8"/>
        <v>203717.59000000003</v>
      </c>
      <c r="H29" s="57">
        <f>+H30+H31+H32</f>
        <v>175292.47</v>
      </c>
      <c r="I29" s="57">
        <f>SUM(I30:I35)</f>
        <v>186351.08000000002</v>
      </c>
      <c r="J29" s="57">
        <f t="shared" si="2"/>
        <v>209282.40999999997</v>
      </c>
      <c r="K29" s="57">
        <f t="shared" si="9"/>
        <v>209282.40999999997</v>
      </c>
      <c r="L29" s="122">
        <f t="shared" ref="L29" si="10">+G29*100/E29</f>
        <v>49.326292978208244</v>
      </c>
      <c r="N29" s="29">
        <v>148958.86000000002</v>
      </c>
    </row>
    <row r="30" spans="1:14" ht="14.1" customHeight="1">
      <c r="A30" s="52" t="s">
        <v>119</v>
      </c>
      <c r="B30" s="53" t="s">
        <v>120</v>
      </c>
      <c r="C30" s="54">
        <v>0</v>
      </c>
      <c r="D30" s="54">
        <v>266000</v>
      </c>
      <c r="E30" s="54">
        <v>266000</v>
      </c>
      <c r="F30" s="54">
        <v>47364.24</v>
      </c>
      <c r="G30" s="54">
        <f t="shared" si="8"/>
        <v>161457.51999999999</v>
      </c>
      <c r="H30" s="54">
        <v>161457.51999999999</v>
      </c>
      <c r="I30" s="54">
        <v>161457.51999999999</v>
      </c>
      <c r="J30" s="54">
        <f t="shared" si="2"/>
        <v>104542.48000000001</v>
      </c>
      <c r="K30" s="54">
        <f t="shared" si="9"/>
        <v>104542.48000000001</v>
      </c>
      <c r="L30" s="123">
        <f t="shared" ref="L30:L35" si="11">+G30*100/E30</f>
        <v>60.698315789473675</v>
      </c>
      <c r="N30" s="29">
        <v>114093.28</v>
      </c>
    </row>
    <row r="31" spans="1:14" ht="14.1" customHeight="1">
      <c r="A31" s="52" t="s">
        <v>121</v>
      </c>
      <c r="B31" s="53" t="s">
        <v>390</v>
      </c>
      <c r="C31" s="54">
        <v>0</v>
      </c>
      <c r="D31" s="54">
        <v>12000</v>
      </c>
      <c r="E31" s="54">
        <v>12000</v>
      </c>
      <c r="F31" s="54"/>
      <c r="G31" s="54">
        <f>+N31+F31</f>
        <v>10478.280000000001</v>
      </c>
      <c r="H31" s="54">
        <v>10478.280000000001</v>
      </c>
      <c r="I31" s="54">
        <v>10478.280000000001</v>
      </c>
      <c r="J31" s="54">
        <f t="shared" si="2"/>
        <v>1521.7199999999993</v>
      </c>
      <c r="K31" s="54">
        <f t="shared" si="9"/>
        <v>1521.7199999999993</v>
      </c>
      <c r="L31" s="123">
        <f t="shared" si="11"/>
        <v>87.319000000000003</v>
      </c>
      <c r="N31" s="29">
        <v>10478.280000000001</v>
      </c>
    </row>
    <row r="32" spans="1:14" ht="14.1" customHeight="1">
      <c r="A32" s="52" t="s">
        <v>341</v>
      </c>
      <c r="B32" s="53" t="s">
        <v>342</v>
      </c>
      <c r="C32" s="54">
        <v>0</v>
      </c>
      <c r="D32" s="54">
        <v>5000</v>
      </c>
      <c r="E32" s="54">
        <v>5000</v>
      </c>
      <c r="F32" s="54"/>
      <c r="G32" s="54">
        <f t="shared" si="8"/>
        <v>3356.67</v>
      </c>
      <c r="H32" s="54">
        <v>3356.67</v>
      </c>
      <c r="I32" s="54">
        <v>3356.67</v>
      </c>
      <c r="J32" s="54">
        <f t="shared" si="2"/>
        <v>1643.33</v>
      </c>
      <c r="K32" s="54">
        <f t="shared" si="9"/>
        <v>1643.33</v>
      </c>
      <c r="L32" s="123">
        <f t="shared" si="11"/>
        <v>67.133399999999995</v>
      </c>
      <c r="N32" s="29">
        <v>3356.67</v>
      </c>
    </row>
    <row r="33" spans="1:18" ht="12.75" customHeight="1">
      <c r="A33" s="52" t="s">
        <v>327</v>
      </c>
      <c r="B33" s="53" t="s">
        <v>328</v>
      </c>
      <c r="C33" s="54">
        <v>0</v>
      </c>
      <c r="D33" s="54">
        <v>55000</v>
      </c>
      <c r="E33" s="54">
        <v>55000</v>
      </c>
      <c r="F33" s="54"/>
      <c r="G33" s="54">
        <f t="shared" si="8"/>
        <v>0</v>
      </c>
      <c r="H33" s="54"/>
      <c r="I33" s="54"/>
      <c r="J33" s="54">
        <f t="shared" si="2"/>
        <v>55000</v>
      </c>
      <c r="K33" s="54">
        <f t="shared" si="9"/>
        <v>55000</v>
      </c>
      <c r="L33" s="123">
        <f t="shared" si="11"/>
        <v>0</v>
      </c>
      <c r="N33" s="29">
        <v>0</v>
      </c>
    </row>
    <row r="34" spans="1:18" ht="13.5" hidden="1" customHeight="1">
      <c r="A34" s="52" t="s">
        <v>475</v>
      </c>
      <c r="B34" s="53" t="s">
        <v>436</v>
      </c>
      <c r="C34" s="54">
        <v>0</v>
      </c>
      <c r="D34" s="54"/>
      <c r="E34" s="54"/>
      <c r="F34" s="54"/>
      <c r="G34" s="54"/>
      <c r="H34" s="54"/>
      <c r="I34" s="54"/>
      <c r="J34" s="54"/>
      <c r="K34" s="54"/>
      <c r="L34" s="123" t="e">
        <f t="shared" si="11"/>
        <v>#DIV/0!</v>
      </c>
      <c r="N34" s="29"/>
    </row>
    <row r="35" spans="1:18" ht="14.1" customHeight="1">
      <c r="A35" s="52" t="s">
        <v>318</v>
      </c>
      <c r="B35" s="53" t="s">
        <v>435</v>
      </c>
      <c r="C35" s="54">
        <v>0</v>
      </c>
      <c r="D35" s="54">
        <v>75000</v>
      </c>
      <c r="E35" s="54">
        <v>75000</v>
      </c>
      <c r="F35" s="54">
        <v>7394.49</v>
      </c>
      <c r="G35" s="54">
        <f>+N35+F35</f>
        <v>28425.120000000003</v>
      </c>
      <c r="H35" s="54">
        <v>0</v>
      </c>
      <c r="I35" s="58">
        <v>11058.61</v>
      </c>
      <c r="J35" s="54">
        <f>+E35-G35</f>
        <v>46574.879999999997</v>
      </c>
      <c r="K35" s="54">
        <f>+D35-G35</f>
        <v>46574.879999999997</v>
      </c>
      <c r="L35" s="123">
        <f t="shared" si="11"/>
        <v>37.900160000000007</v>
      </c>
      <c r="N35" s="29">
        <v>21030.63</v>
      </c>
    </row>
    <row r="36" spans="1:18" ht="5.25" customHeight="1">
      <c r="A36" s="52"/>
      <c r="B36" s="53"/>
      <c r="C36" s="54"/>
      <c r="D36" s="54"/>
      <c r="E36" s="54"/>
      <c r="F36" s="54">
        <v>0</v>
      </c>
      <c r="G36" s="54"/>
      <c r="H36" s="54"/>
      <c r="I36" s="54"/>
      <c r="J36" s="54"/>
      <c r="K36" s="54"/>
      <c r="L36" s="123"/>
      <c r="N36" s="29"/>
    </row>
    <row r="37" spans="1:18" ht="20.25" customHeight="1">
      <c r="A37" s="91" t="s">
        <v>122</v>
      </c>
      <c r="B37" s="96" t="s">
        <v>123</v>
      </c>
      <c r="C37" s="97">
        <f>C38+C45+C54++C55+C58+C67+C73+C76+C62+C83</f>
        <v>7293008</v>
      </c>
      <c r="D37" s="97">
        <f>D38+D45+D54++D55+D58+D67+D73+D76+D62+D83</f>
        <v>6910373</v>
      </c>
      <c r="E37" s="97">
        <f>E38+E45+E54++E55+E58+E67+E73+E76+E62+E83</f>
        <v>6222872</v>
      </c>
      <c r="F37" s="97">
        <v>624076.89</v>
      </c>
      <c r="G37" s="97">
        <f>N37+F37</f>
        <v>4512040.58</v>
      </c>
      <c r="H37" s="97">
        <f>H38+H45+H54++H55+H58+H67+H73+H76+H62+H83</f>
        <v>3294982.7499999991</v>
      </c>
      <c r="I37" s="97">
        <f>I38+I45+I54++I55+I58+I67+I73+I76+I62+I83</f>
        <v>2336872.5300000003</v>
      </c>
      <c r="J37" s="97">
        <f>J38+J45+J54++J55+J58+J67+J73+J76+J62+J83</f>
        <v>1710831.4200000004</v>
      </c>
      <c r="K37" s="97">
        <f>K38+K45+K54++K55+K58+K67+K73+K76+K62+K83</f>
        <v>2398332.4200000004</v>
      </c>
      <c r="L37" s="490">
        <f>+G37*100/E37</f>
        <v>72.507366052202258</v>
      </c>
      <c r="M37" s="29" t="s">
        <v>6</v>
      </c>
      <c r="N37" s="29">
        <f>+N38+N45+N54+N55+N58+N62+N67+N73+N76+N83</f>
        <v>3887963.69</v>
      </c>
      <c r="O37" s="29">
        <f>+G38+G45+G54+G55+G58+G62+G67+G73+G76+G83</f>
        <v>4512040.5799999991</v>
      </c>
      <c r="P37" s="29"/>
      <c r="Q37" s="1"/>
      <c r="R37" s="29"/>
    </row>
    <row r="38" spans="1:18" ht="15.75" customHeight="1">
      <c r="A38" s="55">
        <v>100</v>
      </c>
      <c r="B38" s="56" t="s">
        <v>124</v>
      </c>
      <c r="C38" s="57">
        <f>SUM(C39:C44)</f>
        <v>151437</v>
      </c>
      <c r="D38" s="57">
        <f>SUM(D39:D44)</f>
        <v>102787</v>
      </c>
      <c r="E38" s="57">
        <f>SUM(E39:E44)</f>
        <v>98787</v>
      </c>
      <c r="F38" s="57">
        <v>9259.7800000000007</v>
      </c>
      <c r="G38" s="57">
        <f>+N38+F38</f>
        <v>59591.979999999996</v>
      </c>
      <c r="H38" s="57">
        <f>SUM(H39:H44)</f>
        <v>36575.33</v>
      </c>
      <c r="I38" s="57">
        <f>SUM(I39:I44)</f>
        <v>31239.23</v>
      </c>
      <c r="J38" s="57">
        <f t="shared" ref="J38:J52" si="12">+E38-G38</f>
        <v>39195.020000000004</v>
      </c>
      <c r="K38" s="57">
        <f t="shared" ref="K38:K51" si="13">+D38-G38</f>
        <v>43195.020000000004</v>
      </c>
      <c r="L38" s="123">
        <f>+G38*100/E38</f>
        <v>60.323706560579836</v>
      </c>
      <c r="N38" s="473">
        <f>SUM(N39:N44)</f>
        <v>50332.2</v>
      </c>
    </row>
    <row r="39" spans="1:18" ht="15" customHeight="1">
      <c r="A39" s="59" t="s">
        <v>125</v>
      </c>
      <c r="B39" s="54" t="s">
        <v>126</v>
      </c>
      <c r="C39" s="54">
        <v>3000</v>
      </c>
      <c r="D39" s="54">
        <v>12500</v>
      </c>
      <c r="E39" s="54">
        <v>12500</v>
      </c>
      <c r="F39" s="54">
        <v>2664.3</v>
      </c>
      <c r="G39" s="54">
        <f t="shared" ref="G39:G44" si="14">+N39+F39</f>
        <v>8153.53</v>
      </c>
      <c r="H39" s="54">
        <v>5489.23</v>
      </c>
      <c r="I39" s="54">
        <v>2514.5</v>
      </c>
      <c r="J39" s="54">
        <f t="shared" si="12"/>
        <v>4346.47</v>
      </c>
      <c r="K39" s="54">
        <f t="shared" si="13"/>
        <v>4346.47</v>
      </c>
      <c r="L39" s="123">
        <f>+G39*100/E39</f>
        <v>65.22824</v>
      </c>
      <c r="N39" s="29">
        <v>5489.23</v>
      </c>
    </row>
    <row r="40" spans="1:18" ht="13.5" customHeight="1">
      <c r="A40" s="52" t="s">
        <v>127</v>
      </c>
      <c r="B40" s="53" t="s">
        <v>128</v>
      </c>
      <c r="C40" s="54">
        <v>2000</v>
      </c>
      <c r="D40" s="54">
        <f>15600+2000</f>
        <v>17600</v>
      </c>
      <c r="E40" s="54">
        <v>17600</v>
      </c>
      <c r="F40" s="54">
        <v>4455.4799999999996</v>
      </c>
      <c r="G40" s="54">
        <f t="shared" si="14"/>
        <v>7183.98</v>
      </c>
      <c r="H40" s="54">
        <v>2728.5</v>
      </c>
      <c r="I40" s="54">
        <v>2728.5</v>
      </c>
      <c r="J40" s="54">
        <f t="shared" si="12"/>
        <v>10416.02</v>
      </c>
      <c r="K40" s="54">
        <f t="shared" si="13"/>
        <v>10416.02</v>
      </c>
      <c r="L40" s="123">
        <f>+G40*100/E40</f>
        <v>40.818068181818184</v>
      </c>
      <c r="N40" s="29">
        <v>2728.5</v>
      </c>
      <c r="P40" s="29"/>
    </row>
    <row r="41" spans="1:18" ht="11.25" customHeight="1">
      <c r="A41" s="52" t="s">
        <v>129</v>
      </c>
      <c r="B41" s="53" t="s">
        <v>130</v>
      </c>
      <c r="C41" s="54">
        <v>79362</v>
      </c>
      <c r="D41" s="54">
        <f>16762+3000+10000+1300-10000</f>
        <v>21062</v>
      </c>
      <c r="E41" s="54">
        <v>17062</v>
      </c>
      <c r="F41" s="54"/>
      <c r="G41" s="54">
        <f t="shared" si="14"/>
        <v>3900</v>
      </c>
      <c r="H41" s="54">
        <v>1950</v>
      </c>
      <c r="I41" s="54">
        <v>1950</v>
      </c>
      <c r="J41" s="54">
        <f t="shared" si="12"/>
        <v>13162</v>
      </c>
      <c r="K41" s="54">
        <f t="shared" si="13"/>
        <v>17162</v>
      </c>
      <c r="L41" s="123">
        <f>+G41*100/E41</f>
        <v>22.857812683155551</v>
      </c>
      <c r="N41" s="29">
        <v>3900</v>
      </c>
    </row>
    <row r="42" spans="1:18" ht="15" customHeight="1">
      <c r="A42" s="52" t="s">
        <v>131</v>
      </c>
      <c r="B42" s="53" t="s">
        <v>132</v>
      </c>
      <c r="C42" s="54">
        <v>7450</v>
      </c>
      <c r="D42" s="54">
        <v>0</v>
      </c>
      <c r="E42" s="54">
        <v>0</v>
      </c>
      <c r="F42" s="54"/>
      <c r="G42" s="54">
        <f t="shared" si="14"/>
        <v>0</v>
      </c>
      <c r="H42" s="54"/>
      <c r="I42" s="54">
        <v>0</v>
      </c>
      <c r="J42" s="54">
        <f t="shared" si="12"/>
        <v>0</v>
      </c>
      <c r="K42" s="54">
        <f t="shared" si="13"/>
        <v>0</v>
      </c>
      <c r="L42" s="123"/>
      <c r="N42" s="29">
        <v>0</v>
      </c>
    </row>
    <row r="43" spans="1:18" ht="15" customHeight="1">
      <c r="A43" s="52" t="s">
        <v>133</v>
      </c>
      <c r="B43" s="53" t="s">
        <v>134</v>
      </c>
      <c r="C43" s="54">
        <v>12400</v>
      </c>
      <c r="D43" s="54">
        <v>1000</v>
      </c>
      <c r="E43" s="54">
        <v>1000</v>
      </c>
      <c r="F43" s="54"/>
      <c r="G43" s="54">
        <v>0</v>
      </c>
      <c r="H43" s="54">
        <v>0</v>
      </c>
      <c r="I43" s="54">
        <v>0</v>
      </c>
      <c r="J43" s="54">
        <f t="shared" si="12"/>
        <v>1000</v>
      </c>
      <c r="K43" s="54">
        <f t="shared" si="13"/>
        <v>1000</v>
      </c>
      <c r="L43" s="123"/>
      <c r="N43" s="29">
        <v>0</v>
      </c>
    </row>
    <row r="44" spans="1:18" ht="15.6" customHeight="1">
      <c r="A44" s="52" t="s">
        <v>135</v>
      </c>
      <c r="B44" s="53" t="s">
        <v>136</v>
      </c>
      <c r="C44" s="54">
        <v>47225</v>
      </c>
      <c r="D44" s="54">
        <f>44125+5000+1500</f>
        <v>50625</v>
      </c>
      <c r="E44" s="54">
        <v>50625</v>
      </c>
      <c r="F44" s="54">
        <v>2140</v>
      </c>
      <c r="G44" s="54">
        <f t="shared" si="14"/>
        <v>40354.47</v>
      </c>
      <c r="H44" s="54">
        <v>26407.599999999999</v>
      </c>
      <c r="I44" s="54">
        <v>24046.23</v>
      </c>
      <c r="J44" s="54">
        <f t="shared" si="12"/>
        <v>10270.529999999999</v>
      </c>
      <c r="K44" s="54">
        <f t="shared" si="13"/>
        <v>10270.529999999999</v>
      </c>
      <c r="L44" s="123">
        <f t="shared" ref="L44:L52" si="15">+G44*100/E44</f>
        <v>79.71253333333334</v>
      </c>
      <c r="N44" s="29">
        <v>38214.47</v>
      </c>
    </row>
    <row r="45" spans="1:18">
      <c r="A45" s="60" t="s">
        <v>137</v>
      </c>
      <c r="B45" s="57" t="s">
        <v>138</v>
      </c>
      <c r="C45" s="57">
        <f>SUM(C46:C53)</f>
        <v>2652943</v>
      </c>
      <c r="D45" s="57">
        <f>SUM(D46:D53)</f>
        <v>3767443</v>
      </c>
      <c r="E45" s="57">
        <f>SUM(E46:E53)</f>
        <v>3109675</v>
      </c>
      <c r="F45" s="57">
        <v>274107.05</v>
      </c>
      <c r="G45" s="57">
        <f>N45+F45</f>
        <v>2734872.61</v>
      </c>
      <c r="H45" s="57">
        <f>SUM(H46:H53)</f>
        <v>2366774.9899999998</v>
      </c>
      <c r="I45" s="57">
        <f>SUM(I46:I53)</f>
        <v>1613629.13</v>
      </c>
      <c r="J45" s="57">
        <f t="shared" si="12"/>
        <v>374802.39000000013</v>
      </c>
      <c r="K45" s="57">
        <f t="shared" si="13"/>
        <v>1032570.3900000001</v>
      </c>
      <c r="L45" s="122">
        <f t="shared" si="15"/>
        <v>87.947216670552393</v>
      </c>
      <c r="M45" s="29" t="s">
        <v>6</v>
      </c>
      <c r="N45" s="473">
        <f>SUM(N46:N53)</f>
        <v>2460765.56</v>
      </c>
      <c r="O45" s="29"/>
      <c r="P45" s="29"/>
      <c r="Q45" s="29"/>
    </row>
    <row r="46" spans="1:18" ht="12" customHeight="1">
      <c r="A46" s="59" t="s">
        <v>139</v>
      </c>
      <c r="B46" s="54" t="s">
        <v>140</v>
      </c>
      <c r="C46" s="54">
        <v>109200</v>
      </c>
      <c r="D46" s="54">
        <v>109200</v>
      </c>
      <c r="E46" s="54">
        <v>79500</v>
      </c>
      <c r="F46" s="54">
        <v>9289.36</v>
      </c>
      <c r="G46" s="537">
        <f>+F46+N46</f>
        <v>66994.720000000001</v>
      </c>
      <c r="H46" s="54">
        <v>66994.720000000001</v>
      </c>
      <c r="I46" s="54">
        <v>48073.440000000002</v>
      </c>
      <c r="J46" s="54">
        <f t="shared" si="12"/>
        <v>12505.279999999999</v>
      </c>
      <c r="K46" s="54">
        <f t="shared" si="13"/>
        <v>42205.279999999999</v>
      </c>
      <c r="L46" s="123">
        <f t="shared" si="15"/>
        <v>84.27008805031447</v>
      </c>
      <c r="N46" s="29">
        <v>57705.36</v>
      </c>
    </row>
    <row r="47" spans="1:18" ht="14.25" customHeight="1">
      <c r="A47" s="52" t="s">
        <v>141</v>
      </c>
      <c r="B47" s="53" t="s">
        <v>142</v>
      </c>
      <c r="C47" s="54">
        <v>43100</v>
      </c>
      <c r="D47" s="54">
        <v>54600</v>
      </c>
      <c r="E47" s="54">
        <v>43200</v>
      </c>
      <c r="F47" s="54">
        <v>1600</v>
      </c>
      <c r="G47" s="54">
        <f t="shared" ref="G47:G52" si="16">+N47+F47</f>
        <v>12623.650000000001</v>
      </c>
      <c r="H47" s="54">
        <v>8479.65</v>
      </c>
      <c r="I47" s="54">
        <v>5391.77</v>
      </c>
      <c r="J47" s="54">
        <f t="shared" si="12"/>
        <v>30576.35</v>
      </c>
      <c r="K47" s="54">
        <f t="shared" si="13"/>
        <v>41976.35</v>
      </c>
      <c r="L47" s="123">
        <f t="shared" si="15"/>
        <v>29.221412037037041</v>
      </c>
      <c r="N47" s="29">
        <v>11023.650000000001</v>
      </c>
    </row>
    <row r="48" spans="1:18" ht="13.5" customHeight="1">
      <c r="A48" s="52" t="s">
        <v>143</v>
      </c>
      <c r="B48" s="53" t="s">
        <v>144</v>
      </c>
      <c r="C48" s="54">
        <v>4500</v>
      </c>
      <c r="D48" s="54">
        <v>4500</v>
      </c>
      <c r="E48" s="54">
        <v>4500</v>
      </c>
      <c r="F48" s="54"/>
      <c r="G48" s="54">
        <f t="shared" si="16"/>
        <v>50</v>
      </c>
      <c r="H48" s="54">
        <v>50</v>
      </c>
      <c r="I48" s="54"/>
      <c r="J48" s="54">
        <f>+E48-G48</f>
        <v>4450</v>
      </c>
      <c r="K48" s="54">
        <f t="shared" si="13"/>
        <v>4450</v>
      </c>
      <c r="L48" s="123">
        <f t="shared" si="15"/>
        <v>1.1111111111111112</v>
      </c>
      <c r="N48" s="29">
        <v>50</v>
      </c>
    </row>
    <row r="49" spans="1:21" ht="13.5" customHeight="1">
      <c r="A49" s="52" t="s">
        <v>145</v>
      </c>
      <c r="B49" s="53" t="s">
        <v>146</v>
      </c>
      <c r="C49" s="54">
        <f>2717526-700000</f>
        <v>2017526</v>
      </c>
      <c r="D49" s="54">
        <f>2717526-700000+250000+100000+299000</f>
        <v>2666526</v>
      </c>
      <c r="E49" s="54">
        <v>2116293</v>
      </c>
      <c r="F49" s="54">
        <v>229936.82</v>
      </c>
      <c r="G49" s="54">
        <f>+N49+F49</f>
        <v>1882100.68</v>
      </c>
      <c r="H49" s="54">
        <v>1882100.68</v>
      </c>
      <c r="I49" s="54">
        <v>1316388.1299999999</v>
      </c>
      <c r="J49" s="54">
        <f t="shared" si="12"/>
        <v>234192.32000000007</v>
      </c>
      <c r="K49" s="54">
        <f t="shared" si="13"/>
        <v>784425.32000000007</v>
      </c>
      <c r="L49" s="123">
        <f t="shared" si="15"/>
        <v>88.933842336576262</v>
      </c>
      <c r="N49" s="29">
        <v>1652163.8599999999</v>
      </c>
    </row>
    <row r="50" spans="1:21" ht="15" customHeight="1">
      <c r="A50" s="52" t="s">
        <v>147</v>
      </c>
      <c r="B50" s="53" t="s">
        <v>148</v>
      </c>
      <c r="C50" s="54">
        <v>243600</v>
      </c>
      <c r="D50" s="54">
        <v>243600</v>
      </c>
      <c r="E50" s="54">
        <v>177165</v>
      </c>
      <c r="F50" s="54">
        <v>27838.31</v>
      </c>
      <c r="G50" s="538">
        <f>+N50+F50</f>
        <v>153708.68</v>
      </c>
      <c r="H50" s="54">
        <v>179949.7</v>
      </c>
      <c r="I50" s="54">
        <v>72644.5</v>
      </c>
      <c r="J50" s="54">
        <f t="shared" si="12"/>
        <v>23456.320000000007</v>
      </c>
      <c r="K50" s="54">
        <f t="shared" si="13"/>
        <v>89891.32</v>
      </c>
      <c r="L50" s="123">
        <f t="shared" si="15"/>
        <v>86.760184009256903</v>
      </c>
      <c r="N50" s="29">
        <f>99629.34+26241.03</f>
        <v>125870.37</v>
      </c>
    </row>
    <row r="51" spans="1:21" ht="13.15" customHeight="1">
      <c r="A51" s="52">
        <v>116</v>
      </c>
      <c r="B51" s="53" t="s">
        <v>387</v>
      </c>
      <c r="C51" s="54">
        <v>204417</v>
      </c>
      <c r="D51" s="54">
        <v>658417</v>
      </c>
      <c r="E51" s="54">
        <v>658417</v>
      </c>
      <c r="F51" s="54">
        <v>0</v>
      </c>
      <c r="G51" s="54">
        <f>+N51+F51</f>
        <v>612796.72</v>
      </c>
      <c r="H51" s="54">
        <v>228622.44</v>
      </c>
      <c r="I51" s="54">
        <v>171131.29</v>
      </c>
      <c r="J51" s="54">
        <f t="shared" si="12"/>
        <v>45620.280000000028</v>
      </c>
      <c r="K51" s="54">
        <f t="shared" si="13"/>
        <v>45620.280000000028</v>
      </c>
      <c r="L51" s="123">
        <f t="shared" si="15"/>
        <v>93.071217784473973</v>
      </c>
      <c r="N51" s="29">
        <v>612796.72</v>
      </c>
    </row>
    <row r="52" spans="1:21" ht="13.5" customHeight="1">
      <c r="A52" s="52">
        <v>117</v>
      </c>
      <c r="B52" s="53" t="s">
        <v>391</v>
      </c>
      <c r="C52" s="54">
        <v>30000</v>
      </c>
      <c r="D52" s="54">
        <v>30000</v>
      </c>
      <c r="E52" s="54">
        <v>30000</v>
      </c>
      <c r="F52" s="54">
        <v>5442.56</v>
      </c>
      <c r="G52" s="54">
        <f t="shared" si="16"/>
        <v>6598.16</v>
      </c>
      <c r="H52" s="54">
        <v>577.79999999999995</v>
      </c>
      <c r="I52" s="54"/>
      <c r="J52" s="54">
        <f t="shared" si="12"/>
        <v>23401.84</v>
      </c>
      <c r="K52" s="54"/>
      <c r="L52" s="123">
        <f t="shared" si="15"/>
        <v>21.993866666666666</v>
      </c>
      <c r="N52" s="29">
        <v>1155.5999999999999</v>
      </c>
    </row>
    <row r="53" spans="1:21" ht="13.5" customHeight="1">
      <c r="A53" s="52">
        <v>119</v>
      </c>
      <c r="B53" s="53" t="s">
        <v>440</v>
      </c>
      <c r="C53" s="54">
        <v>600</v>
      </c>
      <c r="D53" s="54">
        <v>600</v>
      </c>
      <c r="E53" s="54">
        <v>600</v>
      </c>
      <c r="F53" s="54"/>
      <c r="G53" s="54"/>
      <c r="H53" s="54"/>
      <c r="I53" s="54"/>
      <c r="J53" s="54"/>
      <c r="K53" s="54"/>
      <c r="L53" s="123"/>
      <c r="N53" s="29"/>
    </row>
    <row r="54" spans="1:21" ht="12.75" customHeight="1">
      <c r="A54" s="55">
        <v>120</v>
      </c>
      <c r="B54" s="57" t="s">
        <v>150</v>
      </c>
      <c r="C54" s="57">
        <v>87500</v>
      </c>
      <c r="D54" s="57">
        <f>13000+1100+2000+700</f>
        <v>16800</v>
      </c>
      <c r="E54" s="57">
        <v>16800</v>
      </c>
      <c r="F54" s="57">
        <v>96.3</v>
      </c>
      <c r="G54" s="57">
        <f>+N54+F54</f>
        <v>9760.3799999999992</v>
      </c>
      <c r="H54" s="57">
        <v>9530.51</v>
      </c>
      <c r="I54" s="57">
        <v>8968.83</v>
      </c>
      <c r="J54" s="57">
        <f t="shared" ref="J54:J64" si="17">+E54-G54</f>
        <v>7039.6200000000008</v>
      </c>
      <c r="K54" s="57">
        <f t="shared" ref="K54:K67" si="18">+D54-G54</f>
        <v>7039.6200000000008</v>
      </c>
      <c r="L54" s="122">
        <f t="shared" ref="L54:L66" si="19">+G54*100/E54</f>
        <v>58.097499999999997</v>
      </c>
      <c r="M54" s="5"/>
      <c r="N54" s="473">
        <v>9664.08</v>
      </c>
      <c r="U54">
        <f ca="1">U54</f>
        <v>0</v>
      </c>
    </row>
    <row r="55" spans="1:21" ht="13.5" customHeight="1">
      <c r="A55" s="60" t="s">
        <v>151</v>
      </c>
      <c r="B55" s="57" t="s">
        <v>152</v>
      </c>
      <c r="C55" s="57">
        <f>SUM(C56:C57)</f>
        <v>163284</v>
      </c>
      <c r="D55" s="57">
        <f>SUM(D56:D57)</f>
        <v>36189</v>
      </c>
      <c r="E55" s="57">
        <f>SUM(E56:E57)</f>
        <v>36189</v>
      </c>
      <c r="F55" s="57">
        <v>1753.96</v>
      </c>
      <c r="G55" s="57">
        <f t="shared" ref="G55:G64" si="20">+N55+F55</f>
        <v>12607.779999999999</v>
      </c>
      <c r="H55" s="57">
        <f>+H56+H57</f>
        <v>8895.2800000000007</v>
      </c>
      <c r="I55" s="57">
        <f>SUM(I56:I57)</f>
        <v>4854.8100000000004</v>
      </c>
      <c r="J55" s="57">
        <f t="shared" si="17"/>
        <v>23581.22</v>
      </c>
      <c r="K55" s="57">
        <f t="shared" si="18"/>
        <v>23581.22</v>
      </c>
      <c r="L55" s="122">
        <f t="shared" si="19"/>
        <v>34.838707894664125</v>
      </c>
      <c r="M55" s="5"/>
      <c r="N55" s="473">
        <f>SUM(N56:N57)</f>
        <v>10853.82</v>
      </c>
    </row>
    <row r="56" spans="1:21" ht="14.25" customHeight="1">
      <c r="A56" s="52" t="s">
        <v>153</v>
      </c>
      <c r="B56" s="54" t="s">
        <v>154</v>
      </c>
      <c r="C56" s="54">
        <v>81769</v>
      </c>
      <c r="D56" s="54">
        <f>16074+2300+200</f>
        <v>18574</v>
      </c>
      <c r="E56" s="54">
        <v>18574</v>
      </c>
      <c r="F56" s="54">
        <v>1753.96</v>
      </c>
      <c r="G56" s="54">
        <f t="shared" si="20"/>
        <v>8060.2800000000007</v>
      </c>
      <c r="H56" s="54">
        <v>5385.68</v>
      </c>
      <c r="I56" s="54">
        <v>4854.8100000000004</v>
      </c>
      <c r="J56" s="54">
        <f t="shared" si="17"/>
        <v>10513.72</v>
      </c>
      <c r="K56" s="54">
        <f t="shared" si="18"/>
        <v>10513.72</v>
      </c>
      <c r="L56" s="123">
        <f t="shared" si="19"/>
        <v>43.39549908474212</v>
      </c>
      <c r="M56" s="5"/>
      <c r="N56" s="29">
        <v>6306.3200000000006</v>
      </c>
    </row>
    <row r="57" spans="1:21" ht="15" customHeight="1">
      <c r="A57" s="52" t="s">
        <v>319</v>
      </c>
      <c r="B57" s="54" t="s">
        <v>320</v>
      </c>
      <c r="C57" s="54">
        <v>81515</v>
      </c>
      <c r="D57" s="54">
        <f>34915+1600+300-19200</f>
        <v>17615</v>
      </c>
      <c r="E57" s="54">
        <v>17615</v>
      </c>
      <c r="F57" s="54"/>
      <c r="G57" s="54">
        <f t="shared" si="20"/>
        <v>4547.5</v>
      </c>
      <c r="H57" s="54">
        <v>3509.6</v>
      </c>
      <c r="I57" s="54">
        <v>0</v>
      </c>
      <c r="J57" s="54">
        <f t="shared" si="17"/>
        <v>13067.5</v>
      </c>
      <c r="K57" s="54">
        <f t="shared" si="18"/>
        <v>13067.5</v>
      </c>
      <c r="L57" s="123">
        <f t="shared" si="19"/>
        <v>25.816065852966222</v>
      </c>
      <c r="M57" s="5"/>
      <c r="N57" s="29">
        <v>4547.5</v>
      </c>
      <c r="P57" s="29" t="s">
        <v>6</v>
      </c>
    </row>
    <row r="58" spans="1:21">
      <c r="A58" s="60" t="s">
        <v>155</v>
      </c>
      <c r="B58" s="57" t="s">
        <v>156</v>
      </c>
      <c r="C58" s="57">
        <f>SUM(C59:C61)</f>
        <v>981486</v>
      </c>
      <c r="D58" s="57">
        <f>SUM(D59:D61)</f>
        <v>286905</v>
      </c>
      <c r="E58" s="57">
        <f>SUM(E59:E61)</f>
        <v>286905</v>
      </c>
      <c r="F58" s="57">
        <v>29635</v>
      </c>
      <c r="G58" s="57">
        <f>+N58+F58</f>
        <v>188315.5</v>
      </c>
      <c r="H58" s="57">
        <f>SUM(H59:H61)</f>
        <v>188315.5</v>
      </c>
      <c r="I58" s="57">
        <f>SUM(I59:I61)</f>
        <v>186681.5</v>
      </c>
      <c r="J58" s="57">
        <f t="shared" si="17"/>
        <v>98589.5</v>
      </c>
      <c r="K58" s="57">
        <f t="shared" si="18"/>
        <v>98589.5</v>
      </c>
      <c r="L58" s="122">
        <f t="shared" si="19"/>
        <v>65.636883288893543</v>
      </c>
      <c r="M58" s="5"/>
      <c r="N58" s="473">
        <f>SUM(N59:N61)</f>
        <v>158680.5</v>
      </c>
      <c r="P58" s="29" t="s">
        <v>6</v>
      </c>
      <c r="Q58" s="47" t="s">
        <v>6</v>
      </c>
    </row>
    <row r="59" spans="1:21" ht="15.75" customHeight="1">
      <c r="A59" s="59" t="s">
        <v>157</v>
      </c>
      <c r="B59" s="54" t="s">
        <v>158</v>
      </c>
      <c r="C59" s="54">
        <v>621226</v>
      </c>
      <c r="D59" s="54">
        <f>179876+5000+16700+20000+5000+1000</f>
        <v>227576</v>
      </c>
      <c r="E59" s="54">
        <v>227576</v>
      </c>
      <c r="F59" s="54">
        <v>26923</v>
      </c>
      <c r="G59" s="54">
        <f>+F59+N59</f>
        <v>156959.5</v>
      </c>
      <c r="H59" s="54">
        <v>156959.5</v>
      </c>
      <c r="I59" s="54">
        <v>155341.5</v>
      </c>
      <c r="J59" s="54">
        <f t="shared" si="17"/>
        <v>70616.5</v>
      </c>
      <c r="K59" s="54">
        <f t="shared" si="18"/>
        <v>70616.5</v>
      </c>
      <c r="L59" s="123">
        <f>+G59*100/E59</f>
        <v>68.970146236861538</v>
      </c>
      <c r="N59" s="29">
        <f>128714.5+1322</f>
        <v>130036.5</v>
      </c>
      <c r="O59" s="46"/>
    </row>
    <row r="60" spans="1:21" ht="13.5" customHeight="1">
      <c r="A60" s="52" t="s">
        <v>159</v>
      </c>
      <c r="B60" s="53" t="s">
        <v>160</v>
      </c>
      <c r="C60" s="54">
        <v>227583</v>
      </c>
      <c r="D60" s="54">
        <f>22583+5200+4000</f>
        <v>31783</v>
      </c>
      <c r="E60" s="54">
        <v>31783</v>
      </c>
      <c r="F60" s="54">
        <v>1800</v>
      </c>
      <c r="G60" s="54">
        <f t="shared" si="20"/>
        <v>19800</v>
      </c>
      <c r="H60" s="54">
        <v>19800</v>
      </c>
      <c r="I60" s="54">
        <v>19800</v>
      </c>
      <c r="J60" s="54">
        <f t="shared" si="17"/>
        <v>11983</v>
      </c>
      <c r="K60" s="54">
        <f t="shared" si="18"/>
        <v>11983</v>
      </c>
      <c r="L60" s="123">
        <f t="shared" si="19"/>
        <v>62.297454614101881</v>
      </c>
      <c r="N60" s="29">
        <v>18000</v>
      </c>
    </row>
    <row r="61" spans="1:21" ht="12" customHeight="1">
      <c r="A61" s="52">
        <v>143</v>
      </c>
      <c r="B61" s="53" t="s">
        <v>161</v>
      </c>
      <c r="C61" s="54">
        <v>132677</v>
      </c>
      <c r="D61" s="54">
        <f>13675+3402+3900+2500+5000+1500+5000-7431</f>
        <v>27546</v>
      </c>
      <c r="E61" s="54">
        <v>27546</v>
      </c>
      <c r="F61" s="54">
        <v>912</v>
      </c>
      <c r="G61" s="54">
        <f t="shared" si="20"/>
        <v>11556</v>
      </c>
      <c r="H61" s="54">
        <v>11556</v>
      </c>
      <c r="I61" s="54">
        <v>11540</v>
      </c>
      <c r="J61" s="54">
        <f t="shared" si="17"/>
        <v>15990</v>
      </c>
      <c r="K61" s="54">
        <f t="shared" si="18"/>
        <v>15990</v>
      </c>
      <c r="L61" s="123">
        <f t="shared" si="19"/>
        <v>41.951644521890657</v>
      </c>
      <c r="N61" s="29">
        <v>10644</v>
      </c>
      <c r="Q61" s="47" t="s">
        <v>6</v>
      </c>
    </row>
    <row r="62" spans="1:21">
      <c r="A62" s="60" t="s">
        <v>162</v>
      </c>
      <c r="B62" s="57" t="s">
        <v>163</v>
      </c>
      <c r="C62" s="57">
        <f>SUM(C63:C65)</f>
        <v>448811</v>
      </c>
      <c r="D62" s="57">
        <f>SUM(D63:D66)</f>
        <v>189048</v>
      </c>
      <c r="E62" s="57">
        <f>+E63+E64+E65+E66</f>
        <v>189048</v>
      </c>
      <c r="F62" s="57">
        <v>10649.5</v>
      </c>
      <c r="G62" s="57">
        <f>+N62+F62</f>
        <v>53907.57</v>
      </c>
      <c r="H62" s="57">
        <f>+H63+H64+H65+H66</f>
        <v>34391.480000000003</v>
      </c>
      <c r="I62" s="57">
        <f>SUM(I63:I66)</f>
        <v>32413.15</v>
      </c>
      <c r="J62" s="57">
        <f t="shared" si="17"/>
        <v>135140.43</v>
      </c>
      <c r="K62" s="57">
        <f t="shared" si="18"/>
        <v>135140.43</v>
      </c>
      <c r="L62" s="122">
        <f t="shared" si="19"/>
        <v>28.515281833185224</v>
      </c>
      <c r="M62" s="5"/>
      <c r="N62" s="473">
        <f>SUM(N63:N66)</f>
        <v>43258.07</v>
      </c>
      <c r="O62" s="29"/>
      <c r="P62" s="29" t="s">
        <v>6</v>
      </c>
      <c r="Q62" s="47" t="s">
        <v>6</v>
      </c>
    </row>
    <row r="63" spans="1:21" ht="15" customHeight="1">
      <c r="A63" s="59" t="s">
        <v>164</v>
      </c>
      <c r="B63" s="54" t="s">
        <v>158</v>
      </c>
      <c r="C63" s="54">
        <v>251809</v>
      </c>
      <c r="D63" s="54">
        <f>67809+31000-5000</f>
        <v>93809</v>
      </c>
      <c r="E63" s="54">
        <v>93809</v>
      </c>
      <c r="F63" s="54">
        <v>5082.6099999999997</v>
      </c>
      <c r="G63" s="537">
        <f>+F63+N63</f>
        <v>35162.980000000003</v>
      </c>
      <c r="H63" s="54">
        <v>32269.200000000001</v>
      </c>
      <c r="I63" s="54">
        <v>31019.7</v>
      </c>
      <c r="J63" s="54">
        <f t="shared" si="17"/>
        <v>58646.02</v>
      </c>
      <c r="K63" s="59">
        <f t="shared" si="18"/>
        <v>58646.02</v>
      </c>
      <c r="L63" s="123">
        <f t="shared" si="19"/>
        <v>37.483588994659364</v>
      </c>
      <c r="N63" s="29">
        <f>29812.79+267.58</f>
        <v>30080.370000000003</v>
      </c>
      <c r="O63" s="46"/>
    </row>
    <row r="64" spans="1:21" ht="12.75" customHeight="1">
      <c r="A64" s="52" t="s">
        <v>165</v>
      </c>
      <c r="B64" s="53" t="s">
        <v>160</v>
      </c>
      <c r="C64" s="54">
        <v>158402</v>
      </c>
      <c r="D64" s="54">
        <f>31402+14100+4600+20000-6000+4000+5000-15763</f>
        <v>57339</v>
      </c>
      <c r="E64" s="54">
        <v>57339</v>
      </c>
      <c r="F64" s="54">
        <v>5089.1000000000004</v>
      </c>
      <c r="G64" s="54">
        <f t="shared" si="20"/>
        <v>16658.449999999997</v>
      </c>
      <c r="H64" s="54">
        <v>525.28</v>
      </c>
      <c r="I64" s="54">
        <v>0</v>
      </c>
      <c r="J64" s="54">
        <f t="shared" si="17"/>
        <v>40680.550000000003</v>
      </c>
      <c r="K64" s="59">
        <f t="shared" si="18"/>
        <v>40680.550000000003</v>
      </c>
      <c r="L64" s="123">
        <f t="shared" si="19"/>
        <v>29.052564572106242</v>
      </c>
      <c r="N64" s="29">
        <v>11569.349999999999</v>
      </c>
    </row>
    <row r="65" spans="1:17" ht="12.75" customHeight="1">
      <c r="A65" s="52">
        <v>153</v>
      </c>
      <c r="B65" s="53" t="s">
        <v>166</v>
      </c>
      <c r="C65" s="54">
        <v>38600</v>
      </c>
      <c r="D65" s="54">
        <f>28600-480-14780-1500+3680+6380+6700+2000+3000</f>
        <v>33600</v>
      </c>
      <c r="E65" s="54">
        <v>33600</v>
      </c>
      <c r="F65" s="54"/>
      <c r="G65" s="54">
        <f>+N65+F65</f>
        <v>733.28</v>
      </c>
      <c r="H65" s="539">
        <v>351.14</v>
      </c>
      <c r="I65" s="54">
        <v>325.98</v>
      </c>
      <c r="J65" s="87" t="s">
        <v>433</v>
      </c>
      <c r="K65" s="131">
        <f t="shared" si="18"/>
        <v>32866.720000000001</v>
      </c>
      <c r="L65" s="123">
        <f t="shared" si="19"/>
        <v>2.1823809523809525</v>
      </c>
      <c r="N65" s="29">
        <v>733.28</v>
      </c>
    </row>
    <row r="66" spans="1:17" ht="14.1" customHeight="1">
      <c r="A66" s="52">
        <v>154</v>
      </c>
      <c r="B66" s="53" t="s">
        <v>359</v>
      </c>
      <c r="C66" s="54"/>
      <c r="D66" s="54">
        <f>5500-1200</f>
        <v>4300</v>
      </c>
      <c r="E66" s="54">
        <v>4300</v>
      </c>
      <c r="F66" s="54">
        <v>477.79</v>
      </c>
      <c r="G66" s="54">
        <f>+N66+F66</f>
        <v>1352.86</v>
      </c>
      <c r="H66" s="54">
        <v>1245.8599999999999</v>
      </c>
      <c r="I66" s="54">
        <v>1067.47</v>
      </c>
      <c r="J66" s="54">
        <f>+E66-G66</f>
        <v>2947.1400000000003</v>
      </c>
      <c r="K66" s="59">
        <f t="shared" si="18"/>
        <v>2947.1400000000003</v>
      </c>
      <c r="L66" s="123">
        <f t="shared" si="19"/>
        <v>31.461860465116278</v>
      </c>
      <c r="N66" s="29">
        <v>875.06999999999994</v>
      </c>
    </row>
    <row r="67" spans="1:17" ht="15.75" customHeight="1">
      <c r="A67" s="60" t="s">
        <v>167</v>
      </c>
      <c r="B67" s="57" t="s">
        <v>168</v>
      </c>
      <c r="C67" s="57">
        <f>SUM(C68:C72)</f>
        <v>1492093</v>
      </c>
      <c r="D67" s="57">
        <f>SUM(D68:D72)</f>
        <v>1552951</v>
      </c>
      <c r="E67" s="57">
        <f>SUM(E68:E72)</f>
        <v>1552951</v>
      </c>
      <c r="F67" s="57">
        <v>193443.56</v>
      </c>
      <c r="G67" s="57">
        <f>+N67+F67</f>
        <v>904885.82999999984</v>
      </c>
      <c r="H67" s="57">
        <f>+H68+H69+H70+H72+H71</f>
        <v>360905.64</v>
      </c>
      <c r="I67" s="57">
        <f>+I68+I69+I70+I72+I71</f>
        <v>277466.52</v>
      </c>
      <c r="J67" s="57">
        <f>+E67-G67</f>
        <v>648065.17000000016</v>
      </c>
      <c r="K67" s="60">
        <f t="shared" si="18"/>
        <v>648065.17000000016</v>
      </c>
      <c r="L67" s="122">
        <f>+G67*100/E67</f>
        <v>58.268794701185023</v>
      </c>
      <c r="N67" s="473">
        <f>SUM(N70:N72)</f>
        <v>711442.2699999999</v>
      </c>
      <c r="O67" s="29"/>
      <c r="P67" s="29"/>
    </row>
    <row r="68" spans="1:17" ht="0.75" customHeight="1">
      <c r="A68" s="52">
        <v>162</v>
      </c>
      <c r="B68" s="54" t="s">
        <v>434</v>
      </c>
      <c r="C68" s="54">
        <v>0</v>
      </c>
      <c r="D68" s="54">
        <v>0</v>
      </c>
      <c r="E68" s="54">
        <v>0</v>
      </c>
      <c r="F68" s="54"/>
      <c r="G68" s="54"/>
      <c r="H68" s="54"/>
      <c r="I68" s="54"/>
      <c r="J68" s="54"/>
      <c r="K68" s="60"/>
      <c r="L68" s="122"/>
      <c r="N68" s="29"/>
    </row>
    <row r="69" spans="1:17" ht="13.5" customHeight="1">
      <c r="A69" s="59" t="s">
        <v>306</v>
      </c>
      <c r="B69" s="54" t="s">
        <v>307</v>
      </c>
      <c r="C69" s="54">
        <v>3400</v>
      </c>
      <c r="D69" s="54">
        <v>0</v>
      </c>
      <c r="E69" s="54">
        <v>0</v>
      </c>
      <c r="F69" s="54"/>
      <c r="G69" s="54">
        <f>+N69+F69</f>
        <v>0</v>
      </c>
      <c r="H69" s="54"/>
      <c r="I69" s="54"/>
      <c r="J69" s="54">
        <f>+E69-G69</f>
        <v>0</v>
      </c>
      <c r="K69" s="59">
        <f>+D69-G69</f>
        <v>0</v>
      </c>
      <c r="L69" s="123" t="s">
        <v>6</v>
      </c>
      <c r="N69" s="29">
        <v>0</v>
      </c>
    </row>
    <row r="70" spans="1:17" ht="13.5" customHeight="1">
      <c r="A70" s="59" t="s">
        <v>169</v>
      </c>
      <c r="B70" s="54" t="s">
        <v>170</v>
      </c>
      <c r="C70" s="54">
        <v>106950</v>
      </c>
      <c r="D70" s="54">
        <v>308150</v>
      </c>
      <c r="E70" s="54">
        <v>308150</v>
      </c>
      <c r="F70" s="54">
        <v>1250.04</v>
      </c>
      <c r="G70" s="54">
        <f>+N70+F70</f>
        <v>168383.06</v>
      </c>
      <c r="H70" s="54">
        <v>10778.1</v>
      </c>
      <c r="I70" s="54">
        <v>892.5</v>
      </c>
      <c r="J70" s="54">
        <f>+E70-G70</f>
        <v>139766.94</v>
      </c>
      <c r="K70" s="59">
        <f>+D70-G70</f>
        <v>139766.94</v>
      </c>
      <c r="L70" s="123">
        <f>+G70*100/E70</f>
        <v>54.643212721077397</v>
      </c>
      <c r="N70" s="29">
        <v>167133.01999999999</v>
      </c>
    </row>
    <row r="71" spans="1:17" ht="15" customHeight="1">
      <c r="A71" s="52">
        <v>165</v>
      </c>
      <c r="B71" s="54" t="s">
        <v>171</v>
      </c>
      <c r="C71" s="54">
        <v>737884</v>
      </c>
      <c r="D71" s="54">
        <f>753964+58000+154138-87000+10000-8200-121447-30000+149000</f>
        <v>878455</v>
      </c>
      <c r="E71" s="54">
        <f>729455+149000</f>
        <v>878455</v>
      </c>
      <c r="F71" s="54">
        <v>38301.18</v>
      </c>
      <c r="G71" s="54">
        <f>+N71+F71</f>
        <v>482679.97</v>
      </c>
      <c r="H71" s="54">
        <v>281533.7</v>
      </c>
      <c r="I71" s="54">
        <v>241174.06</v>
      </c>
      <c r="J71" s="54">
        <f>+E71-G71</f>
        <v>395775.03</v>
      </c>
      <c r="K71" s="59">
        <f>+D71-G71</f>
        <v>395775.03</v>
      </c>
      <c r="L71" s="123">
        <f>+G71*100/E71</f>
        <v>54.94646510065968</v>
      </c>
      <c r="N71" s="29">
        <f>444378.79</f>
        <v>444378.79</v>
      </c>
      <c r="Q71" s="29"/>
    </row>
    <row r="72" spans="1:17" ht="12.75" customHeight="1">
      <c r="A72" s="52" t="s">
        <v>172</v>
      </c>
      <c r="B72" s="53" t="s">
        <v>173</v>
      </c>
      <c r="C72" s="54">
        <v>643859</v>
      </c>
      <c r="D72" s="54">
        <f>309222+15340+133972+12450-47638-62000+5000</f>
        <v>366346</v>
      </c>
      <c r="E72" s="54">
        <v>366346</v>
      </c>
      <c r="F72" s="54">
        <v>153892.34</v>
      </c>
      <c r="G72" s="54">
        <f>+F72+N72</f>
        <v>253822.8</v>
      </c>
      <c r="H72" s="54">
        <v>68593.84</v>
      </c>
      <c r="I72" s="54">
        <v>35399.96</v>
      </c>
      <c r="J72" s="54">
        <f>+E72-G72</f>
        <v>112523.20000000001</v>
      </c>
      <c r="K72" s="54">
        <f>+D72-G72</f>
        <v>112523.20000000001</v>
      </c>
      <c r="L72" s="123">
        <f>+G72*100/E72</f>
        <v>69.284992875587562</v>
      </c>
      <c r="N72" s="29">
        <f>99960.46-30</f>
        <v>99930.46</v>
      </c>
    </row>
    <row r="73" spans="1:17">
      <c r="A73" s="61">
        <v>170</v>
      </c>
      <c r="B73" s="70" t="s">
        <v>334</v>
      </c>
      <c r="C73" s="57">
        <f>SUM(C74:C75)</f>
        <v>305833</v>
      </c>
      <c r="D73" s="57">
        <f>+D74+D75</f>
        <v>114855</v>
      </c>
      <c r="E73" s="57">
        <f>SUM(E74:E75)</f>
        <v>89122</v>
      </c>
      <c r="F73" s="57">
        <v>7186.82</v>
      </c>
      <c r="G73" s="57">
        <f>+N73+F73</f>
        <v>42281.98</v>
      </c>
      <c r="H73" s="57">
        <f>+H75</f>
        <v>40183.86</v>
      </c>
      <c r="I73" s="57">
        <f>+I75</f>
        <v>11324.72</v>
      </c>
      <c r="J73" s="57">
        <f>+E73-G73</f>
        <v>46840.02</v>
      </c>
      <c r="K73" s="57">
        <f>+D73-G73</f>
        <v>72573.01999999999</v>
      </c>
      <c r="L73" s="122">
        <f>+G73*100/E73</f>
        <v>47.442808734094839</v>
      </c>
      <c r="N73" s="473">
        <f>+N75</f>
        <v>35095.160000000003</v>
      </c>
    </row>
    <row r="74" spans="1:17">
      <c r="A74" s="132">
        <v>171</v>
      </c>
      <c r="B74" s="133" t="s">
        <v>441</v>
      </c>
      <c r="C74" s="54">
        <v>137125</v>
      </c>
      <c r="D74" s="54">
        <v>17425</v>
      </c>
      <c r="E74" s="54">
        <v>17425</v>
      </c>
      <c r="F74" s="57"/>
      <c r="G74" s="57"/>
      <c r="H74" s="57"/>
      <c r="I74" s="57"/>
      <c r="J74" s="57"/>
      <c r="K74" s="57"/>
      <c r="L74" s="122"/>
      <c r="N74" s="29"/>
    </row>
    <row r="75" spans="1:17" ht="15" customHeight="1">
      <c r="A75" s="52" t="s">
        <v>174</v>
      </c>
      <c r="B75" s="53" t="s">
        <v>175</v>
      </c>
      <c r="C75" s="54">
        <v>168708</v>
      </c>
      <c r="D75" s="54">
        <v>97430</v>
      </c>
      <c r="E75" s="54">
        <v>71697</v>
      </c>
      <c r="F75" s="54">
        <v>7186.82</v>
      </c>
      <c r="G75" s="54">
        <f t="shared" ref="G75:G77" si="21">+N75+F75</f>
        <v>42281.98</v>
      </c>
      <c r="H75" s="54">
        <v>40183.86</v>
      </c>
      <c r="I75" s="54">
        <v>11324.72</v>
      </c>
      <c r="J75" s="54">
        <f t="shared" ref="J75:J83" si="22">+E75-G75</f>
        <v>29415.019999999997</v>
      </c>
      <c r="K75" s="54">
        <f t="shared" ref="K75:K83" si="23">+D75-G75</f>
        <v>55148.02</v>
      </c>
      <c r="L75" s="123">
        <f>+G75*100/E75</f>
        <v>58.973150898921851</v>
      </c>
      <c r="N75" s="29">
        <v>35095.160000000003</v>
      </c>
    </row>
    <row r="76" spans="1:17">
      <c r="A76" s="60" t="s">
        <v>176</v>
      </c>
      <c r="B76" s="57" t="s">
        <v>177</v>
      </c>
      <c r="C76" s="57">
        <f>SUM(C77:C82)</f>
        <v>1009621</v>
      </c>
      <c r="D76" s="57">
        <f>SUM(D77:D82)</f>
        <v>693915</v>
      </c>
      <c r="E76" s="57">
        <f>SUM(E77:E82)</f>
        <v>693915</v>
      </c>
      <c r="F76" s="57">
        <v>69785.460000000006</v>
      </c>
      <c r="G76" s="57">
        <f t="shared" si="21"/>
        <v>399242.18</v>
      </c>
      <c r="H76" s="57">
        <f t="shared" ref="H76" si="24">SUM(H77:H82)</f>
        <v>181275.09</v>
      </c>
      <c r="I76" s="57">
        <f t="shared" ref="I76" si="25">SUM(I77:I82)</f>
        <v>104748.95999999999</v>
      </c>
      <c r="J76" s="57">
        <f t="shared" si="22"/>
        <v>294672.82</v>
      </c>
      <c r="K76" s="57">
        <f t="shared" si="23"/>
        <v>294672.82</v>
      </c>
      <c r="L76" s="122">
        <f>+G76*100/E76</f>
        <v>57.534738404559633</v>
      </c>
      <c r="M76" s="5"/>
      <c r="N76" s="473">
        <f>SUM(N78:N82)</f>
        <v>329456.71999999997</v>
      </c>
      <c r="P76" s="29"/>
    </row>
    <row r="77" spans="1:17" ht="14.25" customHeight="1">
      <c r="A77" s="52">
        <v>181</v>
      </c>
      <c r="B77" s="54" t="s">
        <v>178</v>
      </c>
      <c r="C77" s="54">
        <v>150000</v>
      </c>
      <c r="D77" s="54">
        <f>22700-3900+3900+2000</f>
        <v>24700</v>
      </c>
      <c r="E77" s="54">
        <v>24700</v>
      </c>
      <c r="F77" s="54">
        <v>1444.5</v>
      </c>
      <c r="G77" s="54">
        <f t="shared" si="21"/>
        <v>1444.5</v>
      </c>
      <c r="H77" s="54"/>
      <c r="I77" s="54">
        <v>0</v>
      </c>
      <c r="J77" s="54">
        <f t="shared" si="22"/>
        <v>23255.5</v>
      </c>
      <c r="K77" s="54">
        <f t="shared" si="23"/>
        <v>23255.5</v>
      </c>
      <c r="L77" s="123" t="s">
        <v>6</v>
      </c>
      <c r="N77" s="29">
        <v>0</v>
      </c>
    </row>
    <row r="78" spans="1:17" ht="14.25" customHeight="1">
      <c r="A78" s="59" t="s">
        <v>179</v>
      </c>
      <c r="B78" s="54" t="s">
        <v>321</v>
      </c>
      <c r="C78" s="54">
        <v>370682</v>
      </c>
      <c r="D78" s="54">
        <f>175582+17100+3200-16500+3000-5141</f>
        <v>177241</v>
      </c>
      <c r="E78" s="54">
        <v>177241</v>
      </c>
      <c r="F78" s="54">
        <v>24260.3</v>
      </c>
      <c r="G78" s="54">
        <f>+N78+F78</f>
        <v>134810.25999999998</v>
      </c>
      <c r="H78" s="54">
        <v>56048.4</v>
      </c>
      <c r="I78" s="54">
        <v>37983.800000000003</v>
      </c>
      <c r="J78" s="54">
        <f t="shared" si="22"/>
        <v>42430.74000000002</v>
      </c>
      <c r="K78" s="54">
        <f t="shared" si="23"/>
        <v>42430.74000000002</v>
      </c>
      <c r="L78" s="123">
        <f>+G78*100/E78</f>
        <v>76.060426199355675</v>
      </c>
      <c r="N78" s="29">
        <v>110549.95999999999</v>
      </c>
    </row>
    <row r="79" spans="1:17" ht="12.75" customHeight="1">
      <c r="A79" s="52">
        <v>183</v>
      </c>
      <c r="B79" s="54" t="s">
        <v>322</v>
      </c>
      <c r="C79" s="54">
        <v>25883</v>
      </c>
      <c r="D79" s="54">
        <f>2883</f>
        <v>2883</v>
      </c>
      <c r="E79" s="54">
        <v>2883</v>
      </c>
      <c r="F79" s="54"/>
      <c r="G79" s="54">
        <f t="shared" ref="G79:G80" si="26">+N79+F79</f>
        <v>0</v>
      </c>
      <c r="H79" s="54"/>
      <c r="I79" s="54">
        <v>0</v>
      </c>
      <c r="J79" s="54">
        <f t="shared" si="22"/>
        <v>2883</v>
      </c>
      <c r="K79" s="54">
        <f t="shared" si="23"/>
        <v>2883</v>
      </c>
      <c r="L79" s="123">
        <f t="shared" ref="L79:L82" si="27">+G79*100/E79</f>
        <v>0</v>
      </c>
      <c r="N79" s="29">
        <v>0</v>
      </c>
    </row>
    <row r="80" spans="1:17" ht="12" customHeight="1">
      <c r="A80" s="52">
        <v>184</v>
      </c>
      <c r="B80" s="54" t="s">
        <v>323</v>
      </c>
      <c r="C80" s="54">
        <v>58665</v>
      </c>
      <c r="D80" s="54">
        <f>865+7000-6800</f>
        <v>1065</v>
      </c>
      <c r="E80" s="54">
        <v>1065</v>
      </c>
      <c r="F80" s="54"/>
      <c r="G80" s="54">
        <f t="shared" si="26"/>
        <v>0</v>
      </c>
      <c r="H80" s="54"/>
      <c r="I80" s="54">
        <v>0</v>
      </c>
      <c r="J80" s="54">
        <f t="shared" si="22"/>
        <v>1065</v>
      </c>
      <c r="K80" s="54">
        <f t="shared" si="23"/>
        <v>1065</v>
      </c>
      <c r="L80" s="123">
        <f t="shared" si="27"/>
        <v>0</v>
      </c>
      <c r="N80" s="29">
        <v>0</v>
      </c>
    </row>
    <row r="81" spans="1:18" ht="12.75" customHeight="1">
      <c r="A81" s="52">
        <v>185</v>
      </c>
      <c r="B81" s="54" t="s">
        <v>330</v>
      </c>
      <c r="C81" s="54">
        <v>24831</v>
      </c>
      <c r="D81" s="54">
        <f>38430+4701</f>
        <v>43131</v>
      </c>
      <c r="E81" s="54">
        <f>38430+4701</f>
        <v>43131</v>
      </c>
      <c r="F81" s="54">
        <v>0</v>
      </c>
      <c r="G81" s="54">
        <f>+N81+F81</f>
        <v>32620.86</v>
      </c>
      <c r="H81" s="54">
        <v>9665.8799999999992</v>
      </c>
      <c r="I81" s="54">
        <v>4579.6000000000004</v>
      </c>
      <c r="J81" s="54">
        <f t="shared" si="22"/>
        <v>10510.14</v>
      </c>
      <c r="K81" s="54">
        <f t="shared" si="23"/>
        <v>10510.14</v>
      </c>
      <c r="L81" s="123">
        <f t="shared" si="27"/>
        <v>75.632051192877512</v>
      </c>
      <c r="N81" s="29">
        <v>32620.86</v>
      </c>
    </row>
    <row r="82" spans="1:18" ht="15.75" customHeight="1">
      <c r="A82" s="52">
        <v>189</v>
      </c>
      <c r="B82" s="53" t="s">
        <v>180</v>
      </c>
      <c r="C82" s="54">
        <v>379560</v>
      </c>
      <c r="D82" s="54">
        <f>587275+53408+1120-881-200+6173-150000-50000-70000-32000-50000+150000</f>
        <v>444895</v>
      </c>
      <c r="E82" s="54">
        <f>294895+150000</f>
        <v>444895</v>
      </c>
      <c r="F82" s="54">
        <v>44080.66</v>
      </c>
      <c r="G82" s="537">
        <f>+F82+N82</f>
        <v>230366.56</v>
      </c>
      <c r="H82" s="54">
        <v>115560.81</v>
      </c>
      <c r="I82" s="54">
        <v>62185.56</v>
      </c>
      <c r="J82" s="54">
        <f t="shared" si="22"/>
        <v>214528.44</v>
      </c>
      <c r="K82" s="54">
        <f t="shared" si="23"/>
        <v>214528.44</v>
      </c>
      <c r="L82" s="123">
        <f t="shared" si="27"/>
        <v>51.779984041178253</v>
      </c>
      <c r="N82" s="29">
        <f>186296.6-10.7</f>
        <v>186285.9</v>
      </c>
    </row>
    <row r="83" spans="1:18" ht="12" customHeight="1">
      <c r="A83" s="62">
        <v>190</v>
      </c>
      <c r="B83" s="56" t="s">
        <v>372</v>
      </c>
      <c r="C83" s="57">
        <f>+C85+C89</f>
        <v>0</v>
      </c>
      <c r="D83" s="57">
        <f>SUM(D84:D92)</f>
        <v>149480</v>
      </c>
      <c r="E83" s="57">
        <f>SUM(E84:E92)</f>
        <v>149480</v>
      </c>
      <c r="F83" s="57">
        <v>28159.46</v>
      </c>
      <c r="G83" s="57">
        <f>N83+F83</f>
        <v>106574.76999999999</v>
      </c>
      <c r="H83" s="57">
        <f>SUM(H85:H92)</f>
        <v>68135.070000000007</v>
      </c>
      <c r="I83" s="57">
        <f>SUM(I84:I92)</f>
        <v>65545.679999999993</v>
      </c>
      <c r="J83" s="57">
        <f t="shared" si="22"/>
        <v>42905.23000000001</v>
      </c>
      <c r="K83" s="57">
        <f t="shared" si="23"/>
        <v>42905.23000000001</v>
      </c>
      <c r="L83" s="122">
        <f>+G83*100/E83</f>
        <v>71.29700963339576</v>
      </c>
      <c r="N83" s="473">
        <f>SUM(N85:N92)</f>
        <v>78415.31</v>
      </c>
    </row>
    <row r="84" spans="1:18" ht="0.75" customHeight="1">
      <c r="A84" s="63">
        <v>191</v>
      </c>
      <c r="B84" s="53" t="s">
        <v>380</v>
      </c>
      <c r="C84" s="57"/>
      <c r="D84" s="54">
        <f>SUM(C84:C84)</f>
        <v>0</v>
      </c>
      <c r="E84" s="54">
        <v>0</v>
      </c>
      <c r="F84" s="57">
        <v>0</v>
      </c>
      <c r="G84" s="54">
        <f>+N84+F84</f>
        <v>0</v>
      </c>
      <c r="H84" s="54"/>
      <c r="I84" s="54"/>
      <c r="J84" s="57"/>
      <c r="K84" s="57"/>
      <c r="L84" s="123"/>
      <c r="N84" s="29">
        <v>0</v>
      </c>
    </row>
    <row r="85" spans="1:18" ht="12" customHeight="1">
      <c r="A85" s="63">
        <v>192</v>
      </c>
      <c r="B85" s="53" t="s">
        <v>373</v>
      </c>
      <c r="C85" s="54"/>
      <c r="D85" s="54">
        <v>10950</v>
      </c>
      <c r="E85" s="54">
        <v>10950</v>
      </c>
      <c r="F85" s="54">
        <v>0</v>
      </c>
      <c r="G85" s="54">
        <f>+N85+F85</f>
        <v>5005.4799999999996</v>
      </c>
      <c r="H85" s="54">
        <v>1733.4</v>
      </c>
      <c r="I85" s="54">
        <v>287.83999999999997</v>
      </c>
      <c r="J85" s="54">
        <f>+E85-G85</f>
        <v>5944.52</v>
      </c>
      <c r="K85" s="54">
        <f>+D85-G85</f>
        <v>5944.52</v>
      </c>
      <c r="L85" s="123">
        <f>+G85*100/E85</f>
        <v>45.712146118721456</v>
      </c>
      <c r="N85" s="29">
        <v>5005.4799999999996</v>
      </c>
    </row>
    <row r="86" spans="1:18" ht="17.25" hidden="1" customHeight="1">
      <c r="A86" s="63">
        <v>193</v>
      </c>
      <c r="B86" s="53" t="s">
        <v>381</v>
      </c>
      <c r="C86" s="54"/>
      <c r="D86" s="54"/>
      <c r="E86" s="54">
        <v>0</v>
      </c>
      <c r="F86" s="54"/>
      <c r="G86" s="54"/>
      <c r="H86" s="54"/>
      <c r="I86" s="54"/>
      <c r="J86" s="54">
        <f>+E86-G86</f>
        <v>0</v>
      </c>
      <c r="K86" s="54">
        <f>+D86-G86</f>
        <v>0</v>
      </c>
      <c r="L86" s="123" t="s">
        <v>6</v>
      </c>
      <c r="N86" s="29"/>
    </row>
    <row r="87" spans="1:18" ht="13.5" customHeight="1">
      <c r="A87" s="63">
        <v>194</v>
      </c>
      <c r="B87" s="53" t="s">
        <v>476</v>
      </c>
      <c r="C87" s="54"/>
      <c r="D87" s="54">
        <v>100</v>
      </c>
      <c r="E87" s="54">
        <v>100</v>
      </c>
      <c r="F87" s="54">
        <v>0</v>
      </c>
      <c r="G87" s="54">
        <f>+F87+N87</f>
        <v>64.2</v>
      </c>
      <c r="H87" s="54"/>
      <c r="I87" s="54">
        <v>64.2</v>
      </c>
      <c r="J87" s="54">
        <f>+E87-G87</f>
        <v>35.799999999999997</v>
      </c>
      <c r="K87" s="54"/>
      <c r="L87" s="123">
        <f>+G87*100/E87</f>
        <v>64.2</v>
      </c>
      <c r="N87" s="29">
        <v>64.2</v>
      </c>
    </row>
    <row r="88" spans="1:18" ht="13.5" customHeight="1">
      <c r="A88" s="63">
        <v>195</v>
      </c>
      <c r="B88" s="53" t="s">
        <v>382</v>
      </c>
      <c r="C88" s="54"/>
      <c r="D88" s="54">
        <f>4500-1000</f>
        <v>3500</v>
      </c>
      <c r="E88" s="54">
        <v>3500</v>
      </c>
      <c r="F88" s="54">
        <v>28</v>
      </c>
      <c r="G88" s="54">
        <f t="shared" ref="G88" si="28">N88+F88</f>
        <v>1382</v>
      </c>
      <c r="H88" s="54">
        <v>1382</v>
      </c>
      <c r="I88" s="54">
        <v>1350</v>
      </c>
      <c r="J88" s="54"/>
      <c r="K88" s="54"/>
      <c r="L88" s="123">
        <f>+G88*100/E88</f>
        <v>39.485714285714288</v>
      </c>
      <c r="N88" s="29">
        <v>1354</v>
      </c>
    </row>
    <row r="89" spans="1:18" ht="13.5" customHeight="1">
      <c r="A89" s="63">
        <v>196</v>
      </c>
      <c r="B89" s="53" t="s">
        <v>374</v>
      </c>
      <c r="C89" s="54"/>
      <c r="D89" s="54">
        <v>19800</v>
      </c>
      <c r="E89" s="54">
        <v>19800</v>
      </c>
      <c r="F89" s="54">
        <v>4272.8999999999996</v>
      </c>
      <c r="G89" s="54">
        <f>+F89+N89</f>
        <v>17138.010000000002</v>
      </c>
      <c r="H89" s="54">
        <v>14793.11</v>
      </c>
      <c r="I89" s="54">
        <v>14721.11</v>
      </c>
      <c r="J89" s="54">
        <f>+E89-G89</f>
        <v>2661.989999999998</v>
      </c>
      <c r="K89" s="54">
        <f>+D89-G89</f>
        <v>2661.989999999998</v>
      </c>
      <c r="L89" s="123">
        <f>+G89*100/E89</f>
        <v>86.555606060606067</v>
      </c>
      <c r="N89" s="29">
        <f>12759.11+106</f>
        <v>12865.11</v>
      </c>
    </row>
    <row r="90" spans="1:18" ht="14.25" customHeight="1">
      <c r="A90" s="63">
        <v>197</v>
      </c>
      <c r="B90" s="53" t="s">
        <v>383</v>
      </c>
      <c r="C90" s="54"/>
      <c r="D90" s="54">
        <v>61640</v>
      </c>
      <c r="E90" s="54">
        <v>61640</v>
      </c>
      <c r="F90" s="54">
        <v>20707.21</v>
      </c>
      <c r="G90" s="54">
        <f>N90+F90</f>
        <v>31841.040000000001</v>
      </c>
      <c r="H90" s="54">
        <v>10153.83</v>
      </c>
      <c r="I90" s="54">
        <v>10548</v>
      </c>
      <c r="J90" s="54">
        <f>+E90-G90</f>
        <v>29798.959999999999</v>
      </c>
      <c r="K90" s="54">
        <f>+D90-G90</f>
        <v>29798.959999999999</v>
      </c>
      <c r="L90" s="123">
        <f t="shared" ref="L90:L92" si="29">+G90*100/E90</f>
        <v>51.656456846203767</v>
      </c>
      <c r="N90" s="29">
        <v>11133.83</v>
      </c>
    </row>
    <row r="91" spans="1:18" ht="17.25" hidden="1" customHeight="1">
      <c r="A91" s="63">
        <v>198</v>
      </c>
      <c r="B91" s="53" t="s">
        <v>381</v>
      </c>
      <c r="C91" s="66"/>
      <c r="D91" s="54"/>
      <c r="E91" s="54"/>
      <c r="F91" s="54"/>
      <c r="G91" s="54"/>
      <c r="H91" s="54"/>
      <c r="I91" s="54"/>
      <c r="J91" s="54">
        <f>+E91-G91</f>
        <v>0</v>
      </c>
      <c r="K91" s="54"/>
      <c r="L91" s="123" t="e">
        <f t="shared" si="29"/>
        <v>#DIV/0!</v>
      </c>
      <c r="N91" s="29"/>
    </row>
    <row r="92" spans="1:18" ht="13.5" customHeight="1">
      <c r="A92" s="64">
        <v>199</v>
      </c>
      <c r="B92" s="71" t="s">
        <v>384</v>
      </c>
      <c r="C92" s="72"/>
      <c r="D92" s="54">
        <f>52270+1220</f>
        <v>53490</v>
      </c>
      <c r="E92" s="54">
        <v>53490</v>
      </c>
      <c r="F92" s="54">
        <v>3151.35</v>
      </c>
      <c r="G92" s="54">
        <f>N92+F92</f>
        <v>51144.04</v>
      </c>
      <c r="H92" s="54">
        <v>40072.730000000003</v>
      </c>
      <c r="I92" s="54">
        <v>38574.53</v>
      </c>
      <c r="J92" s="54">
        <f>+E92-G92</f>
        <v>2345.9599999999991</v>
      </c>
      <c r="K92" s="54">
        <f>+D92-G92</f>
        <v>2345.9599999999991</v>
      </c>
      <c r="L92" s="123">
        <f t="shared" si="29"/>
        <v>95.614208263226772</v>
      </c>
      <c r="N92" s="29">
        <v>47992.69</v>
      </c>
    </row>
    <row r="93" spans="1:18" ht="15" customHeight="1" thickBot="1">
      <c r="A93" s="63"/>
      <c r="B93" s="73"/>
      <c r="C93" s="74"/>
      <c r="D93" s="74"/>
      <c r="E93" s="74"/>
      <c r="F93" s="74"/>
      <c r="G93" s="74"/>
      <c r="H93" s="74"/>
      <c r="I93" s="74"/>
      <c r="J93" s="74"/>
      <c r="K93" s="74"/>
      <c r="L93" s="123"/>
      <c r="N93" s="29"/>
    </row>
    <row r="94" spans="1:18" ht="15.75" customHeight="1" thickBot="1">
      <c r="A94" s="92" t="s">
        <v>182</v>
      </c>
      <c r="B94" s="92" t="s">
        <v>183</v>
      </c>
      <c r="C94" s="93">
        <f t="shared" ref="C94:H94" si="30">+C95+C98+C104+C110+C114+C120+C128+C134+C143+C144</f>
        <v>3042561</v>
      </c>
      <c r="D94" s="93">
        <f>+D95+D98+D104+D110+D114+D120+D128+D134+D143+D144</f>
        <v>4235755</v>
      </c>
      <c r="E94" s="93">
        <f t="shared" si="30"/>
        <v>4229398</v>
      </c>
      <c r="F94" s="540">
        <v>513524.36</v>
      </c>
      <c r="G94" s="540">
        <f>+F94+N94</f>
        <v>2769992.36</v>
      </c>
      <c r="H94" s="93">
        <f t="shared" si="30"/>
        <v>1617123.36</v>
      </c>
      <c r="I94" s="93">
        <f>+I95+I98+I104+I110+I114+I120+I128+I134+I143+I144+1</f>
        <v>1129859.28</v>
      </c>
      <c r="J94" s="94">
        <f>+E94-G94+1</f>
        <v>1459406.6400000001</v>
      </c>
      <c r="K94" s="93">
        <f t="shared" ref="K94:K125" si="31">+D94-G94</f>
        <v>1465762.6400000001</v>
      </c>
      <c r="L94" s="124">
        <f t="shared" ref="L94:L116" si="32">+G94*100/E94</f>
        <v>65.493773818401579</v>
      </c>
      <c r="N94" s="29">
        <v>2256468</v>
      </c>
      <c r="O94" s="29"/>
      <c r="P94" s="29"/>
      <c r="Q94" s="1"/>
    </row>
    <row r="95" spans="1:18" ht="16.5" customHeight="1">
      <c r="A95" s="65" t="s">
        <v>184</v>
      </c>
      <c r="B95" s="98" t="s">
        <v>185</v>
      </c>
      <c r="C95" s="99">
        <f>SUM(C96:C97)</f>
        <v>185018</v>
      </c>
      <c r="D95" s="99">
        <f>SUM(D96:D97)</f>
        <v>121226</v>
      </c>
      <c r="E95" s="106">
        <f>SUM(E96:E97)</f>
        <v>121226</v>
      </c>
      <c r="F95" s="75">
        <v>14333.87</v>
      </c>
      <c r="G95" s="76">
        <f>N95+F95</f>
        <v>51849.48</v>
      </c>
      <c r="H95" s="99">
        <f t="shared" ref="H95" si="33">SUM(H96:H97)</f>
        <v>40257.839999999997</v>
      </c>
      <c r="I95" s="99">
        <f>SUM(I96:I97)</f>
        <v>35728.910000000003</v>
      </c>
      <c r="J95" s="76">
        <f t="shared" ref="J95:J102" si="34">+E95-G95</f>
        <v>69376.51999999999</v>
      </c>
      <c r="K95" s="99">
        <f t="shared" si="31"/>
        <v>69376.51999999999</v>
      </c>
      <c r="L95" s="125">
        <f t="shared" si="32"/>
        <v>42.770923729233004</v>
      </c>
      <c r="N95" s="473">
        <f>SUM(N96:N97)</f>
        <v>37515.61</v>
      </c>
      <c r="O95" s="29"/>
      <c r="P95" s="532"/>
      <c r="R95" t="s">
        <v>6</v>
      </c>
    </row>
    <row r="96" spans="1:18" ht="13.5" customHeight="1">
      <c r="A96" s="66" t="s">
        <v>186</v>
      </c>
      <c r="B96" s="78" t="s">
        <v>187</v>
      </c>
      <c r="C96" s="78">
        <v>168849</v>
      </c>
      <c r="D96" s="78">
        <f>64555+14294+40000-15292</f>
        <v>103557</v>
      </c>
      <c r="E96" s="66">
        <v>103557</v>
      </c>
      <c r="F96" s="541">
        <v>13164.1</v>
      </c>
      <c r="G96" s="54">
        <f>+N96+F96</f>
        <v>42637.39</v>
      </c>
      <c r="H96" s="54">
        <v>32007.51</v>
      </c>
      <c r="I96" s="78">
        <v>29067.98</v>
      </c>
      <c r="J96" s="54">
        <f t="shared" si="34"/>
        <v>60919.61</v>
      </c>
      <c r="K96" s="78">
        <f t="shared" si="31"/>
        <v>60919.61</v>
      </c>
      <c r="L96" s="126">
        <f t="shared" si="32"/>
        <v>41.172870979267458</v>
      </c>
      <c r="N96" s="29">
        <f>29387.29+86</f>
        <v>29473.29</v>
      </c>
    </row>
    <row r="97" spans="1:17" ht="13.5" customHeight="1">
      <c r="A97" s="63" t="s">
        <v>188</v>
      </c>
      <c r="B97" s="101" t="s">
        <v>189</v>
      </c>
      <c r="C97" s="78">
        <v>16169</v>
      </c>
      <c r="D97" s="78">
        <f>14169+3500</f>
        <v>17669</v>
      </c>
      <c r="E97" s="66">
        <v>17669</v>
      </c>
      <c r="F97" s="541">
        <v>1169.77</v>
      </c>
      <c r="G97" s="54">
        <f>+N97+F97</f>
        <v>9212.09</v>
      </c>
      <c r="H97" s="54">
        <v>8250.33</v>
      </c>
      <c r="I97" s="78">
        <v>6660.93</v>
      </c>
      <c r="J97" s="54">
        <f t="shared" si="34"/>
        <v>8456.91</v>
      </c>
      <c r="K97" s="78">
        <f t="shared" si="31"/>
        <v>8456.91</v>
      </c>
      <c r="L97" s="126">
        <f t="shared" si="32"/>
        <v>52.137019638915618</v>
      </c>
      <c r="N97" s="29">
        <v>8042.32</v>
      </c>
      <c r="O97" s="29"/>
      <c r="P97" s="29"/>
    </row>
    <row r="98" spans="1:17">
      <c r="A98" s="67" t="s">
        <v>190</v>
      </c>
      <c r="B98" s="86" t="s">
        <v>191</v>
      </c>
      <c r="C98" s="86">
        <f>SUM(C99:C103)</f>
        <v>196410</v>
      </c>
      <c r="D98" s="86">
        <f>SUM(D99:D103)</f>
        <v>340060</v>
      </c>
      <c r="E98" s="533">
        <f>SUM(E99:E103)</f>
        <v>340060</v>
      </c>
      <c r="F98" s="77">
        <v>13361.24</v>
      </c>
      <c r="G98" s="57">
        <f>+N98+F98</f>
        <v>213698.72999999998</v>
      </c>
      <c r="H98" s="77">
        <f>SUM(H99:H103)</f>
        <v>95166.95</v>
      </c>
      <c r="I98" s="77">
        <f t="shared" ref="I98" si="35">SUM(I99:I103)</f>
        <v>64790.53</v>
      </c>
      <c r="J98" s="57">
        <f t="shared" si="34"/>
        <v>126361.27000000002</v>
      </c>
      <c r="K98" s="86">
        <f t="shared" si="31"/>
        <v>126361.27000000002</v>
      </c>
      <c r="L98" s="126">
        <f t="shared" si="32"/>
        <v>62.84147797447509</v>
      </c>
      <c r="N98" s="473">
        <f>SUM(N99:N103)</f>
        <v>200337.49</v>
      </c>
    </row>
    <row r="99" spans="1:17" ht="12" customHeight="1">
      <c r="A99" s="66" t="s">
        <v>192</v>
      </c>
      <c r="B99" s="78" t="s">
        <v>193</v>
      </c>
      <c r="C99" s="78">
        <v>32960</v>
      </c>
      <c r="D99" s="78">
        <f>39160+3000+4500</f>
        <v>46660</v>
      </c>
      <c r="E99" s="66">
        <v>46660</v>
      </c>
      <c r="F99" s="541">
        <v>1276.52</v>
      </c>
      <c r="G99" s="54">
        <f t="shared" ref="G99:G126" si="36">+N99+F99</f>
        <v>32292.78</v>
      </c>
      <c r="H99" s="54">
        <v>28532.85</v>
      </c>
      <c r="I99" s="78">
        <v>25060.02</v>
      </c>
      <c r="J99" s="54">
        <f t="shared" si="34"/>
        <v>14367.220000000001</v>
      </c>
      <c r="K99" s="78">
        <f t="shared" si="31"/>
        <v>14367.220000000001</v>
      </c>
      <c r="L99" s="126">
        <f t="shared" si="32"/>
        <v>69.208701243034724</v>
      </c>
      <c r="N99" s="29">
        <v>31016.26</v>
      </c>
    </row>
    <row r="100" spans="1:17" ht="12" customHeight="1">
      <c r="A100" s="63" t="s">
        <v>194</v>
      </c>
      <c r="B100" s="101" t="s">
        <v>195</v>
      </c>
      <c r="C100" s="78">
        <v>37749</v>
      </c>
      <c r="D100" s="78">
        <f>73349-13200</f>
        <v>60149</v>
      </c>
      <c r="E100" s="66">
        <v>60149</v>
      </c>
      <c r="F100" s="541">
        <v>60.81</v>
      </c>
      <c r="G100" s="54">
        <f t="shared" si="36"/>
        <v>28374.48</v>
      </c>
      <c r="H100" s="54">
        <v>28374.48</v>
      </c>
      <c r="I100" s="78">
        <v>6978.14</v>
      </c>
      <c r="J100" s="54">
        <f t="shared" si="34"/>
        <v>31774.52</v>
      </c>
      <c r="K100" s="78">
        <f t="shared" si="31"/>
        <v>31774.52</v>
      </c>
      <c r="L100" s="126">
        <f t="shared" si="32"/>
        <v>47.173652097291729</v>
      </c>
      <c r="N100" s="29">
        <v>28313.67</v>
      </c>
    </row>
    <row r="101" spans="1:17" ht="12" customHeight="1">
      <c r="A101" s="63" t="s">
        <v>196</v>
      </c>
      <c r="B101" s="101" t="s">
        <v>197</v>
      </c>
      <c r="C101" s="78">
        <v>40776</v>
      </c>
      <c r="D101" s="78">
        <f>9776+4100</f>
        <v>13876</v>
      </c>
      <c r="E101" s="66">
        <v>13876</v>
      </c>
      <c r="F101" s="541">
        <v>21.33</v>
      </c>
      <c r="G101" s="54">
        <f t="shared" si="36"/>
        <v>8999.5499999999993</v>
      </c>
      <c r="H101" s="54">
        <v>8978.15</v>
      </c>
      <c r="I101" s="78">
        <v>8978.15</v>
      </c>
      <c r="J101" s="54">
        <f t="shared" si="34"/>
        <v>4876.4500000000007</v>
      </c>
      <c r="K101" s="78">
        <f t="shared" si="31"/>
        <v>4876.4500000000007</v>
      </c>
      <c r="L101" s="126">
        <f t="shared" si="32"/>
        <v>64.856947247045255</v>
      </c>
      <c r="N101" s="29">
        <v>8978.2199999999993</v>
      </c>
    </row>
    <row r="102" spans="1:17" ht="13.5" customHeight="1">
      <c r="A102" s="63" t="s">
        <v>198</v>
      </c>
      <c r="B102" s="101" t="s">
        <v>199</v>
      </c>
      <c r="C102" s="78">
        <v>81833</v>
      </c>
      <c r="D102" s="78">
        <f>257714+24519+850-78000</f>
        <v>205083</v>
      </c>
      <c r="E102" s="66">
        <v>205083</v>
      </c>
      <c r="F102" s="541">
        <v>9921.43</v>
      </c>
      <c r="G102" s="54">
        <f t="shared" si="36"/>
        <v>132277.97</v>
      </c>
      <c r="H102" s="54">
        <v>19608.669999999998</v>
      </c>
      <c r="I102" s="78">
        <v>14609.67</v>
      </c>
      <c r="J102" s="54">
        <f t="shared" si="34"/>
        <v>72805.03</v>
      </c>
      <c r="K102" s="78">
        <f t="shared" si="31"/>
        <v>72805.03</v>
      </c>
      <c r="L102" s="126">
        <f t="shared" si="32"/>
        <v>64.499724501787085</v>
      </c>
      <c r="N102" s="29">
        <v>122356.54000000001</v>
      </c>
    </row>
    <row r="103" spans="1:17" ht="13.5" customHeight="1">
      <c r="A103" s="63" t="s">
        <v>200</v>
      </c>
      <c r="B103" s="101" t="s">
        <v>201</v>
      </c>
      <c r="C103" s="54">
        <v>3092</v>
      </c>
      <c r="D103" s="54">
        <f>13145+1147</f>
        <v>14292</v>
      </c>
      <c r="E103" s="59">
        <v>14292</v>
      </c>
      <c r="F103" s="541">
        <v>2081.15</v>
      </c>
      <c r="G103" s="54">
        <f t="shared" si="36"/>
        <v>11753.95</v>
      </c>
      <c r="H103" s="54">
        <v>9672.7999999999993</v>
      </c>
      <c r="I103" s="78">
        <v>9164.5499999999993</v>
      </c>
      <c r="J103" s="54" t="s">
        <v>6</v>
      </c>
      <c r="K103" s="78">
        <f t="shared" si="31"/>
        <v>2538.0499999999993</v>
      </c>
      <c r="L103" s="126">
        <f t="shared" si="32"/>
        <v>82.241463755947379</v>
      </c>
      <c r="N103" s="29">
        <v>9672.8000000000011</v>
      </c>
    </row>
    <row r="104" spans="1:17" ht="20.25" customHeight="1">
      <c r="A104" s="68" t="s">
        <v>202</v>
      </c>
      <c r="B104" s="99" t="s">
        <v>203</v>
      </c>
      <c r="C104" s="99">
        <f>SUM(C105:C109)</f>
        <v>361282</v>
      </c>
      <c r="D104" s="99">
        <f>SUM(D105:D109)</f>
        <v>437432</v>
      </c>
      <c r="E104" s="106">
        <f>SUM(E105:E109)</f>
        <v>437432</v>
      </c>
      <c r="F104" s="75">
        <v>54594.73</v>
      </c>
      <c r="G104" s="75">
        <f>+N104+F104</f>
        <v>277839.48</v>
      </c>
      <c r="H104" s="75">
        <f t="shared" ref="H104" si="37">SUM(H105:H109)</f>
        <v>159760.43000000002</v>
      </c>
      <c r="I104" s="75">
        <f t="shared" ref="I104" si="38">SUM(I105:I109)</f>
        <v>113995.60999999999</v>
      </c>
      <c r="J104" s="76">
        <f>+E104-G104</f>
        <v>159592.52000000002</v>
      </c>
      <c r="K104" s="99">
        <f t="shared" si="31"/>
        <v>159592.52000000002</v>
      </c>
      <c r="L104" s="126">
        <f t="shared" si="32"/>
        <v>63.516039064357429</v>
      </c>
      <c r="M104" s="5"/>
      <c r="N104" s="473">
        <f>SUM(N105:N109)</f>
        <v>223244.75</v>
      </c>
      <c r="O104" s="29"/>
      <c r="P104" s="29"/>
      <c r="Q104" s="29"/>
    </row>
    <row r="105" spans="1:17" ht="12" customHeight="1">
      <c r="A105" s="66" t="s">
        <v>204</v>
      </c>
      <c r="B105" s="78" t="s">
        <v>205</v>
      </c>
      <c r="C105" s="78">
        <v>59850</v>
      </c>
      <c r="D105" s="78">
        <v>207850</v>
      </c>
      <c r="E105" s="104">
        <v>207850</v>
      </c>
      <c r="F105" s="541">
        <v>39420</v>
      </c>
      <c r="G105" s="54">
        <f>+N105+F105</f>
        <v>151607.22999999998</v>
      </c>
      <c r="H105" s="54">
        <v>87062.04</v>
      </c>
      <c r="I105" s="78">
        <v>58549.2</v>
      </c>
      <c r="J105" s="54">
        <f>+E105-G105</f>
        <v>56242.770000000019</v>
      </c>
      <c r="K105" s="78">
        <f t="shared" si="31"/>
        <v>56242.770000000019</v>
      </c>
      <c r="L105" s="126">
        <f t="shared" si="32"/>
        <v>72.940692807312956</v>
      </c>
      <c r="N105" s="29">
        <v>112187.23</v>
      </c>
    </row>
    <row r="106" spans="1:17" ht="12" customHeight="1">
      <c r="A106" s="63">
        <v>222</v>
      </c>
      <c r="B106" s="78" t="s">
        <v>308</v>
      </c>
      <c r="C106" s="78">
        <v>71432</v>
      </c>
      <c r="D106" s="78">
        <f>153432-43850</f>
        <v>109582</v>
      </c>
      <c r="E106" s="66">
        <v>109582</v>
      </c>
      <c r="F106" s="541">
        <v>5354.38</v>
      </c>
      <c r="G106" s="54">
        <f t="shared" si="36"/>
        <v>77839.320000000007</v>
      </c>
      <c r="H106" s="54">
        <v>41171.4</v>
      </c>
      <c r="I106" s="78">
        <v>36960.42</v>
      </c>
      <c r="J106" s="54">
        <v>11127.96</v>
      </c>
      <c r="K106" s="78">
        <f t="shared" si="31"/>
        <v>31742.679999999993</v>
      </c>
      <c r="L106" s="126">
        <f t="shared" si="32"/>
        <v>71.03294336661132</v>
      </c>
      <c r="N106" s="29">
        <v>72484.94</v>
      </c>
    </row>
    <row r="107" spans="1:17" ht="16.149999999999999" customHeight="1">
      <c r="A107" s="63" t="s">
        <v>206</v>
      </c>
      <c r="B107" s="101" t="s">
        <v>207</v>
      </c>
      <c r="C107" s="78">
        <v>150000</v>
      </c>
      <c r="D107" s="78">
        <v>92300</v>
      </c>
      <c r="E107" s="66">
        <v>92300</v>
      </c>
      <c r="F107" s="541">
        <v>7700</v>
      </c>
      <c r="G107" s="54">
        <f t="shared" si="36"/>
        <v>32327.33</v>
      </c>
      <c r="H107" s="54">
        <v>18140.72</v>
      </c>
      <c r="I107" s="78">
        <v>12442.03</v>
      </c>
      <c r="J107" s="54">
        <f t="shared" ref="J107:J126" si="39">+E107-G107</f>
        <v>59972.67</v>
      </c>
      <c r="K107" s="78">
        <f t="shared" si="31"/>
        <v>59972.67</v>
      </c>
      <c r="L107" s="126">
        <f t="shared" si="32"/>
        <v>35.024192849404116</v>
      </c>
      <c r="N107" s="29">
        <v>24627.33</v>
      </c>
    </row>
    <row r="108" spans="1:17" ht="14.25" customHeight="1">
      <c r="A108" s="63" t="s">
        <v>208</v>
      </c>
      <c r="B108" s="101" t="s">
        <v>209</v>
      </c>
      <c r="C108" s="78">
        <v>50000</v>
      </c>
      <c r="D108" s="78">
        <f>13700+4000</f>
        <v>17700</v>
      </c>
      <c r="E108" s="66">
        <v>17700</v>
      </c>
      <c r="F108" s="541">
        <v>1671.27</v>
      </c>
      <c r="G108" s="54">
        <f>+F108+N108</f>
        <v>7994.83</v>
      </c>
      <c r="H108" s="54">
        <v>5726.38</v>
      </c>
      <c r="I108" s="78">
        <v>5125.93</v>
      </c>
      <c r="J108" s="54">
        <f t="shared" si="39"/>
        <v>9705.17</v>
      </c>
      <c r="K108" s="78">
        <f t="shared" si="31"/>
        <v>9705.17</v>
      </c>
      <c r="L108" s="126">
        <f t="shared" si="32"/>
        <v>45.168531073446324</v>
      </c>
      <c r="N108" s="29">
        <f>6368.44-44.88</f>
        <v>6323.5599999999995</v>
      </c>
    </row>
    <row r="109" spans="1:17" ht="14.45" customHeight="1">
      <c r="A109" s="63">
        <v>229</v>
      </c>
      <c r="B109" s="101" t="s">
        <v>210</v>
      </c>
      <c r="C109" s="78">
        <v>30000</v>
      </c>
      <c r="D109" s="78">
        <v>10000</v>
      </c>
      <c r="E109" s="66">
        <v>10000</v>
      </c>
      <c r="F109" s="541">
        <v>449.08</v>
      </c>
      <c r="G109" s="54">
        <f>+F109+N109</f>
        <v>8070.77</v>
      </c>
      <c r="H109" s="54">
        <v>7659.89</v>
      </c>
      <c r="I109" s="78">
        <v>918.03</v>
      </c>
      <c r="J109" s="54">
        <f t="shared" si="39"/>
        <v>1929.2299999999996</v>
      </c>
      <c r="K109" s="78">
        <f t="shared" si="31"/>
        <v>1929.2299999999996</v>
      </c>
      <c r="L109" s="126">
        <f t="shared" si="32"/>
        <v>80.707700000000003</v>
      </c>
      <c r="N109" s="29">
        <f>7659.89-38.2</f>
        <v>7621.6900000000005</v>
      </c>
    </row>
    <row r="110" spans="1:17" ht="16.5" customHeight="1">
      <c r="A110" s="68" t="s">
        <v>211</v>
      </c>
      <c r="B110" s="99" t="s">
        <v>212</v>
      </c>
      <c r="C110" s="99">
        <f>SUM(C111:C113)</f>
        <v>249812</v>
      </c>
      <c r="D110" s="99">
        <f>SUM(D111:D113)</f>
        <v>151730</v>
      </c>
      <c r="E110" s="106">
        <f>SUM(E111:E113)</f>
        <v>151730</v>
      </c>
      <c r="F110" s="75">
        <v>6330.72</v>
      </c>
      <c r="G110" s="57">
        <f>+N110+F110</f>
        <v>72356.45</v>
      </c>
      <c r="H110" s="75">
        <f t="shared" ref="H110" si="40">SUM(H111:H113)</f>
        <v>66062.009999999995</v>
      </c>
      <c r="I110" s="75">
        <f t="shared" ref="I110" si="41">SUM(I111:I113)</f>
        <v>51787.640000000007</v>
      </c>
      <c r="J110" s="76">
        <f t="shared" si="39"/>
        <v>79373.55</v>
      </c>
      <c r="K110" s="99">
        <f t="shared" si="31"/>
        <v>79373.55</v>
      </c>
      <c r="L110" s="125">
        <f t="shared" si="32"/>
        <v>47.687635932248071</v>
      </c>
      <c r="N110" s="473">
        <f>SUM(N111:N113)</f>
        <v>66025.73</v>
      </c>
    </row>
    <row r="111" spans="1:17" ht="12.75" customHeight="1">
      <c r="A111" s="66" t="s">
        <v>213</v>
      </c>
      <c r="B111" s="78" t="s">
        <v>214</v>
      </c>
      <c r="C111" s="78">
        <v>47890</v>
      </c>
      <c r="D111" s="78">
        <f>26140+3500</f>
        <v>29640</v>
      </c>
      <c r="E111" s="66">
        <v>29640</v>
      </c>
      <c r="F111" s="541">
        <v>3274.2</v>
      </c>
      <c r="G111" s="54">
        <f t="shared" si="36"/>
        <v>15520.8</v>
      </c>
      <c r="H111" s="54">
        <v>12246.6</v>
      </c>
      <c r="I111" s="78">
        <v>12246</v>
      </c>
      <c r="J111" s="54">
        <f t="shared" si="39"/>
        <v>14119.2</v>
      </c>
      <c r="K111" s="78">
        <f t="shared" si="31"/>
        <v>14119.2</v>
      </c>
      <c r="L111" s="126">
        <f t="shared" si="32"/>
        <v>52.364372469635626</v>
      </c>
      <c r="N111" s="29">
        <v>12246.599999999999</v>
      </c>
    </row>
    <row r="112" spans="1:17" ht="12.75" customHeight="1">
      <c r="A112" s="63" t="s">
        <v>215</v>
      </c>
      <c r="B112" s="101" t="s">
        <v>216</v>
      </c>
      <c r="C112" s="78">
        <v>137050</v>
      </c>
      <c r="D112" s="78">
        <f>63496+1200+40880-11900</f>
        <v>93676</v>
      </c>
      <c r="E112" s="66">
        <v>93676</v>
      </c>
      <c r="F112" s="541">
        <v>2635.31</v>
      </c>
      <c r="G112" s="54">
        <f t="shared" si="36"/>
        <v>43194.13</v>
      </c>
      <c r="H112" s="54">
        <v>40580.22</v>
      </c>
      <c r="I112" s="78">
        <v>27690.49</v>
      </c>
      <c r="J112" s="54">
        <f t="shared" si="39"/>
        <v>50481.87</v>
      </c>
      <c r="K112" s="78">
        <f t="shared" si="31"/>
        <v>50481.87</v>
      </c>
      <c r="L112" s="126">
        <f t="shared" si="32"/>
        <v>46.110134933173917</v>
      </c>
      <c r="N112" s="29">
        <v>40558.82</v>
      </c>
    </row>
    <row r="113" spans="1:19" ht="15" customHeight="1">
      <c r="A113" s="63" t="s">
        <v>217</v>
      </c>
      <c r="B113" s="101" t="s">
        <v>218</v>
      </c>
      <c r="C113" s="78">
        <v>64872</v>
      </c>
      <c r="D113" s="78">
        <f>34172-5758</f>
        <v>28414</v>
      </c>
      <c r="E113" s="66">
        <v>28414</v>
      </c>
      <c r="F113" s="541">
        <v>421.21</v>
      </c>
      <c r="G113" s="54">
        <f t="shared" si="36"/>
        <v>13641.519999999999</v>
      </c>
      <c r="H113" s="54">
        <v>13235.19</v>
      </c>
      <c r="I113" s="78">
        <v>11851.15</v>
      </c>
      <c r="J113" s="54">
        <f t="shared" si="39"/>
        <v>14772.480000000001</v>
      </c>
      <c r="K113" s="78">
        <f t="shared" si="31"/>
        <v>14772.480000000001</v>
      </c>
      <c r="L113" s="126">
        <f t="shared" si="32"/>
        <v>48.009854297177441</v>
      </c>
      <c r="N113" s="29">
        <v>13220.31</v>
      </c>
      <c r="P113" t="s">
        <v>6</v>
      </c>
    </row>
    <row r="114" spans="1:19" ht="15" customHeight="1">
      <c r="A114" s="68" t="s">
        <v>219</v>
      </c>
      <c r="B114" s="99" t="s">
        <v>220</v>
      </c>
      <c r="C114" s="99">
        <f>SUM(C115:C119)</f>
        <v>258848</v>
      </c>
      <c r="D114" s="99">
        <f>SUM(D115:D119)</f>
        <v>216854</v>
      </c>
      <c r="E114" s="106">
        <f>SUM(E115:E119)</f>
        <v>216854</v>
      </c>
      <c r="F114" s="75">
        <v>22471.72</v>
      </c>
      <c r="G114" s="76">
        <f>+N114+F114</f>
        <v>153173.64000000001</v>
      </c>
      <c r="H114" s="99">
        <f t="shared" ref="H114" si="42">SUM(H115:H119)</f>
        <v>108298.59</v>
      </c>
      <c r="I114" s="99">
        <f>SUM(I115:I119)</f>
        <v>91857.69</v>
      </c>
      <c r="J114" s="76">
        <f t="shared" si="39"/>
        <v>63680.359999999986</v>
      </c>
      <c r="K114" s="99">
        <f t="shared" si="31"/>
        <v>63680.359999999986</v>
      </c>
      <c r="L114" s="125">
        <f t="shared" si="32"/>
        <v>70.634454517786168</v>
      </c>
      <c r="N114" s="473">
        <f>SUM(N115:N119)</f>
        <v>130701.92000000001</v>
      </c>
    </row>
    <row r="115" spans="1:19" ht="15.75" customHeight="1">
      <c r="A115" s="63" t="s">
        <v>221</v>
      </c>
      <c r="B115" s="78" t="s">
        <v>222</v>
      </c>
      <c r="C115" s="78">
        <v>3167</v>
      </c>
      <c r="D115" s="78">
        <f>3517</f>
        <v>3517</v>
      </c>
      <c r="E115" s="66">
        <v>3517</v>
      </c>
      <c r="F115" s="541">
        <v>8.0299999999999994</v>
      </c>
      <c r="G115" s="54">
        <f t="shared" si="36"/>
        <v>1980.8700000000001</v>
      </c>
      <c r="H115" s="54">
        <v>1980.87</v>
      </c>
      <c r="I115" s="78">
        <v>456.37</v>
      </c>
      <c r="J115" s="54">
        <f t="shared" si="39"/>
        <v>1536.1299999999999</v>
      </c>
      <c r="K115" s="78">
        <f t="shared" si="31"/>
        <v>1536.1299999999999</v>
      </c>
      <c r="L115" s="123">
        <f t="shared" si="32"/>
        <v>56.322718225760589</v>
      </c>
      <c r="N115" s="29">
        <v>1972.8400000000001</v>
      </c>
    </row>
    <row r="116" spans="1:19" ht="14.25" customHeight="1">
      <c r="A116" s="63" t="s">
        <v>223</v>
      </c>
      <c r="B116" s="101" t="s">
        <v>224</v>
      </c>
      <c r="C116" s="78">
        <v>15000</v>
      </c>
      <c r="D116" s="78">
        <f>41056+3400-10000</f>
        <v>34456</v>
      </c>
      <c r="E116" s="66">
        <v>34456</v>
      </c>
      <c r="F116" s="541">
        <v>1400.4</v>
      </c>
      <c r="G116" s="54">
        <f>+N116+F116</f>
        <v>23439.47</v>
      </c>
      <c r="H116" s="54">
        <v>21631.15</v>
      </c>
      <c r="I116" s="78">
        <v>20629.509999999998</v>
      </c>
      <c r="J116" s="54">
        <f t="shared" si="39"/>
        <v>11016.529999999999</v>
      </c>
      <c r="K116" s="78">
        <f t="shared" si="31"/>
        <v>11016.529999999999</v>
      </c>
      <c r="L116" s="123">
        <f t="shared" si="32"/>
        <v>68.027252147666587</v>
      </c>
      <c r="N116" s="29">
        <v>22039.07</v>
      </c>
    </row>
    <row r="117" spans="1:19" ht="17.25" customHeight="1">
      <c r="A117" s="63" t="s">
        <v>225</v>
      </c>
      <c r="B117" s="101" t="s">
        <v>226</v>
      </c>
      <c r="C117" s="78">
        <v>91798</v>
      </c>
      <c r="D117" s="78">
        <f>52928+6770+9300</f>
        <v>68998</v>
      </c>
      <c r="E117" s="66">
        <v>68998</v>
      </c>
      <c r="F117" s="541">
        <v>11715.22</v>
      </c>
      <c r="G117" s="54">
        <f t="shared" si="36"/>
        <v>43022.880000000005</v>
      </c>
      <c r="H117" s="54">
        <v>26468.97</v>
      </c>
      <c r="I117" s="78">
        <v>21728.52</v>
      </c>
      <c r="J117" s="54">
        <f t="shared" si="39"/>
        <v>25975.119999999995</v>
      </c>
      <c r="K117" s="78">
        <f t="shared" si="31"/>
        <v>25975.119999999995</v>
      </c>
      <c r="L117" s="126">
        <f>+G117*100/E117</f>
        <v>62.353807356734976</v>
      </c>
      <c r="N117" s="29">
        <v>31307.660000000003</v>
      </c>
    </row>
    <row r="118" spans="1:19" ht="16.5" customHeight="1">
      <c r="A118" s="63" t="s">
        <v>227</v>
      </c>
      <c r="B118" s="101" t="s">
        <v>228</v>
      </c>
      <c r="C118" s="78">
        <v>27414</v>
      </c>
      <c r="D118" s="78">
        <f>11842+10572-700-5700</f>
        <v>16014</v>
      </c>
      <c r="E118" s="66">
        <v>16014</v>
      </c>
      <c r="F118" s="541">
        <v>6465.75</v>
      </c>
      <c r="G118" s="54">
        <f t="shared" si="36"/>
        <v>6547.07</v>
      </c>
      <c r="H118" s="54">
        <v>81.319999999999993</v>
      </c>
      <c r="I118" s="78">
        <v>81.319999999999993</v>
      </c>
      <c r="J118" s="54">
        <f t="shared" si="39"/>
        <v>9466.93</v>
      </c>
      <c r="K118" s="78">
        <f t="shared" si="31"/>
        <v>9466.93</v>
      </c>
      <c r="L118" s="123">
        <f>+G118*100/E118</f>
        <v>40.883414512301734</v>
      </c>
      <c r="N118" s="29">
        <v>81.319999999999993</v>
      </c>
    </row>
    <row r="119" spans="1:19" ht="16.5" customHeight="1">
      <c r="A119" s="63" t="s">
        <v>229</v>
      </c>
      <c r="B119" s="101" t="s">
        <v>230</v>
      </c>
      <c r="C119" s="78">
        <v>121469</v>
      </c>
      <c r="D119" s="78">
        <f>97069-3200</f>
        <v>93869</v>
      </c>
      <c r="E119" s="66">
        <v>93869</v>
      </c>
      <c r="F119" s="541">
        <v>2882.32</v>
      </c>
      <c r="G119" s="54">
        <f t="shared" si="36"/>
        <v>78183.350000000006</v>
      </c>
      <c r="H119" s="54">
        <v>58136.28</v>
      </c>
      <c r="I119" s="78">
        <v>48961.97</v>
      </c>
      <c r="J119" s="54">
        <f t="shared" si="39"/>
        <v>15685.649999999994</v>
      </c>
      <c r="K119" s="78">
        <f t="shared" si="31"/>
        <v>15685.649999999994</v>
      </c>
      <c r="L119" s="126">
        <f t="shared" ref="L119:L128" si="43">+G119*100/E119</f>
        <v>83.289850749448703</v>
      </c>
      <c r="N119" s="29">
        <v>75301.03</v>
      </c>
      <c r="P119" s="29" t="s">
        <v>6</v>
      </c>
    </row>
    <row r="120" spans="1:19" ht="20.25" customHeight="1">
      <c r="A120" s="68" t="s">
        <v>231</v>
      </c>
      <c r="B120" s="99" t="s">
        <v>232</v>
      </c>
      <c r="C120" s="99">
        <f>SUM(C121:C127)</f>
        <v>277892</v>
      </c>
      <c r="D120" s="99">
        <f>SUM(D121:D127)</f>
        <v>727382</v>
      </c>
      <c r="E120" s="106">
        <f>SUM(E121:E127)</f>
        <v>727382</v>
      </c>
      <c r="F120" s="75">
        <v>183844.28</v>
      </c>
      <c r="G120" s="99">
        <f>+N120+F120</f>
        <v>547572.94999999995</v>
      </c>
      <c r="H120" s="75">
        <f>SUM(H121:H127)</f>
        <v>319791.90000000002</v>
      </c>
      <c r="I120" s="75">
        <f t="shared" ref="I120" si="44">SUM(I121:I127)</f>
        <v>183364.01</v>
      </c>
      <c r="J120" s="76">
        <f t="shared" si="39"/>
        <v>179809.05000000005</v>
      </c>
      <c r="K120" s="99">
        <f t="shared" si="31"/>
        <v>179809.05000000005</v>
      </c>
      <c r="L120" s="125">
        <f t="shared" si="43"/>
        <v>75.279969809536112</v>
      </c>
      <c r="N120" s="473">
        <f>SUM(N121:N127)</f>
        <v>363728.67</v>
      </c>
      <c r="O120" s="29" t="s">
        <v>6</v>
      </c>
    </row>
    <row r="121" spans="1:19" ht="14.25" customHeight="1">
      <c r="A121" s="63" t="s">
        <v>233</v>
      </c>
      <c r="B121" s="101" t="s">
        <v>234</v>
      </c>
      <c r="C121" s="78">
        <v>23493</v>
      </c>
      <c r="D121" s="78">
        <f>24193+1250</f>
        <v>25443</v>
      </c>
      <c r="E121" s="66">
        <v>25443</v>
      </c>
      <c r="F121" s="541">
        <v>13051.21</v>
      </c>
      <c r="G121" s="54">
        <f t="shared" si="36"/>
        <v>21094.75</v>
      </c>
      <c r="H121" s="54">
        <v>7837.07</v>
      </c>
      <c r="I121" s="78">
        <v>5918.44</v>
      </c>
      <c r="J121" s="54">
        <f t="shared" si="39"/>
        <v>4348.25</v>
      </c>
      <c r="K121" s="78">
        <f t="shared" si="31"/>
        <v>4348.25</v>
      </c>
      <c r="L121" s="126">
        <f t="shared" si="43"/>
        <v>82.909837676374636</v>
      </c>
      <c r="N121" s="29">
        <v>8043.54</v>
      </c>
    </row>
    <row r="122" spans="1:19" ht="16.5" customHeight="1">
      <c r="A122" s="63" t="s">
        <v>235</v>
      </c>
      <c r="B122" s="101" t="s">
        <v>236</v>
      </c>
      <c r="C122" s="78">
        <v>31236</v>
      </c>
      <c r="D122" s="78">
        <v>23036</v>
      </c>
      <c r="E122" s="66">
        <v>23036</v>
      </c>
      <c r="F122" s="541">
        <v>1789.68</v>
      </c>
      <c r="G122" s="54">
        <f>+F122+N122</f>
        <v>17179.079999999998</v>
      </c>
      <c r="H122" s="54">
        <v>11662.4</v>
      </c>
      <c r="I122" s="78">
        <v>4976.6899999999996</v>
      </c>
      <c r="J122" s="54">
        <f t="shared" si="39"/>
        <v>5856.9200000000019</v>
      </c>
      <c r="K122" s="78">
        <f t="shared" si="31"/>
        <v>5856.9200000000019</v>
      </c>
      <c r="L122" s="126">
        <f t="shared" si="43"/>
        <v>74.57492620246569</v>
      </c>
      <c r="N122" s="29">
        <f>15454.58-65.18</f>
        <v>15389.4</v>
      </c>
    </row>
    <row r="123" spans="1:19" ht="12.75" customHeight="1">
      <c r="A123" s="63">
        <v>254</v>
      </c>
      <c r="B123" s="101" t="s">
        <v>237</v>
      </c>
      <c r="C123" s="78">
        <v>42838</v>
      </c>
      <c r="D123" s="78">
        <f>66201+9937-1000-8000</f>
        <v>67138</v>
      </c>
      <c r="E123" s="104">
        <v>67138</v>
      </c>
      <c r="F123" s="100">
        <v>12114.74</v>
      </c>
      <c r="G123" s="54">
        <f>+N123+F123</f>
        <v>39012.5</v>
      </c>
      <c r="H123" s="54">
        <v>22966.36</v>
      </c>
      <c r="I123" s="78">
        <v>17550.52</v>
      </c>
      <c r="J123" s="54">
        <f t="shared" si="39"/>
        <v>28125.5</v>
      </c>
      <c r="K123" s="78">
        <f t="shared" si="31"/>
        <v>28125.5</v>
      </c>
      <c r="L123" s="126">
        <f t="shared" si="43"/>
        <v>58.107926956418126</v>
      </c>
      <c r="N123" s="29">
        <v>26897.759999999998</v>
      </c>
      <c r="S123" t="s">
        <v>6</v>
      </c>
    </row>
    <row r="124" spans="1:19" ht="18" customHeight="1">
      <c r="A124" s="63" t="s">
        <v>238</v>
      </c>
      <c r="B124" s="101" t="s">
        <v>239</v>
      </c>
      <c r="C124" s="78">
        <v>60539</v>
      </c>
      <c r="D124" s="78">
        <f>229244+13100-11000</f>
        <v>231344</v>
      </c>
      <c r="E124" s="78">
        <v>231344</v>
      </c>
      <c r="F124" s="66">
        <v>69151.55</v>
      </c>
      <c r="G124" s="54">
        <f>+F124+N124</f>
        <v>183046.71</v>
      </c>
      <c r="H124" s="54">
        <v>104461.92</v>
      </c>
      <c r="I124" s="78">
        <v>39643.269999999997</v>
      </c>
      <c r="J124" s="54">
        <f t="shared" si="39"/>
        <v>48297.290000000008</v>
      </c>
      <c r="K124" s="78">
        <f t="shared" si="31"/>
        <v>48297.290000000008</v>
      </c>
      <c r="L124" s="126">
        <f t="shared" si="43"/>
        <v>79.123171554049378</v>
      </c>
      <c r="N124" s="29">
        <f>113898.37-3.21</f>
        <v>113895.15999999999</v>
      </c>
    </row>
    <row r="125" spans="1:19" ht="17.25" customHeight="1">
      <c r="A125" s="63" t="s">
        <v>240</v>
      </c>
      <c r="B125" s="101" t="s">
        <v>241</v>
      </c>
      <c r="C125" s="78">
        <v>63786</v>
      </c>
      <c r="D125" s="78">
        <f>133706+3000</f>
        <v>136706</v>
      </c>
      <c r="E125" s="78">
        <v>136706</v>
      </c>
      <c r="F125" s="66">
        <v>42747.41</v>
      </c>
      <c r="G125" s="54">
        <f>+N125+F125</f>
        <v>112701.52</v>
      </c>
      <c r="H125" s="54">
        <v>62474.12</v>
      </c>
      <c r="I125" s="78">
        <v>30777.26</v>
      </c>
      <c r="J125" s="54">
        <f t="shared" si="39"/>
        <v>24004.479999999996</v>
      </c>
      <c r="K125" s="78">
        <f t="shared" si="31"/>
        <v>24004.479999999996</v>
      </c>
      <c r="L125" s="126">
        <f t="shared" si="43"/>
        <v>82.440799964888157</v>
      </c>
      <c r="N125" s="29">
        <v>69954.11</v>
      </c>
    </row>
    <row r="126" spans="1:19" ht="17.25" customHeight="1">
      <c r="A126" s="63">
        <v>257</v>
      </c>
      <c r="B126" s="101" t="s">
        <v>242</v>
      </c>
      <c r="C126" s="78">
        <v>50835</v>
      </c>
      <c r="D126" s="78">
        <f>19557+18528+250-16000</f>
        <v>22335</v>
      </c>
      <c r="E126" s="78">
        <v>22335</v>
      </c>
      <c r="F126" s="66">
        <v>8344.7999999999993</v>
      </c>
      <c r="G126" s="54">
        <f t="shared" si="36"/>
        <v>16648.189999999999</v>
      </c>
      <c r="H126" s="54">
        <v>7948.45</v>
      </c>
      <c r="I126" s="78">
        <v>4113.41</v>
      </c>
      <c r="J126" s="54">
        <f t="shared" si="39"/>
        <v>5686.8100000000013</v>
      </c>
      <c r="K126" s="78">
        <f t="shared" ref="K126:K157" si="45">+D126-G126</f>
        <v>5686.8100000000013</v>
      </c>
      <c r="L126" s="126">
        <f t="shared" si="43"/>
        <v>74.538571748376981</v>
      </c>
      <c r="N126" s="29">
        <v>8303.39</v>
      </c>
    </row>
    <row r="127" spans="1:19" ht="17.25" customHeight="1">
      <c r="A127" s="63" t="s">
        <v>243</v>
      </c>
      <c r="B127" s="101" t="s">
        <v>244</v>
      </c>
      <c r="C127" s="78">
        <v>5165</v>
      </c>
      <c r="D127" s="78">
        <f>393914+1566+1700+4200-180000</f>
        <v>221380</v>
      </c>
      <c r="E127" s="78">
        <v>221380</v>
      </c>
      <c r="F127" s="78">
        <v>36644.89</v>
      </c>
      <c r="G127" s="54">
        <f>+F127+N127</f>
        <v>157890.20000000001</v>
      </c>
      <c r="H127" s="54">
        <v>102441.58</v>
      </c>
      <c r="I127" s="78">
        <v>80384.42</v>
      </c>
      <c r="J127" s="54">
        <f t="shared" ref="J127:J153" si="46">+E127-G127</f>
        <v>63489.799999999988</v>
      </c>
      <c r="K127" s="78">
        <f t="shared" si="45"/>
        <v>63489.799999999988</v>
      </c>
      <c r="L127" s="126">
        <f t="shared" si="43"/>
        <v>71.320896196585068</v>
      </c>
      <c r="N127" s="29">
        <f>121356.08-110.77</f>
        <v>121245.31</v>
      </c>
      <c r="O127" t="s">
        <v>6</v>
      </c>
      <c r="P127" t="s">
        <v>6</v>
      </c>
    </row>
    <row r="128" spans="1:19" ht="15" customHeight="1">
      <c r="A128" s="68" t="s">
        <v>245</v>
      </c>
      <c r="B128" s="99" t="s">
        <v>246</v>
      </c>
      <c r="C128" s="99">
        <f>SUM(C129:C133)</f>
        <v>475695</v>
      </c>
      <c r="D128" s="99">
        <f>SUM(D129:D133)</f>
        <v>670692</v>
      </c>
      <c r="E128" s="79">
        <f>SUM(E129:E133)</f>
        <v>670692</v>
      </c>
      <c r="F128" s="542">
        <v>58542.05</v>
      </c>
      <c r="G128" s="57">
        <f t="shared" ref="G128:G144" si="47">+N128+F128</f>
        <v>435149.84</v>
      </c>
      <c r="H128" s="79">
        <f>SUM(H129:H133)</f>
        <v>288454.81</v>
      </c>
      <c r="I128" s="79">
        <f t="shared" ref="I128" si="48">SUM(I129:I133)</f>
        <v>141666.38</v>
      </c>
      <c r="J128" s="76">
        <f t="shared" si="46"/>
        <v>235542.15999999997</v>
      </c>
      <c r="K128" s="99">
        <f t="shared" si="45"/>
        <v>235542.15999999997</v>
      </c>
      <c r="L128" s="125">
        <f t="shared" si="43"/>
        <v>64.880726175353217</v>
      </c>
      <c r="N128" s="473">
        <f>SUM(N129:N133)</f>
        <v>376607.79000000004</v>
      </c>
      <c r="O128" t="s">
        <v>538</v>
      </c>
    </row>
    <row r="129" spans="1:15" ht="13.5" customHeight="1">
      <c r="A129" s="63">
        <v>261</v>
      </c>
      <c r="B129" s="78" t="s">
        <v>247</v>
      </c>
      <c r="C129" s="78">
        <v>21865</v>
      </c>
      <c r="D129" s="78">
        <f>69965-40000</f>
        <v>29965</v>
      </c>
      <c r="E129" s="80">
        <v>29965</v>
      </c>
      <c r="F129" s="543">
        <v>0</v>
      </c>
      <c r="G129" s="54">
        <f t="shared" si="47"/>
        <v>26766.560000000001</v>
      </c>
      <c r="H129" s="54">
        <v>7699.16</v>
      </c>
      <c r="I129" s="78">
        <v>6103.79</v>
      </c>
      <c r="J129" s="54">
        <f t="shared" si="46"/>
        <v>3198.4399999999987</v>
      </c>
      <c r="K129" s="78">
        <f t="shared" si="45"/>
        <v>3198.4399999999987</v>
      </c>
      <c r="L129" s="123">
        <f>+G129*100/E129</f>
        <v>89.326080427165024</v>
      </c>
      <c r="N129" s="29">
        <v>26766.560000000001</v>
      </c>
    </row>
    <row r="130" spans="1:15" ht="13.5" customHeight="1">
      <c r="A130" s="63" t="s">
        <v>248</v>
      </c>
      <c r="B130" s="101" t="s">
        <v>437</v>
      </c>
      <c r="C130" s="78">
        <v>169987</v>
      </c>
      <c r="D130" s="78">
        <f>179087-9000</f>
        <v>170087</v>
      </c>
      <c r="E130" s="78">
        <v>170087</v>
      </c>
      <c r="F130" s="543">
        <v>12542.28</v>
      </c>
      <c r="G130" s="54">
        <f t="shared" si="47"/>
        <v>120333.42000000001</v>
      </c>
      <c r="H130" s="54">
        <v>58075.29</v>
      </c>
      <c r="I130" s="78">
        <v>29400.62</v>
      </c>
      <c r="J130" s="54">
        <f t="shared" si="46"/>
        <v>49753.579999999987</v>
      </c>
      <c r="K130" s="78">
        <f t="shared" si="45"/>
        <v>49753.579999999987</v>
      </c>
      <c r="L130" s="126">
        <f t="shared" ref="L130:L139" si="49">+G130*100/E130</f>
        <v>70.74815829546057</v>
      </c>
      <c r="N130" s="29">
        <v>107791.14000000001</v>
      </c>
    </row>
    <row r="131" spans="1:15" ht="17.25" customHeight="1">
      <c r="A131" s="63">
        <v>263</v>
      </c>
      <c r="B131" s="101" t="s">
        <v>343</v>
      </c>
      <c r="C131" s="78">
        <v>28862</v>
      </c>
      <c r="D131" s="78">
        <f>23562+800</f>
        <v>24362</v>
      </c>
      <c r="E131" s="78">
        <v>24362</v>
      </c>
      <c r="F131" s="543">
        <v>1782.98</v>
      </c>
      <c r="G131" s="54">
        <f t="shared" si="47"/>
        <v>16971.2</v>
      </c>
      <c r="H131" s="54">
        <v>11319.85</v>
      </c>
      <c r="I131" s="78">
        <v>8396.18</v>
      </c>
      <c r="J131" s="54">
        <f t="shared" si="46"/>
        <v>7390.7999999999993</v>
      </c>
      <c r="K131" s="78">
        <f t="shared" si="45"/>
        <v>7390.7999999999993</v>
      </c>
      <c r="L131" s="126">
        <f t="shared" si="49"/>
        <v>69.662589278384374</v>
      </c>
      <c r="N131" s="29">
        <v>15188.22</v>
      </c>
    </row>
    <row r="132" spans="1:15" ht="17.25" customHeight="1">
      <c r="A132" s="63" t="s">
        <v>249</v>
      </c>
      <c r="B132" s="103" t="s">
        <v>361</v>
      </c>
      <c r="C132" s="104">
        <v>156163</v>
      </c>
      <c r="D132" s="104">
        <f>394723+3790+8900-124686</f>
        <v>282727</v>
      </c>
      <c r="E132" s="80">
        <v>282727</v>
      </c>
      <c r="F132" s="543">
        <v>24231.919999999998</v>
      </c>
      <c r="G132" s="54">
        <f>+N132+F132</f>
        <v>183358.40999999997</v>
      </c>
      <c r="H132" s="54">
        <v>155388.4</v>
      </c>
      <c r="I132" s="78">
        <v>58521.7</v>
      </c>
      <c r="J132" s="54">
        <f t="shared" si="46"/>
        <v>99368.590000000026</v>
      </c>
      <c r="K132" s="78">
        <f t="shared" si="45"/>
        <v>99368.590000000026</v>
      </c>
      <c r="L132" s="126">
        <f t="shared" si="49"/>
        <v>64.853519472848348</v>
      </c>
      <c r="N132" s="29">
        <v>159126.49</v>
      </c>
      <c r="O132" t="s">
        <v>6</v>
      </c>
    </row>
    <row r="133" spans="1:15" ht="15.75" customHeight="1">
      <c r="A133" s="63" t="s">
        <v>250</v>
      </c>
      <c r="B133" s="103" t="s">
        <v>251</v>
      </c>
      <c r="C133" s="104">
        <v>98818</v>
      </c>
      <c r="D133" s="104">
        <f>161501+7200-5150</f>
        <v>163551</v>
      </c>
      <c r="E133" s="80">
        <v>163551</v>
      </c>
      <c r="F133" s="543">
        <v>19984.87</v>
      </c>
      <c r="G133" s="54">
        <f>+F133+N133</f>
        <v>87720.25</v>
      </c>
      <c r="H133" s="54">
        <v>55972.11</v>
      </c>
      <c r="I133" s="78">
        <v>39244.089999999997</v>
      </c>
      <c r="J133" s="54">
        <f t="shared" si="46"/>
        <v>75830.75</v>
      </c>
      <c r="K133" s="78">
        <f t="shared" si="45"/>
        <v>75830.75</v>
      </c>
      <c r="L133" s="126">
        <f t="shared" si="49"/>
        <v>53.634798931220232</v>
      </c>
      <c r="N133" s="29">
        <f>67738.05-2.67</f>
        <v>67735.38</v>
      </c>
    </row>
    <row r="134" spans="1:15" ht="20.25" customHeight="1">
      <c r="A134" s="68" t="s">
        <v>252</v>
      </c>
      <c r="B134" s="105" t="s">
        <v>253</v>
      </c>
      <c r="C134" s="106">
        <f>SUM(C135:C142)</f>
        <v>829295</v>
      </c>
      <c r="D134" s="106">
        <f>SUM(D135:D142)</f>
        <v>758815</v>
      </c>
      <c r="E134" s="79">
        <f>SUM(E135:E142)</f>
        <v>752458</v>
      </c>
      <c r="F134" s="79">
        <v>140308.64000000001</v>
      </c>
      <c r="G134" s="76">
        <f t="shared" si="47"/>
        <v>459852.18000000005</v>
      </c>
      <c r="H134" s="79">
        <f>SUM(H135:H142)</f>
        <v>299775.05000000005</v>
      </c>
      <c r="I134" s="102">
        <v>194688.16</v>
      </c>
      <c r="J134" s="76">
        <f t="shared" si="46"/>
        <v>292605.81999999995</v>
      </c>
      <c r="K134" s="99">
        <f t="shared" si="45"/>
        <v>298962.81999999995</v>
      </c>
      <c r="L134" s="125">
        <f t="shared" si="49"/>
        <v>61.113335229341715</v>
      </c>
      <c r="M134" s="5"/>
      <c r="N134" s="473">
        <f>SUM(N135:N142)</f>
        <v>319543.54000000004</v>
      </c>
    </row>
    <row r="135" spans="1:15" ht="12.75" customHeight="1">
      <c r="A135" s="63" t="s">
        <v>254</v>
      </c>
      <c r="B135" s="103" t="s">
        <v>255</v>
      </c>
      <c r="C135" s="104">
        <v>24712</v>
      </c>
      <c r="D135" s="104">
        <f>76212+3000</f>
        <v>79212</v>
      </c>
      <c r="E135" s="104">
        <v>79212</v>
      </c>
      <c r="F135" s="543">
        <v>18367</v>
      </c>
      <c r="G135" s="54">
        <f>+N135+F135</f>
        <v>34963.57</v>
      </c>
      <c r="H135" s="54">
        <v>17216.04</v>
      </c>
      <c r="I135" s="78">
        <v>9905.51</v>
      </c>
      <c r="J135" s="54">
        <f t="shared" si="46"/>
        <v>44248.43</v>
      </c>
      <c r="K135" s="78">
        <f t="shared" si="45"/>
        <v>44248.43</v>
      </c>
      <c r="L135" s="126">
        <f t="shared" si="49"/>
        <v>44.139233954451349</v>
      </c>
      <c r="N135" s="29">
        <v>16596.57</v>
      </c>
    </row>
    <row r="136" spans="1:15" ht="16.5" customHeight="1">
      <c r="A136" s="63" t="s">
        <v>256</v>
      </c>
      <c r="B136" s="101" t="s">
        <v>257</v>
      </c>
      <c r="C136" s="78">
        <v>88222</v>
      </c>
      <c r="D136" s="78">
        <f>19936+7386</f>
        <v>27322</v>
      </c>
      <c r="E136" s="80">
        <v>27322</v>
      </c>
      <c r="F136" s="543">
        <v>3434.91</v>
      </c>
      <c r="G136" s="54">
        <f t="shared" si="47"/>
        <v>10371.67</v>
      </c>
      <c r="H136" s="54">
        <v>5328.21</v>
      </c>
      <c r="I136" s="78">
        <v>4944.3999999999996</v>
      </c>
      <c r="J136" s="54">
        <f t="shared" si="46"/>
        <v>16950.330000000002</v>
      </c>
      <c r="K136" s="78">
        <f t="shared" si="45"/>
        <v>16950.330000000002</v>
      </c>
      <c r="L136" s="126">
        <f t="shared" si="49"/>
        <v>37.960874020935513</v>
      </c>
      <c r="N136" s="29">
        <v>6936.76</v>
      </c>
    </row>
    <row r="137" spans="1:15" ht="13.5" customHeight="1">
      <c r="A137" s="63" t="s">
        <v>258</v>
      </c>
      <c r="B137" s="101" t="s">
        <v>259</v>
      </c>
      <c r="C137" s="78">
        <v>79068</v>
      </c>
      <c r="D137" s="78">
        <f>89025+4600+5093</f>
        <v>98718</v>
      </c>
      <c r="E137" s="80">
        <v>92361</v>
      </c>
      <c r="F137" s="543">
        <v>10803.86</v>
      </c>
      <c r="G137" s="54">
        <f t="shared" si="47"/>
        <v>23335.940000000002</v>
      </c>
      <c r="H137" s="54">
        <v>12746.57</v>
      </c>
      <c r="I137" s="78">
        <v>12102.73</v>
      </c>
      <c r="J137" s="54">
        <f t="shared" si="46"/>
        <v>69025.06</v>
      </c>
      <c r="K137" s="78">
        <f t="shared" si="45"/>
        <v>75382.06</v>
      </c>
      <c r="L137" s="126">
        <f t="shared" si="49"/>
        <v>25.266010545576595</v>
      </c>
      <c r="N137" s="29">
        <v>12532.080000000002</v>
      </c>
    </row>
    <row r="138" spans="1:15" ht="16.5" customHeight="1">
      <c r="A138" s="63" t="s">
        <v>260</v>
      </c>
      <c r="B138" s="101" t="s">
        <v>261</v>
      </c>
      <c r="C138" s="78">
        <v>180216</v>
      </c>
      <c r="D138" s="78">
        <f>150982+2534-32200</f>
        <v>121316</v>
      </c>
      <c r="E138" s="80">
        <v>121316</v>
      </c>
      <c r="F138" s="543">
        <v>33685.339999999997</v>
      </c>
      <c r="G138" s="54">
        <f>+N138+F138</f>
        <v>80924.14</v>
      </c>
      <c r="H138" s="54">
        <v>31620.35</v>
      </c>
      <c r="I138" s="78">
        <v>13310.82</v>
      </c>
      <c r="J138" s="54">
        <f t="shared" si="46"/>
        <v>40391.86</v>
      </c>
      <c r="K138" s="78">
        <f t="shared" si="45"/>
        <v>40391.86</v>
      </c>
      <c r="L138" s="126">
        <f t="shared" si="49"/>
        <v>66.705249101519996</v>
      </c>
      <c r="N138" s="29">
        <v>47238.8</v>
      </c>
    </row>
    <row r="139" spans="1:15" ht="12.75" customHeight="1">
      <c r="A139" s="63" t="s">
        <v>262</v>
      </c>
      <c r="B139" s="101" t="s">
        <v>263</v>
      </c>
      <c r="C139" s="78">
        <v>320615</v>
      </c>
      <c r="D139" s="78">
        <f>165146+12969+82300</f>
        <v>260415</v>
      </c>
      <c r="E139" s="80">
        <v>260415</v>
      </c>
      <c r="F139" s="543">
        <v>18790.78</v>
      </c>
      <c r="G139" s="54">
        <f t="shared" si="47"/>
        <v>165882.03</v>
      </c>
      <c r="H139" s="54">
        <v>147083.67000000001</v>
      </c>
      <c r="I139" s="78">
        <v>112958.19</v>
      </c>
      <c r="J139" s="54">
        <f t="shared" si="46"/>
        <v>94532.97</v>
      </c>
      <c r="K139" s="78">
        <f t="shared" si="45"/>
        <v>94532.97</v>
      </c>
      <c r="L139" s="126">
        <f t="shared" si="49"/>
        <v>63.699107194286043</v>
      </c>
      <c r="N139" s="29">
        <v>147091.25</v>
      </c>
    </row>
    <row r="140" spans="1:15" ht="15" customHeight="1">
      <c r="A140" s="63">
        <v>277</v>
      </c>
      <c r="B140" s="101" t="s">
        <v>264</v>
      </c>
      <c r="C140" s="78">
        <v>13843</v>
      </c>
      <c r="D140" s="78">
        <f>4843+150</f>
        <v>4993</v>
      </c>
      <c r="E140" s="80">
        <v>4993</v>
      </c>
      <c r="F140" s="543">
        <v>386.47</v>
      </c>
      <c r="G140" s="54">
        <f t="shared" si="47"/>
        <v>4166.43</v>
      </c>
      <c r="H140" s="54">
        <v>3779.96</v>
      </c>
      <c r="I140" s="78">
        <v>3779.96</v>
      </c>
      <c r="J140" s="54">
        <f t="shared" si="46"/>
        <v>826.56999999999971</v>
      </c>
      <c r="K140" s="78">
        <f t="shared" si="45"/>
        <v>826.56999999999971</v>
      </c>
      <c r="L140" s="123">
        <f>+G140*100/E140</f>
        <v>83.445423593030242</v>
      </c>
      <c r="N140" s="29">
        <v>3779.96</v>
      </c>
    </row>
    <row r="141" spans="1:15" ht="15" customHeight="1">
      <c r="A141" s="63">
        <v>278</v>
      </c>
      <c r="B141" s="101" t="s">
        <v>265</v>
      </c>
      <c r="C141" s="78">
        <v>14300</v>
      </c>
      <c r="D141" s="78">
        <v>1800</v>
      </c>
      <c r="E141" s="80">
        <v>1800</v>
      </c>
      <c r="F141" s="543"/>
      <c r="G141" s="54">
        <f t="shared" si="47"/>
        <v>0</v>
      </c>
      <c r="H141" s="54"/>
      <c r="I141" s="78">
        <v>0</v>
      </c>
      <c r="J141" s="54">
        <f t="shared" si="46"/>
        <v>1800</v>
      </c>
      <c r="K141" s="78">
        <f t="shared" si="45"/>
        <v>1800</v>
      </c>
      <c r="L141" s="126"/>
      <c r="N141" s="29">
        <v>0</v>
      </c>
    </row>
    <row r="142" spans="1:15" ht="15" customHeight="1">
      <c r="A142" s="63" t="s">
        <v>266</v>
      </c>
      <c r="B142" s="101" t="s">
        <v>267</v>
      </c>
      <c r="C142" s="78">
        <v>108319</v>
      </c>
      <c r="D142" s="78">
        <f>158298+3671+3070</f>
        <v>165039</v>
      </c>
      <c r="E142" s="80">
        <v>165039</v>
      </c>
      <c r="F142" s="543">
        <v>54840.08</v>
      </c>
      <c r="G142" s="54">
        <f t="shared" si="47"/>
        <v>140208.20000000001</v>
      </c>
      <c r="H142" s="54">
        <v>82000.25</v>
      </c>
      <c r="I142" s="78">
        <v>37686.550000000003</v>
      </c>
      <c r="J142" s="54">
        <f t="shared" si="46"/>
        <v>24830.799999999988</v>
      </c>
      <c r="K142" s="78">
        <f t="shared" si="45"/>
        <v>24830.799999999988</v>
      </c>
      <c r="L142" s="126">
        <f t="shared" ref="L142:L153" si="50">+G142*100/E142</f>
        <v>84.95458649167773</v>
      </c>
      <c r="N142" s="29">
        <v>85368.12</v>
      </c>
    </row>
    <row r="143" spans="1:15" ht="15" customHeight="1">
      <c r="A143" s="68" t="s">
        <v>268</v>
      </c>
      <c r="B143" s="99" t="s">
        <v>269</v>
      </c>
      <c r="C143" s="99">
        <v>208309</v>
      </c>
      <c r="D143" s="102">
        <v>373709</v>
      </c>
      <c r="E143" s="81">
        <v>373709</v>
      </c>
      <c r="F143" s="79">
        <v>30525.43</v>
      </c>
      <c r="G143" s="57">
        <v>260738.11</v>
      </c>
      <c r="H143" s="76">
        <v>181574.35</v>
      </c>
      <c r="I143" s="99">
        <v>91741.7</v>
      </c>
      <c r="J143" s="76">
        <f t="shared" si="46"/>
        <v>112970.89000000001</v>
      </c>
      <c r="K143" s="99">
        <f t="shared" si="45"/>
        <v>112970.89000000001</v>
      </c>
      <c r="L143" s="125">
        <f t="shared" si="50"/>
        <v>69.770358755074142</v>
      </c>
      <c r="N143" s="473">
        <v>230262.98</v>
      </c>
    </row>
    <row r="144" spans="1:15" ht="15" customHeight="1">
      <c r="A144" s="62">
        <v>290</v>
      </c>
      <c r="B144" s="82" t="s">
        <v>270</v>
      </c>
      <c r="C144" s="82">
        <f>SUM(C145:C152)</f>
        <v>0</v>
      </c>
      <c r="D144" s="82">
        <f>SUM(D145:D153)</f>
        <v>437855</v>
      </c>
      <c r="E144" s="82">
        <f>SUM(E145:E153)</f>
        <v>437855</v>
      </c>
      <c r="F144" s="82">
        <v>-10788.32</v>
      </c>
      <c r="G144" s="57">
        <f t="shared" si="47"/>
        <v>297761.5</v>
      </c>
      <c r="H144" s="76">
        <f>SUM(H145:H153)</f>
        <v>57981.430000000008</v>
      </c>
      <c r="I144" s="82">
        <f>SUM(I145:I153)</f>
        <v>160237.65000000002</v>
      </c>
      <c r="J144" s="57">
        <f t="shared" si="46"/>
        <v>140093.5</v>
      </c>
      <c r="K144" s="82">
        <f t="shared" si="45"/>
        <v>140093.5</v>
      </c>
      <c r="L144" s="125">
        <f t="shared" si="50"/>
        <v>68.004590560802086</v>
      </c>
      <c r="N144" s="473">
        <f>SUM(N145:N153)</f>
        <v>308549.82</v>
      </c>
      <c r="O144" s="29" t="s">
        <v>6</v>
      </c>
    </row>
    <row r="145" spans="1:16" ht="15" customHeight="1">
      <c r="A145" s="63">
        <v>291</v>
      </c>
      <c r="B145" s="83" t="s">
        <v>271</v>
      </c>
      <c r="C145" s="82"/>
      <c r="D145" s="84">
        <v>11000</v>
      </c>
      <c r="E145" s="84">
        <v>11000</v>
      </c>
      <c r="F145" s="84">
        <v>1268.5</v>
      </c>
      <c r="G145" s="84">
        <f>+F145+N145</f>
        <v>7452</v>
      </c>
      <c r="H145" s="54">
        <v>7452</v>
      </c>
      <c r="I145" s="84">
        <v>7432</v>
      </c>
      <c r="J145" s="54">
        <f t="shared" si="46"/>
        <v>3548</v>
      </c>
      <c r="K145" s="84">
        <f t="shared" si="45"/>
        <v>3548</v>
      </c>
      <c r="L145" s="126">
        <f t="shared" si="50"/>
        <v>67.74545454545455</v>
      </c>
      <c r="N145" s="29">
        <f>6106.5+77</f>
        <v>6183.5</v>
      </c>
    </row>
    <row r="146" spans="1:16" ht="15" customHeight="1">
      <c r="A146" s="64">
        <v>292</v>
      </c>
      <c r="B146" s="83" t="s">
        <v>346</v>
      </c>
      <c r="C146" s="85"/>
      <c r="D146" s="84">
        <f>5410+480</f>
        <v>5890</v>
      </c>
      <c r="E146" s="84">
        <v>5890</v>
      </c>
      <c r="F146" s="84">
        <v>478.85</v>
      </c>
      <c r="G146" s="84">
        <f t="shared" ref="G146:G152" si="51">+N146+F146</f>
        <v>4513.1900000000005</v>
      </c>
      <c r="H146" s="54">
        <v>98.55</v>
      </c>
      <c r="I146" s="84">
        <v>4034.34</v>
      </c>
      <c r="J146" s="54">
        <f t="shared" si="46"/>
        <v>1376.8099999999995</v>
      </c>
      <c r="K146" s="84">
        <f t="shared" si="45"/>
        <v>1376.8099999999995</v>
      </c>
      <c r="L146" s="126">
        <f t="shared" si="50"/>
        <v>76.624617996604428</v>
      </c>
      <c r="N146" s="29">
        <v>4034.34</v>
      </c>
      <c r="O146" t="s">
        <v>6</v>
      </c>
    </row>
    <row r="147" spans="1:16" ht="15" customHeight="1">
      <c r="A147" s="63">
        <v>293</v>
      </c>
      <c r="B147" s="83" t="s">
        <v>272</v>
      </c>
      <c r="C147" s="84"/>
      <c r="D147" s="84">
        <f>169700-25000</f>
        <v>144700</v>
      </c>
      <c r="E147" s="84">
        <v>144700</v>
      </c>
      <c r="F147" s="84">
        <v>-52338.15</v>
      </c>
      <c r="G147" s="84">
        <f t="shared" si="51"/>
        <v>45252.19999999999</v>
      </c>
      <c r="H147" s="54">
        <v>23066.47</v>
      </c>
      <c r="I147" s="84">
        <v>1216.54</v>
      </c>
      <c r="J147" s="54">
        <f t="shared" si="46"/>
        <v>99447.800000000017</v>
      </c>
      <c r="K147" s="84">
        <f t="shared" si="45"/>
        <v>99447.800000000017</v>
      </c>
      <c r="L147" s="126">
        <f t="shared" si="50"/>
        <v>31.273116793365578</v>
      </c>
      <c r="N147" s="29">
        <v>97590.349999999991</v>
      </c>
    </row>
    <row r="148" spans="1:16" ht="15" customHeight="1">
      <c r="A148" s="63">
        <v>294</v>
      </c>
      <c r="B148" s="83" t="s">
        <v>388</v>
      </c>
      <c r="C148" s="84"/>
      <c r="D148" s="84">
        <v>2800</v>
      </c>
      <c r="E148" s="84">
        <v>2800</v>
      </c>
      <c r="F148" s="84">
        <v>0</v>
      </c>
      <c r="G148" s="84">
        <f t="shared" si="51"/>
        <v>2457.87</v>
      </c>
      <c r="H148" s="54">
        <v>399.99</v>
      </c>
      <c r="I148" s="84">
        <v>2457.87</v>
      </c>
      <c r="J148" s="54">
        <f t="shared" si="46"/>
        <v>342.13000000000011</v>
      </c>
      <c r="K148" s="84">
        <f t="shared" si="45"/>
        <v>342.13000000000011</v>
      </c>
      <c r="L148" s="126">
        <f t="shared" si="50"/>
        <v>87.781071428571423</v>
      </c>
      <c r="N148" s="29">
        <v>2457.87</v>
      </c>
    </row>
    <row r="149" spans="1:16" ht="15" customHeight="1">
      <c r="A149" s="63">
        <v>295</v>
      </c>
      <c r="B149" s="84" t="s">
        <v>357</v>
      </c>
      <c r="C149" s="82"/>
      <c r="D149" s="84">
        <v>16050</v>
      </c>
      <c r="E149" s="84">
        <v>16050</v>
      </c>
      <c r="F149" s="84">
        <v>16032.88</v>
      </c>
      <c r="G149" s="84">
        <f t="shared" si="51"/>
        <v>16032.88</v>
      </c>
      <c r="H149" s="54"/>
      <c r="I149" s="84">
        <v>0</v>
      </c>
      <c r="J149" s="54">
        <f t="shared" si="46"/>
        <v>17.1200000000008</v>
      </c>
      <c r="K149" s="84">
        <f t="shared" si="45"/>
        <v>17.1200000000008</v>
      </c>
      <c r="L149" s="126" t="s">
        <v>6</v>
      </c>
      <c r="N149" s="29">
        <v>0</v>
      </c>
    </row>
    <row r="150" spans="1:16" ht="15" customHeight="1">
      <c r="A150" s="63">
        <v>296</v>
      </c>
      <c r="B150" s="83" t="s">
        <v>349</v>
      </c>
      <c r="C150" s="84"/>
      <c r="D150" s="84">
        <v>123550</v>
      </c>
      <c r="E150" s="84">
        <v>123550</v>
      </c>
      <c r="F150" s="84">
        <v>634.65</v>
      </c>
      <c r="G150" s="84">
        <f t="shared" si="51"/>
        <v>116636.65</v>
      </c>
      <c r="H150" s="54">
        <v>15552.72</v>
      </c>
      <c r="I150" s="84">
        <v>75674.77</v>
      </c>
      <c r="J150" s="54">
        <f t="shared" si="46"/>
        <v>6913.3500000000058</v>
      </c>
      <c r="K150" s="84">
        <f t="shared" si="45"/>
        <v>6913.3500000000058</v>
      </c>
      <c r="L150" s="126">
        <f t="shared" si="50"/>
        <v>94.40441116956697</v>
      </c>
      <c r="N150" s="29">
        <v>116002</v>
      </c>
    </row>
    <row r="151" spans="1:16" ht="15" customHeight="1">
      <c r="A151" s="63">
        <v>297</v>
      </c>
      <c r="B151" s="84" t="s">
        <v>273</v>
      </c>
      <c r="C151" s="82"/>
      <c r="D151" s="84">
        <f>57590+1670</f>
        <v>59260</v>
      </c>
      <c r="E151" s="84">
        <v>59260</v>
      </c>
      <c r="F151" s="84">
        <v>20437.650000000001</v>
      </c>
      <c r="G151" s="84">
        <f t="shared" si="51"/>
        <v>34729.130000000005</v>
      </c>
      <c r="H151" s="54">
        <v>856.6</v>
      </c>
      <c r="I151" s="84">
        <v>14191.8</v>
      </c>
      <c r="J151" s="54">
        <f t="shared" si="46"/>
        <v>24530.869999999995</v>
      </c>
      <c r="K151" s="84">
        <f t="shared" si="45"/>
        <v>24530.869999999995</v>
      </c>
      <c r="L151" s="126">
        <f t="shared" si="50"/>
        <v>58.60467431657105</v>
      </c>
      <c r="N151" s="29">
        <v>14291.48</v>
      </c>
    </row>
    <row r="152" spans="1:16" ht="15" customHeight="1">
      <c r="A152" s="63">
        <v>298</v>
      </c>
      <c r="B152" s="84" t="s">
        <v>274</v>
      </c>
      <c r="C152" s="82"/>
      <c r="D152" s="84">
        <v>57535</v>
      </c>
      <c r="E152" s="84">
        <v>57535</v>
      </c>
      <c r="F152" s="84">
        <v>1337.44</v>
      </c>
      <c r="G152" s="84">
        <f t="shared" si="51"/>
        <v>54374.580000000009</v>
      </c>
      <c r="H152" s="54">
        <v>9787.91</v>
      </c>
      <c r="I152" s="84">
        <v>43112.69</v>
      </c>
      <c r="J152" s="54">
        <f t="shared" si="46"/>
        <v>3160.419999999991</v>
      </c>
      <c r="K152" s="84">
        <f t="shared" si="45"/>
        <v>3160.419999999991</v>
      </c>
      <c r="L152" s="126">
        <f t="shared" si="50"/>
        <v>94.506960980272893</v>
      </c>
      <c r="N152" s="29">
        <v>53037.140000000007</v>
      </c>
    </row>
    <row r="153" spans="1:16" ht="15" customHeight="1">
      <c r="A153" s="63">
        <v>299</v>
      </c>
      <c r="B153" s="84" t="s">
        <v>337</v>
      </c>
      <c r="C153" s="82"/>
      <c r="D153" s="84">
        <v>17070</v>
      </c>
      <c r="E153" s="84">
        <v>17070</v>
      </c>
      <c r="F153" s="84">
        <v>1359.86</v>
      </c>
      <c r="G153" s="84">
        <f>+N153+F153</f>
        <v>16313</v>
      </c>
      <c r="H153" s="54">
        <v>767.19</v>
      </c>
      <c r="I153" s="84">
        <v>12117.64</v>
      </c>
      <c r="J153" s="54">
        <f t="shared" si="46"/>
        <v>757</v>
      </c>
      <c r="K153" s="84">
        <f t="shared" si="45"/>
        <v>757</v>
      </c>
      <c r="L153" s="126">
        <f t="shared" si="50"/>
        <v>95.565319273579377</v>
      </c>
      <c r="N153" s="29">
        <v>14953.14</v>
      </c>
    </row>
    <row r="154" spans="1:16" ht="15" customHeight="1">
      <c r="A154" s="95">
        <v>4</v>
      </c>
      <c r="B154" s="514" t="s">
        <v>276</v>
      </c>
      <c r="C154" s="514">
        <f>SUM(C155)</f>
        <v>3207914</v>
      </c>
      <c r="D154" s="514">
        <f>+D155</f>
        <v>2295040</v>
      </c>
      <c r="E154" s="515">
        <f>+E155+E157</f>
        <v>2295040</v>
      </c>
      <c r="F154" s="544">
        <v>247702.68</v>
      </c>
      <c r="G154" s="516">
        <f>N154+F154</f>
        <v>1347289.2699999998</v>
      </c>
      <c r="H154" s="545">
        <f>+H155+H157</f>
        <v>794569.94</v>
      </c>
      <c r="I154" s="516">
        <f>+I155+I157</f>
        <v>445764.80000000005</v>
      </c>
      <c r="J154" s="97">
        <f t="shared" ref="J154:J170" si="52">+E154-G154</f>
        <v>947750.73000000021</v>
      </c>
      <c r="K154" s="516">
        <f t="shared" si="45"/>
        <v>947750.73000000021</v>
      </c>
      <c r="L154" s="517">
        <f>+G154*100/E154</f>
        <v>58.704391644590061</v>
      </c>
      <c r="N154" s="473">
        <v>1099586.5899999999</v>
      </c>
      <c r="O154" t="s">
        <v>6</v>
      </c>
      <c r="P154" s="1" t="s">
        <v>6</v>
      </c>
    </row>
    <row r="155" spans="1:16" ht="15" customHeight="1">
      <c r="A155" s="62">
        <v>430</v>
      </c>
      <c r="B155" s="86" t="s">
        <v>277</v>
      </c>
      <c r="C155" s="86">
        <f>SUM(C156)</f>
        <v>3207914</v>
      </c>
      <c r="D155" s="86">
        <f>+D156+D158</f>
        <v>2295040</v>
      </c>
      <c r="E155" s="107">
        <f>+E156</f>
        <v>2200790</v>
      </c>
      <c r="F155" s="546">
        <v>236670.82</v>
      </c>
      <c r="G155" s="57">
        <f>+N155+F155</f>
        <v>1295077.93</v>
      </c>
      <c r="H155" s="57">
        <f>+H156</f>
        <v>768763.08</v>
      </c>
      <c r="I155" s="86">
        <f>SUM(I156)</f>
        <v>413616.65</v>
      </c>
      <c r="J155" s="57">
        <f t="shared" si="52"/>
        <v>905712.07000000007</v>
      </c>
      <c r="K155" s="86">
        <f t="shared" si="45"/>
        <v>999962.07000000007</v>
      </c>
      <c r="L155" s="127">
        <f>+G155*100/E155</f>
        <v>58.846047555650472</v>
      </c>
      <c r="N155" s="473">
        <v>1058407.1099999999</v>
      </c>
    </row>
    <row r="156" spans="1:16" ht="13.5" customHeight="1">
      <c r="A156" s="63">
        <v>439</v>
      </c>
      <c r="B156" s="78" t="s">
        <v>278</v>
      </c>
      <c r="C156" s="78">
        <v>3207914</v>
      </c>
      <c r="D156" s="78">
        <v>2200790</v>
      </c>
      <c r="E156" s="100">
        <v>2200790</v>
      </c>
      <c r="F156" s="547">
        <v>236670.82</v>
      </c>
      <c r="G156" s="54">
        <f>+N156+F156</f>
        <v>1295077.93</v>
      </c>
      <c r="H156" s="54">
        <v>768763.08</v>
      </c>
      <c r="I156" s="78">
        <v>413616.65</v>
      </c>
      <c r="J156" s="54">
        <f t="shared" si="52"/>
        <v>905712.07000000007</v>
      </c>
      <c r="K156" s="78">
        <f t="shared" si="45"/>
        <v>905712.07000000007</v>
      </c>
      <c r="L156" s="126">
        <f>+G156*100/E156</f>
        <v>58.846047555650472</v>
      </c>
      <c r="N156" s="29">
        <v>1058407.1099999999</v>
      </c>
    </row>
    <row r="157" spans="1:16" ht="16.5" customHeight="1">
      <c r="A157" s="62">
        <v>490</v>
      </c>
      <c r="B157" s="86" t="s">
        <v>279</v>
      </c>
      <c r="C157" s="78">
        <f>SUM(C158)</f>
        <v>0</v>
      </c>
      <c r="D157" s="86">
        <f>+D158</f>
        <v>94250</v>
      </c>
      <c r="E157" s="107">
        <f>+E158</f>
        <v>94250</v>
      </c>
      <c r="F157" s="77">
        <v>11031.86</v>
      </c>
      <c r="G157" s="86">
        <f>+G158</f>
        <v>52211.340000000004</v>
      </c>
      <c r="H157" s="57">
        <v>25806.86</v>
      </c>
      <c r="I157" s="86">
        <f>I158</f>
        <v>32148.15</v>
      </c>
      <c r="J157" s="57">
        <f t="shared" si="52"/>
        <v>42038.659999999996</v>
      </c>
      <c r="K157" s="86">
        <f t="shared" si="45"/>
        <v>42038.659999999996</v>
      </c>
      <c r="L157" s="127">
        <f t="shared" ref="L157:L158" si="53">+G157*100/E157</f>
        <v>55.396647214854113</v>
      </c>
      <c r="N157" s="473">
        <v>41179.480000000003</v>
      </c>
    </row>
    <row r="158" spans="1:16" ht="13.5" customHeight="1">
      <c r="A158" s="63">
        <v>494</v>
      </c>
      <c r="B158" s="78" t="s">
        <v>280</v>
      </c>
      <c r="C158" s="78"/>
      <c r="D158" s="78">
        <v>94250</v>
      </c>
      <c r="E158" s="66">
        <v>94250</v>
      </c>
      <c r="F158" s="547">
        <v>11031.86</v>
      </c>
      <c r="G158" s="78">
        <f>+N158+F158</f>
        <v>52211.340000000004</v>
      </c>
      <c r="H158" s="54">
        <v>25806.86</v>
      </c>
      <c r="I158" s="78">
        <v>32148.15</v>
      </c>
      <c r="J158" s="54">
        <f t="shared" si="52"/>
        <v>42038.659999999996</v>
      </c>
      <c r="K158" s="78">
        <f t="shared" ref="K158:K170" si="54">+D158-G158</f>
        <v>42038.659999999996</v>
      </c>
      <c r="L158" s="126">
        <f t="shared" si="53"/>
        <v>55.396647214854113</v>
      </c>
      <c r="N158" s="29">
        <v>41179.480000000003</v>
      </c>
    </row>
    <row r="159" spans="1:16" ht="15.75" customHeight="1">
      <c r="A159" s="95" t="s">
        <v>281</v>
      </c>
      <c r="B159" s="518" t="s">
        <v>362</v>
      </c>
      <c r="C159" s="516">
        <f>C160+C162+C168+C174+C178+C172</f>
        <v>2251594</v>
      </c>
      <c r="D159" s="516">
        <f>+D160+D162+D168+D172+D174+D178</f>
        <v>3438441</v>
      </c>
      <c r="E159" s="516">
        <f t="shared" ref="E159:I159" si="55">E160+E162+E168+E174+E178+E172</f>
        <v>3345507</v>
      </c>
      <c r="F159" s="516">
        <v>867706.82</v>
      </c>
      <c r="G159" s="548">
        <f t="shared" si="55"/>
        <v>1691588.37</v>
      </c>
      <c r="H159" s="516">
        <f t="shared" ref="H159" si="56">H160+H162+H168+H174+H178+H172</f>
        <v>1582901.62</v>
      </c>
      <c r="I159" s="516">
        <f t="shared" si="55"/>
        <v>1568215.24</v>
      </c>
      <c r="J159" s="97">
        <f t="shared" si="52"/>
        <v>1653918.63</v>
      </c>
      <c r="K159" s="516">
        <f t="shared" si="54"/>
        <v>1746852.63</v>
      </c>
      <c r="L159" s="517">
        <f>+G159*100/E159</f>
        <v>50.562990004205638</v>
      </c>
      <c r="N159" s="130">
        <v>823881.54999999993</v>
      </c>
      <c r="O159" t="s">
        <v>6</v>
      </c>
      <c r="P159" s="1" t="s">
        <v>6</v>
      </c>
    </row>
    <row r="160" spans="1:16">
      <c r="A160" s="62" t="s">
        <v>282</v>
      </c>
      <c r="B160" s="108" t="s">
        <v>283</v>
      </c>
      <c r="C160" s="86">
        <f>SUM(C161)</f>
        <v>118164</v>
      </c>
      <c r="D160" s="86">
        <f>SUM(D161)</f>
        <v>118164</v>
      </c>
      <c r="E160" s="107">
        <v>78776</v>
      </c>
      <c r="F160" s="546">
        <v>3373.87</v>
      </c>
      <c r="G160" s="86">
        <f>SUM(G161)</f>
        <v>26990.959999999995</v>
      </c>
      <c r="H160" s="86">
        <f>+H161</f>
        <v>26990.959999999999</v>
      </c>
      <c r="I160" s="86">
        <f>+I161</f>
        <v>26990.959999999999</v>
      </c>
      <c r="J160" s="57">
        <f t="shared" si="52"/>
        <v>51785.040000000008</v>
      </c>
      <c r="K160" s="86">
        <f t="shared" si="54"/>
        <v>91173.040000000008</v>
      </c>
      <c r="L160" s="127">
        <f>+G160*100/E160</f>
        <v>34.262922717578952</v>
      </c>
      <c r="N160" s="29">
        <v>23617.089999999997</v>
      </c>
    </row>
    <row r="161" spans="1:17" ht="13.5" customHeight="1">
      <c r="A161" s="63" t="s">
        <v>284</v>
      </c>
      <c r="B161" s="101" t="s">
        <v>379</v>
      </c>
      <c r="C161" s="78">
        <v>118164</v>
      </c>
      <c r="D161" s="78">
        <v>118164</v>
      </c>
      <c r="E161" s="66">
        <v>78776</v>
      </c>
      <c r="F161" s="547">
        <v>3373.87</v>
      </c>
      <c r="G161" s="54">
        <f>+N161+F161</f>
        <v>26990.959999999995</v>
      </c>
      <c r="H161" s="54">
        <v>26990.959999999999</v>
      </c>
      <c r="I161" s="78">
        <v>26990.959999999999</v>
      </c>
      <c r="J161" s="54">
        <f t="shared" si="52"/>
        <v>51785.040000000008</v>
      </c>
      <c r="K161" s="78">
        <f t="shared" si="54"/>
        <v>91173.040000000008</v>
      </c>
      <c r="L161" s="126">
        <f>+G161*100/E161</f>
        <v>34.262922717578952</v>
      </c>
      <c r="N161" s="29">
        <v>23617.089999999997</v>
      </c>
      <c r="O161" t="s">
        <v>6</v>
      </c>
      <c r="P161" t="s">
        <v>6</v>
      </c>
    </row>
    <row r="162" spans="1:17">
      <c r="A162" s="67" t="s">
        <v>285</v>
      </c>
      <c r="B162" s="86" t="s">
        <v>161</v>
      </c>
      <c r="C162" s="86">
        <f>SUM(C163:C167)</f>
        <v>956224</v>
      </c>
      <c r="D162" s="86">
        <f>SUM(D163:D167)</f>
        <v>2870724</v>
      </c>
      <c r="E162" s="67">
        <f>+E163+E164+E166+E167</f>
        <v>2817178</v>
      </c>
      <c r="F162" s="546">
        <v>814057.01</v>
      </c>
      <c r="G162" s="57">
        <f>+N162+F162</f>
        <v>1498117.37</v>
      </c>
      <c r="H162" s="57">
        <f>+H164+H166</f>
        <v>1498117.37</v>
      </c>
      <c r="I162" s="86">
        <f>SUM(I163:I167)</f>
        <v>1498117.37</v>
      </c>
      <c r="J162" s="57">
        <f t="shared" si="52"/>
        <v>1319060.6299999999</v>
      </c>
      <c r="K162" s="86">
        <f t="shared" si="54"/>
        <v>1372606.63</v>
      </c>
      <c r="L162" s="127">
        <f>+G162*100/E162</f>
        <v>53.177945092571363</v>
      </c>
      <c r="N162" s="29">
        <v>684060.36</v>
      </c>
      <c r="Q162" s="1" t="s">
        <v>6</v>
      </c>
    </row>
    <row r="163" spans="1:17" ht="14.25" customHeight="1">
      <c r="A163" s="63">
        <v>611</v>
      </c>
      <c r="B163" s="78" t="s">
        <v>326</v>
      </c>
      <c r="C163" s="78">
        <v>1800</v>
      </c>
      <c r="D163" s="78">
        <f>4300</f>
        <v>4300</v>
      </c>
      <c r="E163" s="66">
        <v>4300</v>
      </c>
      <c r="F163" s="547">
        <v>0</v>
      </c>
      <c r="G163" s="54">
        <f>+N163+F163</f>
        <v>0</v>
      </c>
      <c r="H163" s="54"/>
      <c r="I163" s="78">
        <v>0</v>
      </c>
      <c r="J163" s="54">
        <f t="shared" si="52"/>
        <v>4300</v>
      </c>
      <c r="K163" s="78">
        <f t="shared" si="54"/>
        <v>4300</v>
      </c>
      <c r="L163" s="126"/>
      <c r="N163" s="29">
        <v>0</v>
      </c>
    </row>
    <row r="164" spans="1:17" ht="13.5" customHeight="1">
      <c r="A164" s="63">
        <v>612</v>
      </c>
      <c r="B164" s="78" t="s">
        <v>350</v>
      </c>
      <c r="C164" s="78">
        <v>172962</v>
      </c>
      <c r="D164" s="78">
        <f>1191962+299000</f>
        <v>1490962</v>
      </c>
      <c r="E164" s="66">
        <v>1490962</v>
      </c>
      <c r="F164" s="547">
        <v>559728.43000000005</v>
      </c>
      <c r="G164" s="537">
        <f>+F164+N164</f>
        <v>900530.29</v>
      </c>
      <c r="H164" s="54">
        <v>900530.29</v>
      </c>
      <c r="I164" s="78">
        <v>900530.29</v>
      </c>
      <c r="J164" s="54">
        <f t="shared" si="52"/>
        <v>590431.71</v>
      </c>
      <c r="K164" s="78">
        <f t="shared" si="54"/>
        <v>590431.71</v>
      </c>
      <c r="L164" s="126">
        <f>+G164*100/E164</f>
        <v>60.399278452435411</v>
      </c>
      <c r="N164" s="29">
        <v>340801.86</v>
      </c>
    </row>
    <row r="165" spans="1:17" ht="12" hidden="1" customHeight="1">
      <c r="A165" s="63">
        <v>613</v>
      </c>
      <c r="B165" s="78" t="s">
        <v>336</v>
      </c>
      <c r="C165" s="78">
        <v>0</v>
      </c>
      <c r="D165" s="78">
        <v>0</v>
      </c>
      <c r="E165" s="66"/>
      <c r="F165" s="547"/>
      <c r="G165" s="54">
        <f>+N165+F165</f>
        <v>0</v>
      </c>
      <c r="H165" s="54"/>
      <c r="I165" s="78"/>
      <c r="J165" s="54">
        <f t="shared" si="52"/>
        <v>0</v>
      </c>
      <c r="K165" s="78">
        <f t="shared" si="54"/>
        <v>0</v>
      </c>
      <c r="L165" s="126" t="e">
        <f>+G165*100/E165</f>
        <v>#DIV/0!</v>
      </c>
      <c r="N165" s="29">
        <v>0</v>
      </c>
    </row>
    <row r="166" spans="1:17" ht="12.75" customHeight="1">
      <c r="A166" s="63">
        <v>614</v>
      </c>
      <c r="B166" s="78" t="s">
        <v>335</v>
      </c>
      <c r="C166" s="78">
        <v>727916</v>
      </c>
      <c r="D166" s="78">
        <f>1022916+299000</f>
        <v>1321916</v>
      </c>
      <c r="E166" s="66">
        <v>1321916</v>
      </c>
      <c r="F166" s="547">
        <v>254328.58</v>
      </c>
      <c r="G166" s="54">
        <f>+N166+F166</f>
        <v>597587.07999999996</v>
      </c>
      <c r="H166" s="54">
        <v>597587.07999999996</v>
      </c>
      <c r="I166" s="78">
        <v>597587.07999999996</v>
      </c>
      <c r="J166" s="54">
        <f t="shared" si="52"/>
        <v>724328.92</v>
      </c>
      <c r="K166" s="78">
        <f t="shared" si="54"/>
        <v>724328.92</v>
      </c>
      <c r="L166" s="126">
        <f>+G166*100/E166</f>
        <v>45.206131100614556</v>
      </c>
      <c r="N166" s="29">
        <v>343258.5</v>
      </c>
    </row>
    <row r="167" spans="1:17" ht="13.5" customHeight="1">
      <c r="A167" s="63">
        <v>619</v>
      </c>
      <c r="B167" s="78" t="s">
        <v>333</v>
      </c>
      <c r="C167" s="78">
        <v>53546</v>
      </c>
      <c r="D167" s="78">
        <v>53546</v>
      </c>
      <c r="E167" s="66">
        <v>0</v>
      </c>
      <c r="F167" s="547">
        <v>0</v>
      </c>
      <c r="G167" s="54">
        <f>+N167+F167</f>
        <v>0</v>
      </c>
      <c r="H167" s="54"/>
      <c r="I167" s="78">
        <v>0</v>
      </c>
      <c r="J167" s="54">
        <f t="shared" si="52"/>
        <v>0</v>
      </c>
      <c r="K167" s="78">
        <f t="shared" si="54"/>
        <v>53546</v>
      </c>
      <c r="L167" s="126" t="s">
        <v>6</v>
      </c>
      <c r="N167" s="29">
        <v>0</v>
      </c>
    </row>
    <row r="168" spans="1:17" ht="13.5" customHeight="1">
      <c r="A168" s="62">
        <v>620</v>
      </c>
      <c r="B168" s="86" t="s">
        <v>286</v>
      </c>
      <c r="C168" s="86">
        <f>+C169+C170+C171</f>
        <v>730940</v>
      </c>
      <c r="D168" s="86">
        <f>+D169+D170+D171</f>
        <v>162207</v>
      </c>
      <c r="E168" s="533">
        <f t="shared" ref="E168:I168" si="57">+E169+E170+E171</f>
        <v>162207</v>
      </c>
      <c r="F168" s="86">
        <v>46645.94</v>
      </c>
      <c r="G168" s="86">
        <f t="shared" si="57"/>
        <v>120160.83</v>
      </c>
      <c r="H168" s="57">
        <f>+H170</f>
        <v>56893.29</v>
      </c>
      <c r="I168" s="86">
        <f t="shared" si="57"/>
        <v>42206.91</v>
      </c>
      <c r="J168" s="57">
        <f t="shared" si="52"/>
        <v>42046.17</v>
      </c>
      <c r="K168" s="86">
        <f t="shared" si="54"/>
        <v>42046.17</v>
      </c>
      <c r="L168" s="127">
        <f>+G168*100/E168</f>
        <v>74.078695740627722</v>
      </c>
      <c r="N168" s="29">
        <v>73514.89</v>
      </c>
    </row>
    <row r="169" spans="1:17" ht="13.5" customHeight="1">
      <c r="A169" s="63" t="s">
        <v>324</v>
      </c>
      <c r="B169" s="78" t="s">
        <v>325</v>
      </c>
      <c r="C169" s="78">
        <v>70000</v>
      </c>
      <c r="D169" s="78">
        <v>0</v>
      </c>
      <c r="E169" s="104">
        <v>0</v>
      </c>
      <c r="F169" s="547">
        <v>0</v>
      </c>
      <c r="G169" s="54">
        <f>+N169+F169</f>
        <v>0</v>
      </c>
      <c r="H169" s="54"/>
      <c r="I169" s="78">
        <v>0</v>
      </c>
      <c r="J169" s="54">
        <f t="shared" si="52"/>
        <v>0</v>
      </c>
      <c r="K169" s="78">
        <f t="shared" si="54"/>
        <v>0</v>
      </c>
      <c r="L169" s="126" t="s">
        <v>40</v>
      </c>
      <c r="N169" s="29">
        <v>0</v>
      </c>
    </row>
    <row r="170" spans="1:17" ht="12" customHeight="1">
      <c r="A170" s="63">
        <v>624</v>
      </c>
      <c r="B170" s="78" t="s">
        <v>287</v>
      </c>
      <c r="C170" s="78">
        <v>648440</v>
      </c>
      <c r="D170" s="78">
        <f>118358+19049+6500+18300</f>
        <v>162207</v>
      </c>
      <c r="E170" s="104">
        <v>162207</v>
      </c>
      <c r="F170" s="547">
        <v>46645.94</v>
      </c>
      <c r="G170" s="54">
        <f>+N170+F170</f>
        <v>120160.83</v>
      </c>
      <c r="H170" s="54">
        <v>56893.29</v>
      </c>
      <c r="I170" s="78">
        <v>42206.91</v>
      </c>
      <c r="J170" s="54">
        <f t="shared" si="52"/>
        <v>42046.17</v>
      </c>
      <c r="K170" s="78">
        <f t="shared" si="54"/>
        <v>42046.17</v>
      </c>
      <c r="L170" s="126">
        <f>+G170*100/E170</f>
        <v>74.078695740627722</v>
      </c>
      <c r="N170" s="29">
        <v>73514.89</v>
      </c>
    </row>
    <row r="171" spans="1:17" ht="12" customHeight="1">
      <c r="A171" s="63">
        <v>629</v>
      </c>
      <c r="B171" s="78" t="s">
        <v>442</v>
      </c>
      <c r="C171" s="78">
        <v>12500</v>
      </c>
      <c r="D171" s="78">
        <v>0</v>
      </c>
      <c r="E171" s="104">
        <v>0</v>
      </c>
      <c r="F171" s="547"/>
      <c r="G171" s="54"/>
      <c r="H171" s="54"/>
      <c r="I171" s="66"/>
      <c r="J171" s="54"/>
      <c r="K171" s="78"/>
      <c r="L171" s="134"/>
      <c r="N171" s="29"/>
    </row>
    <row r="172" spans="1:17" ht="12" customHeight="1">
      <c r="A172" s="62">
        <v>640</v>
      </c>
      <c r="B172" s="86" t="s">
        <v>443</v>
      </c>
      <c r="C172" s="86">
        <f>+C173</f>
        <v>159266</v>
      </c>
      <c r="D172" s="86">
        <f>+D173</f>
        <v>159266</v>
      </c>
      <c r="E172" s="533">
        <f>+E173</f>
        <v>159266</v>
      </c>
      <c r="F172" s="86">
        <f t="shared" ref="F172:K172" si="58">+F173</f>
        <v>0</v>
      </c>
      <c r="G172" s="86">
        <f t="shared" si="58"/>
        <v>0</v>
      </c>
      <c r="H172" s="86">
        <f t="shared" si="58"/>
        <v>0</v>
      </c>
      <c r="I172" s="86">
        <f t="shared" si="58"/>
        <v>0</v>
      </c>
      <c r="J172" s="86">
        <f t="shared" si="58"/>
        <v>0</v>
      </c>
      <c r="K172" s="86">
        <f t="shared" si="58"/>
        <v>0</v>
      </c>
      <c r="L172" s="134"/>
      <c r="N172" s="29">
        <v>0</v>
      </c>
    </row>
    <row r="173" spans="1:17" ht="12" customHeight="1">
      <c r="A173" s="63">
        <v>641</v>
      </c>
      <c r="B173" s="78" t="s">
        <v>444</v>
      </c>
      <c r="C173" s="78">
        <v>159266</v>
      </c>
      <c r="D173" s="78">
        <v>159266</v>
      </c>
      <c r="E173" s="104">
        <v>159266</v>
      </c>
      <c r="F173" s="547"/>
      <c r="G173" s="54"/>
      <c r="H173" s="54"/>
      <c r="I173" s="66"/>
      <c r="J173" s="54"/>
      <c r="K173" s="78"/>
      <c r="N173" s="29"/>
    </row>
    <row r="174" spans="1:17">
      <c r="A174" s="62" t="s">
        <v>288</v>
      </c>
      <c r="B174" s="108" t="s">
        <v>289</v>
      </c>
      <c r="C174" s="86">
        <f>SUM(C175:C177)</f>
        <v>287000</v>
      </c>
      <c r="D174" s="86">
        <f>SUM(D175:D177)</f>
        <v>86500</v>
      </c>
      <c r="E174" s="533">
        <f>SUM(E175:E177)</f>
        <v>86500</v>
      </c>
      <c r="F174" s="546">
        <v>1815</v>
      </c>
      <c r="G174" s="57">
        <f t="shared" ref="G174:G179" si="59">+N174+F174</f>
        <v>22424.21</v>
      </c>
      <c r="H174" s="57">
        <f>+H176+H177</f>
        <v>900</v>
      </c>
      <c r="I174" s="67">
        <f>SUM(I175:I177)</f>
        <v>900</v>
      </c>
      <c r="J174" s="57">
        <f>+E174-G174</f>
        <v>64075.79</v>
      </c>
      <c r="K174" s="86">
        <f t="shared" ref="K174:K179" si="60">+D174-G174</f>
        <v>64075.79</v>
      </c>
      <c r="L174" s="127">
        <f>+G174*100/E174</f>
        <v>25.92394219653179</v>
      </c>
      <c r="N174" s="29">
        <v>20609.21</v>
      </c>
    </row>
    <row r="175" spans="1:17" ht="13.5" customHeight="1">
      <c r="A175" s="63">
        <v>662</v>
      </c>
      <c r="B175" s="101" t="s">
        <v>290</v>
      </c>
      <c r="C175" s="78">
        <v>116000</v>
      </c>
      <c r="D175" s="78">
        <v>46500</v>
      </c>
      <c r="E175" s="104">
        <v>46500</v>
      </c>
      <c r="F175" s="547">
        <v>0</v>
      </c>
      <c r="G175" s="54">
        <f t="shared" si="59"/>
        <v>13500</v>
      </c>
      <c r="H175" s="54"/>
      <c r="I175" s="78">
        <v>0</v>
      </c>
      <c r="J175" s="54">
        <f>+E175-G175</f>
        <v>33000</v>
      </c>
      <c r="K175" s="78">
        <f t="shared" si="60"/>
        <v>33000</v>
      </c>
      <c r="L175" s="126">
        <f>+G175*100/E175</f>
        <v>29.032258064516128</v>
      </c>
      <c r="N175" s="29">
        <v>13500</v>
      </c>
      <c r="O175" t="s">
        <v>445</v>
      </c>
    </row>
    <row r="176" spans="1:17" ht="11.25" customHeight="1">
      <c r="A176" s="63" t="s">
        <v>291</v>
      </c>
      <c r="B176" s="101" t="s">
        <v>292</v>
      </c>
      <c r="C176" s="78">
        <v>0</v>
      </c>
      <c r="D176" s="78">
        <v>6000</v>
      </c>
      <c r="E176" s="104">
        <v>6000</v>
      </c>
      <c r="F176" s="547">
        <v>1815</v>
      </c>
      <c r="G176" s="54">
        <f t="shared" si="59"/>
        <v>5790</v>
      </c>
      <c r="H176" s="54"/>
      <c r="I176" s="78">
        <v>0</v>
      </c>
      <c r="J176" s="54" t="s">
        <v>6</v>
      </c>
      <c r="K176" s="78">
        <f t="shared" si="60"/>
        <v>210</v>
      </c>
      <c r="L176" s="126">
        <f>+G176*100/E176</f>
        <v>96.5</v>
      </c>
      <c r="N176" s="29">
        <v>3975</v>
      </c>
    </row>
    <row r="177" spans="1:14" ht="12.75" customHeight="1">
      <c r="A177" s="63" t="s">
        <v>293</v>
      </c>
      <c r="B177" s="101" t="s">
        <v>294</v>
      </c>
      <c r="C177" s="78">
        <v>171000</v>
      </c>
      <c r="D177" s="78">
        <v>34000</v>
      </c>
      <c r="E177" s="104">
        <v>34000</v>
      </c>
      <c r="F177" s="547">
        <v>0</v>
      </c>
      <c r="G177" s="54">
        <f t="shared" si="59"/>
        <v>3134.21</v>
      </c>
      <c r="H177" s="54">
        <v>900</v>
      </c>
      <c r="I177" s="78">
        <v>900</v>
      </c>
      <c r="J177" s="54">
        <f>+E177-G177</f>
        <v>30865.79</v>
      </c>
      <c r="K177" s="78">
        <f t="shared" si="60"/>
        <v>30865.79</v>
      </c>
      <c r="L177" s="126">
        <f>+G177*100/E177</f>
        <v>9.218264705882353</v>
      </c>
      <c r="N177" s="29">
        <v>3134.21</v>
      </c>
    </row>
    <row r="178" spans="1:14" ht="17.25" customHeight="1">
      <c r="A178" s="62">
        <v>690</v>
      </c>
      <c r="B178" s="86" t="s">
        <v>329</v>
      </c>
      <c r="C178" s="86">
        <f>+C179</f>
        <v>0</v>
      </c>
      <c r="D178" s="86">
        <f>+D181+D180</f>
        <v>41580</v>
      </c>
      <c r="E178" s="67">
        <f>+E181+E180</f>
        <v>41580</v>
      </c>
      <c r="F178" s="546">
        <v>1815</v>
      </c>
      <c r="G178" s="86">
        <f t="shared" si="59"/>
        <v>23895</v>
      </c>
      <c r="H178" s="54"/>
      <c r="I178" s="86">
        <f>+I179</f>
        <v>0</v>
      </c>
      <c r="J178" s="57">
        <f>+E178-G178</f>
        <v>17685</v>
      </c>
      <c r="K178" s="86">
        <f t="shared" si="60"/>
        <v>17685</v>
      </c>
      <c r="L178" s="127">
        <f>+G178*100/E178</f>
        <v>57.467532467532465</v>
      </c>
      <c r="N178" s="29">
        <v>22080</v>
      </c>
    </row>
    <row r="179" spans="1:14" ht="15.75" customHeight="1">
      <c r="A179" s="63">
        <v>692</v>
      </c>
      <c r="B179" s="101" t="s">
        <v>432</v>
      </c>
      <c r="C179" s="78"/>
      <c r="D179" s="78"/>
      <c r="E179" s="104">
        <v>0</v>
      </c>
      <c r="F179" s="66">
        <v>0</v>
      </c>
      <c r="G179" s="78">
        <f t="shared" si="59"/>
        <v>0</v>
      </c>
      <c r="H179" s="54"/>
      <c r="I179" s="78">
        <v>0</v>
      </c>
      <c r="J179" s="54">
        <f>+E179-G179</f>
        <v>0</v>
      </c>
      <c r="K179" s="78">
        <f t="shared" si="60"/>
        <v>0</v>
      </c>
      <c r="L179" s="126" t="s">
        <v>6</v>
      </c>
      <c r="N179" s="29">
        <v>0</v>
      </c>
    </row>
    <row r="180" spans="1:14" ht="18" customHeight="1">
      <c r="A180" s="63">
        <v>693</v>
      </c>
      <c r="B180" s="101" t="s">
        <v>438</v>
      </c>
      <c r="C180" s="78"/>
      <c r="D180" s="78">
        <v>2000</v>
      </c>
      <c r="E180" s="104">
        <v>2000</v>
      </c>
      <c r="F180" s="549"/>
      <c r="G180" s="66"/>
      <c r="H180" s="54"/>
      <c r="I180" s="78"/>
      <c r="J180" s="54"/>
      <c r="K180" s="78"/>
      <c r="L180" s="126" t="s">
        <v>6</v>
      </c>
      <c r="N180" s="29"/>
    </row>
    <row r="181" spans="1:14" ht="15.75" customHeight="1" thickBot="1">
      <c r="A181" s="63">
        <v>697</v>
      </c>
      <c r="B181" s="101" t="s">
        <v>338</v>
      </c>
      <c r="C181" s="78"/>
      <c r="D181" s="78">
        <f>22080+17500</f>
        <v>39580</v>
      </c>
      <c r="E181" s="534">
        <v>39580</v>
      </c>
      <c r="F181" s="66">
        <v>1815</v>
      </c>
      <c r="G181" s="54">
        <f>+N181+F181</f>
        <v>23895</v>
      </c>
      <c r="H181" s="54"/>
      <c r="I181" s="78"/>
      <c r="J181" s="551">
        <f>+E181-G181</f>
        <v>15685</v>
      </c>
      <c r="K181" s="86">
        <f>+D181-G181</f>
        <v>15685</v>
      </c>
      <c r="L181" s="126">
        <f>+G181*100/E181</f>
        <v>60.371399696816574</v>
      </c>
      <c r="N181" s="29">
        <v>22080</v>
      </c>
    </row>
    <row r="182" spans="1:14" ht="28.9" customHeight="1" thickBot="1">
      <c r="A182" s="69" t="s">
        <v>6</v>
      </c>
      <c r="B182" s="109" t="s">
        <v>295</v>
      </c>
      <c r="C182" s="110">
        <f t="shared" ref="C182:E182" si="61">+C159+C154+C94+C37+C11</f>
        <v>141094806</v>
      </c>
      <c r="D182" s="110">
        <f>+D159+D154+D94+D37+D11</f>
        <v>140457693</v>
      </c>
      <c r="E182" s="535">
        <f t="shared" si="61"/>
        <v>98029277</v>
      </c>
      <c r="F182" s="550">
        <f>+F159+F154+F94+F37+F11</f>
        <v>13172504.060000001</v>
      </c>
      <c r="G182" s="110">
        <f>+G11+G37+G94+G154+G159</f>
        <v>81242997.969999999</v>
      </c>
      <c r="H182" s="110">
        <f>+H159+H154+H94+H37+H11</f>
        <v>68963756.280000001</v>
      </c>
      <c r="I182" s="110">
        <f>+I159+I154+I94+I37+I11</f>
        <v>72899055.929999992</v>
      </c>
      <c r="J182" s="111">
        <f>+E182-G182</f>
        <v>16786279.030000001</v>
      </c>
      <c r="K182" s="110">
        <f>+D182-G182</f>
        <v>59214695.030000001</v>
      </c>
      <c r="L182" s="128">
        <f>+G182*100/E182</f>
        <v>82.876259477053978</v>
      </c>
      <c r="N182" s="29">
        <v>68042750.209999993</v>
      </c>
    </row>
    <row r="183" spans="1:14">
      <c r="F183" s="119"/>
      <c r="H183" s="11" t="s">
        <v>6</v>
      </c>
      <c r="I183" s="11" t="s">
        <v>6</v>
      </c>
    </row>
    <row r="184" spans="1:14">
      <c r="F184" s="119"/>
      <c r="G184" s="11">
        <v>81269238.989999995</v>
      </c>
    </row>
    <row r="185" spans="1:14">
      <c r="F185" s="119"/>
      <c r="G185" s="11" t="s">
        <v>6</v>
      </c>
    </row>
    <row r="186" spans="1:14">
      <c r="F186" s="119"/>
    </row>
    <row r="187" spans="1:14">
      <c r="F187" s="119"/>
      <c r="G187" s="10">
        <f>+G184-G182</f>
        <v>26241.019999995828</v>
      </c>
    </row>
    <row r="188" spans="1:14">
      <c r="F188" s="119"/>
    </row>
    <row r="189" spans="1:14">
      <c r="F189" s="119"/>
    </row>
    <row r="190" spans="1:14">
      <c r="F190" s="119"/>
    </row>
    <row r="191" spans="1:14">
      <c r="F191" s="119"/>
    </row>
    <row r="192" spans="1:14">
      <c r="D192" s="119"/>
      <c r="E192" s="10"/>
      <c r="F192" s="119"/>
      <c r="H192" s="10"/>
      <c r="I192" s="10"/>
      <c r="N192" s="29" t="s">
        <v>6</v>
      </c>
    </row>
    <row r="193" spans="2:9">
      <c r="D193" s="10"/>
      <c r="G193" s="119"/>
      <c r="I193" s="34" t="s">
        <v>6</v>
      </c>
    </row>
    <row r="194" spans="2:9">
      <c r="D194" s="34"/>
      <c r="E194" s="10"/>
      <c r="G194" s="119"/>
      <c r="I194" s="10" t="s">
        <v>6</v>
      </c>
    </row>
    <row r="195" spans="2:9">
      <c r="D195" s="10" t="s">
        <v>6</v>
      </c>
    </row>
    <row r="196" spans="2:9">
      <c r="D196" s="119" t="s">
        <v>6</v>
      </c>
      <c r="G196" s="119" t="s">
        <v>6</v>
      </c>
    </row>
    <row r="197" spans="2:9">
      <c r="B197" s="478" t="s">
        <v>6</v>
      </c>
      <c r="D197" s="119"/>
    </row>
    <row r="198" spans="2:9">
      <c r="C198" s="119"/>
    </row>
    <row r="199" spans="2:9">
      <c r="C199" s="119"/>
    </row>
    <row r="200" spans="2:9">
      <c r="C200" s="119"/>
    </row>
    <row r="201" spans="2:9">
      <c r="C201" s="119"/>
    </row>
  </sheetData>
  <mergeCells count="13">
    <mergeCell ref="N8:N10"/>
    <mergeCell ref="A2:L2"/>
    <mergeCell ref="A3:L3"/>
    <mergeCell ref="A4:L4"/>
    <mergeCell ref="A5:L5"/>
    <mergeCell ref="C8:E9"/>
    <mergeCell ref="F8:G9"/>
    <mergeCell ref="I8:I10"/>
    <mergeCell ref="L8:L10"/>
    <mergeCell ref="B8:B10"/>
    <mergeCell ref="A8:A10"/>
    <mergeCell ref="H8:H10"/>
    <mergeCell ref="J8:K10"/>
  </mergeCells>
  <phoneticPr fontId="2" type="noConversion"/>
  <pageMargins left="0.51181102362204722" right="0.11811023622047245" top="0.55118110236220474" bottom="0.55118110236220474" header="0.31496062992125984" footer="0.31496062992125984"/>
  <pageSetup scale="80" orientation="portrait" r:id="rId1"/>
  <ignoredErrors>
    <ignoredError sqref="I128 C134 E134 C45 E45 E16 E22 H45:I45 C16:D16 H134" formulaRange="1"/>
    <ignoredError sqref="G29 G16 G68:G71 G136:G137 D11:D12 G90:G93 G154:G155 G139:G142 G181:G182 G106:G107 G126 G121:G122 G164:G179 G83:G84 E62 G117:G119 H168 G11:G12 G86 E162 G72:G77 G55 G157 G159:G163 G99:G103 G111:G113 G127:G131 G144:G145 G115 G88:G89 D159 G133 G123:G124 D73 G63 G59" formula="1"/>
    <ignoredError sqref="G134 H16:I16" formula="1" formulaRange="1"/>
    <ignoredError sqref="A118:B118 A12:A15 A94:A117 A119:A120 A121:A143 J118:K118 O118:XFD118 A17:A19 A22:A23 A24:A35 A39:A40 A41:A81 A16 A82:A93 A36:A38 A20:A21 M1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B050"/>
  </sheetPr>
  <dimension ref="A1:P149"/>
  <sheetViews>
    <sheetView showGridLines="0" showZeros="0" workbookViewId="0">
      <selection activeCell="A4" sqref="A4:L59"/>
    </sheetView>
  </sheetViews>
  <sheetFormatPr baseColWidth="10" defaultRowHeight="12.75"/>
  <cols>
    <col min="1" max="1" width="4.85546875" customWidth="1"/>
    <col min="2" max="2" width="32.5703125" customWidth="1"/>
    <col min="3" max="3" width="12.7109375" customWidth="1"/>
    <col min="4" max="4" width="13.28515625" customWidth="1"/>
    <col min="5" max="5" width="11.140625" customWidth="1"/>
    <col min="6" max="6" width="14.5703125" hidden="1" customWidth="1"/>
    <col min="7" max="7" width="14.85546875" customWidth="1"/>
    <col min="8" max="8" width="11.28515625" customWidth="1"/>
    <col min="9" max="9" width="11.42578125" customWidth="1"/>
    <col min="10" max="10" width="11" customWidth="1"/>
    <col min="11" max="11" width="13.42578125" hidden="1" customWidth="1"/>
    <col min="12" max="12" width="12.140625" customWidth="1"/>
  </cols>
  <sheetData>
    <row r="1" spans="1:12" ht="20.25" customHeight="1">
      <c r="A1" s="576" t="s">
        <v>377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</row>
    <row r="2" spans="1:12" ht="18.75" customHeight="1">
      <c r="A2" s="576" t="s">
        <v>376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</row>
    <row r="3" spans="1:12" ht="19.899999999999999" customHeight="1">
      <c r="A3" s="577" t="s">
        <v>506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</row>
    <row r="4" spans="1:12" ht="19.899999999999999" customHeight="1">
      <c r="A4" s="577" t="s">
        <v>540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</row>
    <row r="5" spans="1:12" ht="6" customHeight="1">
      <c r="A5" s="648"/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</row>
    <row r="6" spans="1:12" ht="19.899999999999999" customHeight="1">
      <c r="A6" s="652" t="s">
        <v>367</v>
      </c>
      <c r="B6" s="655" t="s">
        <v>0</v>
      </c>
      <c r="C6" s="664" t="s">
        <v>33</v>
      </c>
      <c r="D6" s="665"/>
      <c r="E6" s="665"/>
      <c r="F6" s="665"/>
      <c r="G6" s="665"/>
      <c r="H6" s="665"/>
      <c r="I6" s="666"/>
      <c r="J6" s="658" t="s">
        <v>297</v>
      </c>
      <c r="K6" s="659"/>
      <c r="L6" s="649" t="s">
        <v>369</v>
      </c>
    </row>
    <row r="7" spans="1:12" ht="6" customHeight="1">
      <c r="A7" s="653"/>
      <c r="B7" s="656"/>
      <c r="C7" s="667"/>
      <c r="D7" s="668"/>
      <c r="E7" s="668"/>
      <c r="F7" s="668"/>
      <c r="G7" s="668"/>
      <c r="H7" s="668"/>
      <c r="I7" s="669"/>
      <c r="J7" s="660"/>
      <c r="K7" s="661"/>
      <c r="L7" s="650"/>
    </row>
    <row r="8" spans="1:12" ht="34.5" customHeight="1">
      <c r="A8" s="654"/>
      <c r="B8" s="657"/>
      <c r="C8" s="291" t="s">
        <v>84</v>
      </c>
      <c r="D8" s="509" t="s">
        <v>525</v>
      </c>
      <c r="E8" s="291" t="s">
        <v>2</v>
      </c>
      <c r="F8" s="470" t="s">
        <v>38</v>
      </c>
      <c r="G8" s="467" t="s">
        <v>516</v>
      </c>
      <c r="H8" s="468" t="s">
        <v>514</v>
      </c>
      <c r="I8" s="469" t="s">
        <v>344</v>
      </c>
      <c r="J8" s="662"/>
      <c r="K8" s="663"/>
      <c r="L8" s="651"/>
    </row>
    <row r="9" spans="1:12" ht="31.5" customHeight="1">
      <c r="A9" s="292" t="s">
        <v>85</v>
      </c>
      <c r="B9" s="293" t="s">
        <v>86</v>
      </c>
      <c r="C9" s="294">
        <f t="shared" ref="C9" si="0">SUM(C10+C14+C15+C16+C17+C18+C19)</f>
        <v>125299729</v>
      </c>
      <c r="D9" s="294">
        <f>SUM(D10+D14+D15+D16+D17+D18+D19)</f>
        <v>123578084</v>
      </c>
      <c r="E9" s="294">
        <f>SUM(E10+E14+E15+E16+E17+E18+E19)</f>
        <v>81936460</v>
      </c>
      <c r="F9" s="294">
        <f t="shared" ref="F9:G9" si="1">SUM(F10+F14+F15+F16+F17+F18+F19)</f>
        <v>10919493.309999999</v>
      </c>
      <c r="G9" s="294">
        <f t="shared" si="1"/>
        <v>70922087.390000001</v>
      </c>
      <c r="H9" s="294">
        <f>SUM(H10+H14+H15+H16+H17+H18+H19)</f>
        <v>61674178.609999999</v>
      </c>
      <c r="I9" s="294">
        <f>SUM(I10+I14+I15+I16+I17+I18+I19)</f>
        <v>67418344.079999998</v>
      </c>
      <c r="J9" s="294">
        <f>+E9-G9</f>
        <v>11014372.609999999</v>
      </c>
      <c r="K9" s="294">
        <f>+D9-G9</f>
        <v>52655996.609999999</v>
      </c>
      <c r="L9" s="295">
        <f>+'EJEC GASTOS'!L11</f>
        <v>86.557421921816001</v>
      </c>
    </row>
    <row r="10" spans="1:12" ht="18" customHeight="1">
      <c r="A10" s="296" t="s">
        <v>87</v>
      </c>
      <c r="B10" s="297" t="s">
        <v>88</v>
      </c>
      <c r="C10" s="298">
        <f>SUM(C11:C13)</f>
        <v>83395405</v>
      </c>
      <c r="D10" s="298">
        <f>+D11+D12+D13</f>
        <v>82072320</v>
      </c>
      <c r="E10" s="298">
        <f>SUM(E11:E13)</f>
        <v>54604337</v>
      </c>
      <c r="F10" s="298">
        <f>SUM(F11:F13)</f>
        <v>5935742.6399999997</v>
      </c>
      <c r="G10" s="298">
        <f>SUM(G11:G13)</f>
        <v>47466005.499999993</v>
      </c>
      <c r="H10" s="142">
        <f>+H11+H12+H13</f>
        <v>47466005.5</v>
      </c>
      <c r="I10" s="298">
        <f>SUM(I11:I13)</f>
        <v>47466005.5</v>
      </c>
      <c r="J10" s="298">
        <f>+E10-G10</f>
        <v>7138331.5000000075</v>
      </c>
      <c r="K10" s="298">
        <f>+D10-G10</f>
        <v>34606314.500000007</v>
      </c>
      <c r="L10" s="299">
        <f>+'EJEC GASTOS'!L12</f>
        <v>86.927171187885662</v>
      </c>
    </row>
    <row r="11" spans="1:12" ht="16.5" customHeight="1">
      <c r="A11" s="300" t="s">
        <v>89</v>
      </c>
      <c r="B11" s="301" t="s">
        <v>88</v>
      </c>
      <c r="C11" s="302">
        <f>+'EJEC GASTOS'!C13</f>
        <v>71073045</v>
      </c>
      <c r="D11" s="302">
        <f>+'EJEC GASTOS'!D13</f>
        <v>69423045</v>
      </c>
      <c r="E11" s="302">
        <f>+'EJEC GASTOS'!E13</f>
        <v>45587101</v>
      </c>
      <c r="F11" s="302">
        <f>+'EJEC GASTOS'!F13</f>
        <v>5227292.55</v>
      </c>
      <c r="G11" s="302">
        <f>+'EJEC GASTOS'!G13</f>
        <v>40709770.919999994</v>
      </c>
      <c r="H11" s="302">
        <f>+'EJEC GASTOS'!H13</f>
        <v>40709770.920000002</v>
      </c>
      <c r="I11" s="302">
        <f>+'EJEC GASTOS'!I13</f>
        <v>40709770.920000002</v>
      </c>
      <c r="J11" s="302">
        <f>+'EJEC GASTOS'!J13</f>
        <v>4877330.0800000057</v>
      </c>
      <c r="K11" s="302">
        <f>+'EJEC GASTOS'!K13</f>
        <v>28713274.080000006</v>
      </c>
      <c r="L11" s="303">
        <f>+'EJEC GASTOS'!L13</f>
        <v>89.301074266600097</v>
      </c>
    </row>
    <row r="12" spans="1:12" ht="15.75" customHeight="1">
      <c r="A12" s="300" t="s">
        <v>90</v>
      </c>
      <c r="B12" s="301" t="s">
        <v>91</v>
      </c>
      <c r="C12" s="302">
        <f>+'EJEC GASTOS'!C14</f>
        <v>3944236</v>
      </c>
      <c r="D12" s="302">
        <f>+'EJEC GASTOS'!D14</f>
        <v>3844236</v>
      </c>
      <c r="E12" s="302">
        <f>+'EJEC GASTOS'!E14</f>
        <v>2508208</v>
      </c>
      <c r="F12" s="302">
        <f>+'EJEC GASTOS'!F14</f>
        <v>273553.38</v>
      </c>
      <c r="G12" s="302">
        <f>+'EJEC GASTOS'!G14</f>
        <v>1976568.6099999999</v>
      </c>
      <c r="H12" s="302">
        <f>+'EJEC GASTOS'!H14</f>
        <v>1976568.61</v>
      </c>
      <c r="I12" s="302">
        <f>+'EJEC GASTOS'!I14</f>
        <v>1976568.61</v>
      </c>
      <c r="J12" s="302">
        <f>+'EJEC GASTOS'!J14</f>
        <v>531639.39000000013</v>
      </c>
      <c r="K12" s="302">
        <f>+'EJEC GASTOS'!K14</f>
        <v>1867667.3900000001</v>
      </c>
      <c r="L12" s="303">
        <f>+'EJEC GASTOS'!L14</f>
        <v>78.804015057762356</v>
      </c>
    </row>
    <row r="13" spans="1:12" ht="18.75" customHeight="1">
      <c r="A13" s="300" t="s">
        <v>92</v>
      </c>
      <c r="B13" s="301" t="s">
        <v>93</v>
      </c>
      <c r="C13" s="302">
        <f>+'EJEC GASTOS'!C15</f>
        <v>8378124</v>
      </c>
      <c r="D13" s="302">
        <f>+'EJEC GASTOS'!D15</f>
        <v>8805039</v>
      </c>
      <c r="E13" s="302">
        <f>+'EJEC GASTOS'!E15</f>
        <v>6509028</v>
      </c>
      <c r="F13" s="302">
        <f>+'EJEC GASTOS'!F15</f>
        <v>434896.71</v>
      </c>
      <c r="G13" s="302">
        <f>+'EJEC GASTOS'!G15</f>
        <v>4779665.97</v>
      </c>
      <c r="H13" s="302">
        <f>+'EJEC GASTOS'!H15</f>
        <v>4779665.97</v>
      </c>
      <c r="I13" s="302">
        <f>+'EJEC GASTOS'!I15</f>
        <v>4779665.97</v>
      </c>
      <c r="J13" s="302">
        <f>+'EJEC GASTOS'!J15</f>
        <v>1729362.0300000003</v>
      </c>
      <c r="K13" s="302">
        <f>+'EJEC GASTOS'!K15</f>
        <v>4025373.0300000003</v>
      </c>
      <c r="L13" s="303">
        <f>+'EJEC GASTOS'!L15</f>
        <v>73.431332143601168</v>
      </c>
    </row>
    <row r="14" spans="1:12" ht="18" customHeight="1">
      <c r="A14" s="300" t="s">
        <v>94</v>
      </c>
      <c r="B14" s="301" t="s">
        <v>95</v>
      </c>
      <c r="C14" s="302">
        <f>+'EJEC GASTOS'!C16</f>
        <v>17439165</v>
      </c>
      <c r="D14" s="302">
        <f>+'EJEC GASTOS'!D16</f>
        <v>17045165</v>
      </c>
      <c r="E14" s="302">
        <f>+'EJEC GASTOS'!E16</f>
        <v>10783048</v>
      </c>
      <c r="F14" s="302">
        <f>+'EJEC GASTOS'!F16</f>
        <v>1371158.56</v>
      </c>
      <c r="G14" s="302">
        <f>+'EJEC GASTOS'!G16</f>
        <v>9688219.3800000008</v>
      </c>
      <c r="H14" s="302">
        <f>+'EJEC GASTOS'!H16</f>
        <v>9688219.3800000008</v>
      </c>
      <c r="I14" s="302">
        <f>+'EJEC GASTOS'!I16</f>
        <v>9688219.3800000008</v>
      </c>
      <c r="J14" s="302">
        <f>+'EJEC GASTOS'!J16</f>
        <v>1094828.6199999992</v>
      </c>
      <c r="K14" s="302">
        <f>+'EJEC GASTOS'!K16</f>
        <v>7356945.6199999992</v>
      </c>
      <c r="L14" s="303">
        <f>+'EJEC GASTOS'!L16</f>
        <v>89.846761138409107</v>
      </c>
    </row>
    <row r="15" spans="1:12" ht="18" customHeight="1">
      <c r="A15" s="300" t="s">
        <v>101</v>
      </c>
      <c r="B15" s="301" t="s">
        <v>102</v>
      </c>
      <c r="C15" s="302">
        <f>+'EJEC GASTOS'!C20</f>
        <v>228000</v>
      </c>
      <c r="D15" s="302">
        <f>+'EJEC GASTOS'!D20</f>
        <v>247000</v>
      </c>
      <c r="E15" s="302">
        <f>+'EJEC GASTOS'!E20</f>
        <v>171000</v>
      </c>
      <c r="F15" s="302">
        <f>+'EJEC GASTOS'!F20</f>
        <v>21700</v>
      </c>
      <c r="G15" s="302">
        <f>+'EJEC GASTOS'!G20</f>
        <v>150316.66999999998</v>
      </c>
      <c r="H15" s="302">
        <f>+'EJEC GASTOS'!H20</f>
        <v>153266.67000000001</v>
      </c>
      <c r="I15" s="302">
        <f>+'EJEC GASTOS'!I20</f>
        <v>150316.67000000001</v>
      </c>
      <c r="J15" s="302">
        <f>+'EJEC GASTOS'!J20</f>
        <v>20683.330000000016</v>
      </c>
      <c r="K15" s="302">
        <f>+'EJEC GASTOS'!K20</f>
        <v>96683.330000000016</v>
      </c>
      <c r="L15" s="303">
        <f>+'EJEC GASTOS'!L20</f>
        <v>87.904485380116952</v>
      </c>
    </row>
    <row r="16" spans="1:12" ht="16.5" customHeight="1">
      <c r="A16" s="300" t="s">
        <v>103</v>
      </c>
      <c r="B16" s="301" t="s">
        <v>104</v>
      </c>
      <c r="C16" s="302">
        <f>+'EJEC GASTOS'!C21</f>
        <v>8407425</v>
      </c>
      <c r="D16" s="302">
        <f>+'EJEC GASTOS'!D21</f>
        <v>8020865</v>
      </c>
      <c r="E16" s="302">
        <f>+'EJEC GASTOS'!E21</f>
        <v>5218406</v>
      </c>
      <c r="F16" s="302">
        <f>+'EJEC GASTOS'!F21</f>
        <v>2156201.0099999998</v>
      </c>
      <c r="G16" s="302">
        <f>+'EJEC GASTOS'!G21</f>
        <v>4191342.51</v>
      </c>
      <c r="H16" s="302">
        <f>+'EJEC GASTOS'!H21</f>
        <v>4191394.59</v>
      </c>
      <c r="I16" s="302">
        <f>+'EJEC GASTOS'!I21</f>
        <v>4191342.51</v>
      </c>
      <c r="J16" s="302">
        <f>+'EJEC GASTOS'!J21</f>
        <v>1027063.4900000002</v>
      </c>
      <c r="K16" s="302">
        <f>+'EJEC GASTOS'!K21</f>
        <v>3829522.49</v>
      </c>
      <c r="L16" s="303">
        <f>+'EJEC GASTOS'!L21</f>
        <v>80.318444176248462</v>
      </c>
    </row>
    <row r="17" spans="1:13" ht="15" customHeight="1">
      <c r="A17" s="300" t="s">
        <v>105</v>
      </c>
      <c r="B17" s="301" t="s">
        <v>106</v>
      </c>
      <c r="C17" s="302">
        <f>+'EJEC GASTOS'!C22</f>
        <v>15829734</v>
      </c>
      <c r="D17" s="302">
        <f>+'EJEC GASTOS'!D22</f>
        <v>15779734</v>
      </c>
      <c r="E17" s="302">
        <f>+'EJEC GASTOS'!E22</f>
        <v>10746669</v>
      </c>
      <c r="F17" s="302">
        <f>+'EJEC GASTOS'!F22</f>
        <v>1379932.37</v>
      </c>
      <c r="G17" s="302">
        <f>+'EJEC GASTOS'!G22</f>
        <v>9222485.7400000002</v>
      </c>
      <c r="H17" s="302">
        <v>0</v>
      </c>
      <c r="I17" s="302">
        <f>+'EJEC GASTOS'!I22</f>
        <v>5736108.9400000004</v>
      </c>
      <c r="J17" s="302">
        <f>+'EJEC GASTOS'!J22</f>
        <v>1524183.2599999998</v>
      </c>
      <c r="K17" s="302">
        <f>+'EJEC GASTOS'!K22</f>
        <v>6557248.2599999998</v>
      </c>
      <c r="L17" s="303">
        <f>+'EJEC GASTOS'!L22</f>
        <v>85.817156367242731</v>
      </c>
    </row>
    <row r="18" spans="1:13" ht="18" hidden="1" customHeight="1">
      <c r="A18" s="300" t="s">
        <v>115</v>
      </c>
      <c r="B18" s="301" t="s">
        <v>116</v>
      </c>
      <c r="C18" s="302">
        <f>+'EJEC GASTOS'!C27</f>
        <v>0</v>
      </c>
      <c r="D18" s="302">
        <v>0</v>
      </c>
      <c r="E18" s="302">
        <f>+'EJEC GASTOS'!E27</f>
        <v>0</v>
      </c>
      <c r="F18" s="302">
        <f>+'EJEC GASTOS'!F27</f>
        <v>0</v>
      </c>
      <c r="G18" s="302">
        <f>+'EJEC GASTOS'!G27</f>
        <v>0</v>
      </c>
      <c r="H18" s="302">
        <f>+'EJEC GASTOS'!H23</f>
        <v>0</v>
      </c>
      <c r="I18" s="302">
        <f>+'EJEC GASTOS'!I27</f>
        <v>0</v>
      </c>
      <c r="J18" s="302">
        <f>+'EJEC GASTOS'!J27</f>
        <v>0</v>
      </c>
      <c r="K18" s="302" t="e">
        <f>+'EJEC GASTOS'!K27</f>
        <v>#REF!</v>
      </c>
      <c r="L18" s="303">
        <f>+'EJEC GASTOS'!L27</f>
        <v>0</v>
      </c>
    </row>
    <row r="19" spans="1:13" ht="18.75" customHeight="1">
      <c r="A19" s="300" t="s">
        <v>117</v>
      </c>
      <c r="B19" s="301" t="s">
        <v>118</v>
      </c>
      <c r="C19" s="302">
        <f>+'EJEC GASTOS'!C29</f>
        <v>0</v>
      </c>
      <c r="D19" s="302">
        <f>+'EJEC GASTOS'!D29</f>
        <v>413000</v>
      </c>
      <c r="E19" s="302">
        <f>+'EJEC GASTOS'!E29</f>
        <v>413000</v>
      </c>
      <c r="F19" s="302">
        <f>+'EJEC GASTOS'!F29</f>
        <v>54758.73</v>
      </c>
      <c r="G19" s="302">
        <f>+'EJEC GASTOS'!G29</f>
        <v>203717.59000000003</v>
      </c>
      <c r="H19" s="302">
        <f>+'EJEC GASTOS'!H29</f>
        <v>175292.47</v>
      </c>
      <c r="I19" s="302">
        <f>+'EJEC GASTOS'!I29</f>
        <v>186351.08000000002</v>
      </c>
      <c r="J19" s="302">
        <f>+'EJEC GASTOS'!J29</f>
        <v>209282.40999999997</v>
      </c>
      <c r="K19" s="302">
        <f>+'EJEC GASTOS'!K29</f>
        <v>209282.40999999997</v>
      </c>
      <c r="L19" s="303">
        <f>+'EJEC GASTOS'!L24</f>
        <v>83.917028226098424</v>
      </c>
    </row>
    <row r="20" spans="1:13" ht="4.5" customHeight="1">
      <c r="A20" s="300"/>
      <c r="B20" s="301"/>
      <c r="C20" s="302"/>
      <c r="D20" s="302"/>
      <c r="E20" s="302"/>
      <c r="F20" s="302"/>
      <c r="G20" s="302"/>
      <c r="H20" s="304"/>
      <c r="I20" s="302"/>
      <c r="J20" s="302"/>
      <c r="K20" s="302"/>
      <c r="L20" s="303"/>
    </row>
    <row r="21" spans="1:13" ht="19.899999999999999" customHeight="1">
      <c r="A21" s="305" t="s">
        <v>122</v>
      </c>
      <c r="B21" s="306" t="s">
        <v>123</v>
      </c>
      <c r="C21" s="307">
        <f>SUM(C22:C31)</f>
        <v>7293008</v>
      </c>
      <c r="D21" s="307">
        <f>D22+D23+D24++D25+D26+D28+D29+D30+D31+D27</f>
        <v>6910373</v>
      </c>
      <c r="E21" s="307">
        <f>SUM(E22:E31)</f>
        <v>6222872</v>
      </c>
      <c r="F21" s="307">
        <f>F22+F23+F24++F25+F26+F28+F29+F30+F31+F27</f>
        <v>624076.89</v>
      </c>
      <c r="G21" s="307">
        <f>SUM(G22:G31)</f>
        <v>4512040.5799999991</v>
      </c>
      <c r="H21" s="308">
        <f>SUM(H22:H31)</f>
        <v>3294982.7499999991</v>
      </c>
      <c r="I21" s="307">
        <f>I22+I23+I24++I25+I26+I28+I29+I30+I31+I27</f>
        <v>2336872.5300000003</v>
      </c>
      <c r="J21" s="307">
        <f t="shared" ref="J21:J31" si="2">+E21-G21</f>
        <v>1710831.4200000009</v>
      </c>
      <c r="K21" s="307">
        <f t="shared" ref="K21:K31" si="3">+D21-G21</f>
        <v>2398332.4200000009</v>
      </c>
      <c r="L21" s="309">
        <f t="shared" ref="L21:L31" si="4">+G21*100/E21</f>
        <v>72.507366052202258</v>
      </c>
      <c r="M21" s="1"/>
    </row>
    <row r="22" spans="1:13" ht="15" customHeight="1">
      <c r="A22" s="300">
        <v>100</v>
      </c>
      <c r="B22" s="301" t="s">
        <v>124</v>
      </c>
      <c r="C22" s="302">
        <f>+'EJEC GASTOS'!C38</f>
        <v>151437</v>
      </c>
      <c r="D22" s="302">
        <f>+'EJEC GASTOS'!D38</f>
        <v>102787</v>
      </c>
      <c r="E22" s="302">
        <f>+'EJEC GASTOS'!E38</f>
        <v>98787</v>
      </c>
      <c r="F22" s="302">
        <f>+'EJEC GASTOS'!F38</f>
        <v>9259.7800000000007</v>
      </c>
      <c r="G22" s="302">
        <f>+'EJEC GASTOS'!G38</f>
        <v>59591.979999999996</v>
      </c>
      <c r="H22" s="302">
        <f>+'EJEC GASTOS'!H38</f>
        <v>36575.33</v>
      </c>
      <c r="I22" s="302">
        <f>+'EJEC GASTOS'!I38</f>
        <v>31239.23</v>
      </c>
      <c r="J22" s="302">
        <f t="shared" si="2"/>
        <v>39195.020000000004</v>
      </c>
      <c r="K22" s="302">
        <f t="shared" si="3"/>
        <v>43195.020000000004</v>
      </c>
      <c r="L22" s="310">
        <f t="shared" si="4"/>
        <v>60.323706560579836</v>
      </c>
    </row>
    <row r="23" spans="1:13" ht="15" customHeight="1">
      <c r="A23" s="311" t="s">
        <v>137</v>
      </c>
      <c r="B23" s="302" t="s">
        <v>138</v>
      </c>
      <c r="C23" s="302">
        <f>+'EJEC GASTOS'!C45</f>
        <v>2652943</v>
      </c>
      <c r="D23" s="302">
        <f>+'EJEC GASTOS'!D45</f>
        <v>3767443</v>
      </c>
      <c r="E23" s="302">
        <f>+'EJEC GASTOS'!E45</f>
        <v>3109675</v>
      </c>
      <c r="F23" s="302">
        <f>+'EJEC GASTOS'!F45</f>
        <v>274107.05</v>
      </c>
      <c r="G23" s="302">
        <f>+'EJEC GASTOS'!G45</f>
        <v>2734872.61</v>
      </c>
      <c r="H23" s="302">
        <f>+'EJEC GASTOS'!H45</f>
        <v>2366774.9899999998</v>
      </c>
      <c r="I23" s="302">
        <f>+'EJEC GASTOS'!I45</f>
        <v>1613629.13</v>
      </c>
      <c r="J23" s="519">
        <f t="shared" si="2"/>
        <v>374802.39000000013</v>
      </c>
      <c r="K23" s="302">
        <f t="shared" si="3"/>
        <v>1032570.3900000001</v>
      </c>
      <c r="L23" s="310">
        <f t="shared" si="4"/>
        <v>87.947216670552393</v>
      </c>
    </row>
    <row r="24" spans="1:13" ht="15" customHeight="1">
      <c r="A24" s="311" t="s">
        <v>149</v>
      </c>
      <c r="B24" s="302" t="s">
        <v>150</v>
      </c>
      <c r="C24" s="302">
        <f>+'EJEC GASTOS'!C54</f>
        <v>87500</v>
      </c>
      <c r="D24" s="302">
        <f>+'EJEC GASTOS'!D54</f>
        <v>16800</v>
      </c>
      <c r="E24" s="302">
        <f>+'EJEC GASTOS'!E54</f>
        <v>16800</v>
      </c>
      <c r="F24" s="302">
        <f>+'EJEC GASTOS'!F54</f>
        <v>96.3</v>
      </c>
      <c r="G24" s="302">
        <f>+'EJEC GASTOS'!G54</f>
        <v>9760.3799999999992</v>
      </c>
      <c r="H24" s="302">
        <f>+'EJEC GASTOS'!H54</f>
        <v>9530.51</v>
      </c>
      <c r="I24" s="302">
        <f>+'EJEC GASTOS'!I54</f>
        <v>8968.83</v>
      </c>
      <c r="J24" s="302">
        <f t="shared" si="2"/>
        <v>7039.6200000000008</v>
      </c>
      <c r="K24" s="302">
        <f t="shared" si="3"/>
        <v>7039.6200000000008</v>
      </c>
      <c r="L24" s="310">
        <f t="shared" si="4"/>
        <v>58.097499999999997</v>
      </c>
    </row>
    <row r="25" spans="1:13" ht="15" customHeight="1">
      <c r="A25" s="311" t="s">
        <v>151</v>
      </c>
      <c r="B25" s="302" t="s">
        <v>152</v>
      </c>
      <c r="C25" s="302">
        <f>+'EJEC GASTOS'!C55</f>
        <v>163284</v>
      </c>
      <c r="D25" s="302">
        <f>+'EJEC GASTOS'!D55</f>
        <v>36189</v>
      </c>
      <c r="E25" s="302">
        <f>+'EJEC GASTOS'!E55</f>
        <v>36189</v>
      </c>
      <c r="F25" s="302">
        <f>+'EJEC GASTOS'!F55</f>
        <v>1753.96</v>
      </c>
      <c r="G25" s="302">
        <f>+'EJEC GASTOS'!G55</f>
        <v>12607.779999999999</v>
      </c>
      <c r="H25" s="302">
        <f>+'EJEC GASTOS'!H55</f>
        <v>8895.2800000000007</v>
      </c>
      <c r="I25" s="302">
        <f>+'EJEC GASTOS'!I55</f>
        <v>4854.8100000000004</v>
      </c>
      <c r="J25" s="302">
        <f t="shared" si="2"/>
        <v>23581.22</v>
      </c>
      <c r="K25" s="302">
        <f t="shared" si="3"/>
        <v>23581.22</v>
      </c>
      <c r="L25" s="310">
        <f t="shared" si="4"/>
        <v>34.838707894664125</v>
      </c>
    </row>
    <row r="26" spans="1:13" ht="15" customHeight="1">
      <c r="A26" s="311" t="s">
        <v>155</v>
      </c>
      <c r="B26" s="302" t="s">
        <v>156</v>
      </c>
      <c r="C26" s="302">
        <f>+'EJEC GASTOS'!C58</f>
        <v>981486</v>
      </c>
      <c r="D26" s="302">
        <f>+'EJEC GASTOS'!D58</f>
        <v>286905</v>
      </c>
      <c r="E26" s="302">
        <f>+'EJEC GASTOS'!E58</f>
        <v>286905</v>
      </c>
      <c r="F26" s="302">
        <f>+'EJEC GASTOS'!F58</f>
        <v>29635</v>
      </c>
      <c r="G26" s="302">
        <f>+'EJEC GASTOS'!G58</f>
        <v>188315.5</v>
      </c>
      <c r="H26" s="302">
        <f>+'EJEC GASTOS'!H58</f>
        <v>188315.5</v>
      </c>
      <c r="I26" s="302">
        <f>+'EJEC GASTOS'!I58</f>
        <v>186681.5</v>
      </c>
      <c r="J26" s="302">
        <f t="shared" si="2"/>
        <v>98589.5</v>
      </c>
      <c r="K26" s="302">
        <f t="shared" si="3"/>
        <v>98589.5</v>
      </c>
      <c r="L26" s="310">
        <f t="shared" si="4"/>
        <v>65.636883288893543</v>
      </c>
    </row>
    <row r="27" spans="1:13" ht="15" customHeight="1">
      <c r="A27" s="311" t="s">
        <v>162</v>
      </c>
      <c r="B27" s="302" t="s">
        <v>163</v>
      </c>
      <c r="C27" s="302">
        <f>+'EJEC GASTOS'!C62</f>
        <v>448811</v>
      </c>
      <c r="D27" s="302">
        <f>+'EJEC GASTOS'!D62</f>
        <v>189048</v>
      </c>
      <c r="E27" s="302">
        <f>+'EJEC GASTOS'!E62</f>
        <v>189048</v>
      </c>
      <c r="F27" s="302">
        <f>+'EJEC GASTOS'!F62</f>
        <v>10649.5</v>
      </c>
      <c r="G27" s="302">
        <f>+'EJEC GASTOS'!G62</f>
        <v>53907.57</v>
      </c>
      <c r="H27" s="302">
        <f>+'EJEC GASTOS'!H62</f>
        <v>34391.480000000003</v>
      </c>
      <c r="I27" s="302">
        <f>+'EJEC GASTOS'!I62</f>
        <v>32413.15</v>
      </c>
      <c r="J27" s="302">
        <f t="shared" si="2"/>
        <v>135140.43</v>
      </c>
      <c r="K27" s="302">
        <f t="shared" si="3"/>
        <v>135140.43</v>
      </c>
      <c r="L27" s="310">
        <f t="shared" si="4"/>
        <v>28.515281833185224</v>
      </c>
    </row>
    <row r="28" spans="1:13" ht="15" customHeight="1">
      <c r="A28" s="300">
        <v>160</v>
      </c>
      <c r="B28" s="302" t="s">
        <v>168</v>
      </c>
      <c r="C28" s="302">
        <f>+'EJEC GASTOS'!C67</f>
        <v>1492093</v>
      </c>
      <c r="D28" s="302">
        <f>+'EJEC GASTOS'!D67</f>
        <v>1552951</v>
      </c>
      <c r="E28" s="302">
        <f>+'EJEC GASTOS'!E67</f>
        <v>1552951</v>
      </c>
      <c r="F28" s="302">
        <f>+'EJEC GASTOS'!F67</f>
        <v>193443.56</v>
      </c>
      <c r="G28" s="302">
        <f>+'EJEC GASTOS'!G67</f>
        <v>904885.82999999984</v>
      </c>
      <c r="H28" s="302">
        <f>+'EJEC GASTOS'!H67</f>
        <v>360905.64</v>
      </c>
      <c r="I28" s="302">
        <f>+'EJEC GASTOS'!I67</f>
        <v>277466.52</v>
      </c>
      <c r="J28" s="302">
        <f t="shared" si="2"/>
        <v>648065.17000000016</v>
      </c>
      <c r="K28" s="302">
        <f t="shared" si="3"/>
        <v>648065.17000000016</v>
      </c>
      <c r="L28" s="310">
        <f t="shared" si="4"/>
        <v>58.268794701185023</v>
      </c>
    </row>
    <row r="29" spans="1:13" ht="15" customHeight="1">
      <c r="A29" s="312">
        <v>170</v>
      </c>
      <c r="B29" s="313" t="s">
        <v>334</v>
      </c>
      <c r="C29" s="302">
        <f>+'EJEC GASTOS'!C73</f>
        <v>305833</v>
      </c>
      <c r="D29" s="302">
        <f>+'EJEC GASTOS'!D73</f>
        <v>114855</v>
      </c>
      <c r="E29" s="302">
        <f>+'EJEC GASTOS'!E73</f>
        <v>89122</v>
      </c>
      <c r="F29" s="302">
        <f>+'EJEC GASTOS'!F73</f>
        <v>7186.82</v>
      </c>
      <c r="G29" s="302">
        <f>+'EJEC GASTOS'!G73</f>
        <v>42281.98</v>
      </c>
      <c r="H29" s="302">
        <f>+'EJEC GASTOS'!H73</f>
        <v>40183.86</v>
      </c>
      <c r="I29" s="302">
        <f>+'EJEC GASTOS'!I73</f>
        <v>11324.72</v>
      </c>
      <c r="J29" s="302">
        <f t="shared" si="2"/>
        <v>46840.02</v>
      </c>
      <c r="K29" s="302">
        <f t="shared" si="3"/>
        <v>72573.01999999999</v>
      </c>
      <c r="L29" s="310">
        <f t="shared" si="4"/>
        <v>47.442808734094839</v>
      </c>
    </row>
    <row r="30" spans="1:13" ht="15.75" customHeight="1">
      <c r="A30" s="311" t="s">
        <v>176</v>
      </c>
      <c r="B30" s="301" t="s">
        <v>177</v>
      </c>
      <c r="C30" s="302">
        <f>+'EJEC GASTOS'!C76</f>
        <v>1009621</v>
      </c>
      <c r="D30" s="302">
        <f>+'EJEC GASTOS'!D76</f>
        <v>693915</v>
      </c>
      <c r="E30" s="302">
        <f>+'EJEC GASTOS'!E76</f>
        <v>693915</v>
      </c>
      <c r="F30" s="302">
        <f>+'EJEC GASTOS'!F76</f>
        <v>69785.460000000006</v>
      </c>
      <c r="G30" s="302">
        <f>+'EJEC GASTOS'!G76</f>
        <v>399242.18</v>
      </c>
      <c r="H30" s="302">
        <f>+'EJEC GASTOS'!H76</f>
        <v>181275.09</v>
      </c>
      <c r="I30" s="302">
        <f>+'EJEC GASTOS'!I76</f>
        <v>104748.95999999999</v>
      </c>
      <c r="J30" s="302">
        <f t="shared" si="2"/>
        <v>294672.82</v>
      </c>
      <c r="K30" s="302">
        <f t="shared" si="3"/>
        <v>294672.82</v>
      </c>
      <c r="L30" s="310">
        <f t="shared" si="4"/>
        <v>57.534738404559633</v>
      </c>
    </row>
    <row r="31" spans="1:13" ht="15" customHeight="1">
      <c r="A31" s="314">
        <v>190</v>
      </c>
      <c r="B31" s="301" t="s">
        <v>181</v>
      </c>
      <c r="C31" s="302">
        <f>+'EJEC GASTOS'!C83</f>
        <v>0</v>
      </c>
      <c r="D31" s="302">
        <f>+'EJEC GASTOS'!D83</f>
        <v>149480</v>
      </c>
      <c r="E31" s="302">
        <f>+'EJEC GASTOS'!E83</f>
        <v>149480</v>
      </c>
      <c r="F31" s="302">
        <f>+'EJEC GASTOS'!F83</f>
        <v>28159.46</v>
      </c>
      <c r="G31" s="302">
        <f>+'EJEC GASTOS'!G83</f>
        <v>106574.76999999999</v>
      </c>
      <c r="H31" s="302">
        <f>+'EJEC GASTOS'!H83</f>
        <v>68135.070000000007</v>
      </c>
      <c r="I31" s="302">
        <f>+'EJEC GASTOS'!I83</f>
        <v>65545.679999999993</v>
      </c>
      <c r="J31" s="302">
        <f t="shared" si="2"/>
        <v>42905.23000000001</v>
      </c>
      <c r="K31" s="302">
        <f t="shared" si="3"/>
        <v>42905.23000000001</v>
      </c>
      <c r="L31" s="310">
        <f t="shared" si="4"/>
        <v>71.29700963339576</v>
      </c>
    </row>
    <row r="32" spans="1:13" ht="6.75" customHeight="1">
      <c r="A32" s="300" t="s">
        <v>6</v>
      </c>
      <c r="B32" s="301"/>
      <c r="C32" s="302"/>
      <c r="D32" s="302"/>
      <c r="E32" s="302"/>
      <c r="F32" s="302"/>
      <c r="G32" s="302"/>
      <c r="H32" s="304"/>
      <c r="I32" s="302"/>
      <c r="J32" s="302"/>
      <c r="K32" s="302"/>
      <c r="L32" s="310"/>
    </row>
    <row r="33" spans="1:12" ht="19.899999999999999" customHeight="1">
      <c r="A33" s="292" t="s">
        <v>182</v>
      </c>
      <c r="B33" s="293" t="s">
        <v>183</v>
      </c>
      <c r="C33" s="294">
        <f>+C34+C35+C36+C37+C38+C39+C40+C41+C42+C43</f>
        <v>3042561</v>
      </c>
      <c r="D33" s="294">
        <f>SUM(D34:D43)</f>
        <v>4235755</v>
      </c>
      <c r="E33" s="307">
        <f>SUM(E34:E43)</f>
        <v>4229398</v>
      </c>
      <c r="F33" s="294">
        <f>+F34+F35+F36+F37+F38+F39+F40+F41+F42+F43</f>
        <v>513524.36000000004</v>
      </c>
      <c r="G33" s="294">
        <f>SUM(G34:G43)</f>
        <v>2769992.36</v>
      </c>
      <c r="H33" s="307">
        <f>SUM(H34:H43)</f>
        <v>1617123.36</v>
      </c>
      <c r="I33" s="294">
        <f>+I34+I35+I36+I37+I38+I39+I40+I41+I42+I43+1</f>
        <v>1129859.28</v>
      </c>
      <c r="J33" s="294">
        <f>+E33-G33</f>
        <v>1459405.6400000001</v>
      </c>
      <c r="K33" s="294">
        <f t="shared" ref="K33:K43" si="5">+D33-G33</f>
        <v>1465762.6400000001</v>
      </c>
      <c r="L33" s="315">
        <f t="shared" ref="L33:L43" si="6">+G33*100/E33</f>
        <v>65.493773818401579</v>
      </c>
    </row>
    <row r="34" spans="1:12" ht="15" customHeight="1">
      <c r="A34" s="300" t="s">
        <v>184</v>
      </c>
      <c r="B34" s="301" t="s">
        <v>185</v>
      </c>
      <c r="C34" s="302">
        <f>+'EJEC GASTOS'!C95</f>
        <v>185018</v>
      </c>
      <c r="D34" s="302">
        <f>+'EJEC GASTOS'!D95</f>
        <v>121226</v>
      </c>
      <c r="E34" s="302">
        <f>+'EJEC GASTOS'!E95</f>
        <v>121226</v>
      </c>
      <c r="F34" s="302">
        <f>+'EJEC GASTOS'!F95</f>
        <v>14333.87</v>
      </c>
      <c r="G34" s="302">
        <f>+'EJEC GASTOS'!G95</f>
        <v>51849.48</v>
      </c>
      <c r="H34" s="302">
        <f>+'EJEC GASTOS'!H95</f>
        <v>40257.839999999997</v>
      </c>
      <c r="I34" s="302">
        <f>+'EJEC GASTOS'!I95</f>
        <v>35728.910000000003</v>
      </c>
      <c r="J34" s="302">
        <f>+'EJEC GASTOS'!J95</f>
        <v>69376.51999999999</v>
      </c>
      <c r="K34" s="302">
        <f t="shared" si="5"/>
        <v>69376.51999999999</v>
      </c>
      <c r="L34" s="310">
        <f t="shared" si="6"/>
        <v>42.770923729233004</v>
      </c>
    </row>
    <row r="35" spans="1:12" ht="15" customHeight="1">
      <c r="A35" s="311" t="s">
        <v>190</v>
      </c>
      <c r="B35" s="302" t="s">
        <v>191</v>
      </c>
      <c r="C35" s="302">
        <f>+'EJEC GASTOS'!C98</f>
        <v>196410</v>
      </c>
      <c r="D35" s="302">
        <f>+'EJEC GASTOS'!D98</f>
        <v>340060</v>
      </c>
      <c r="E35" s="302">
        <f>+'EJEC GASTOS'!E98</f>
        <v>340060</v>
      </c>
      <c r="F35" s="302">
        <f>+'EJEC GASTOS'!F98</f>
        <v>13361.24</v>
      </c>
      <c r="G35" s="302">
        <f>+'EJEC GASTOS'!G98</f>
        <v>213698.72999999998</v>
      </c>
      <c r="H35" s="302">
        <f>+'EJEC GASTOS'!H98</f>
        <v>95166.95</v>
      </c>
      <c r="I35" s="302">
        <f>+'EJEC GASTOS'!I98</f>
        <v>64790.53</v>
      </c>
      <c r="J35" s="302">
        <f>+'EJEC GASTOS'!J98</f>
        <v>126361.27000000002</v>
      </c>
      <c r="K35" s="302">
        <f t="shared" si="5"/>
        <v>126361.27000000002</v>
      </c>
      <c r="L35" s="310">
        <f t="shared" si="6"/>
        <v>62.84147797447509</v>
      </c>
    </row>
    <row r="36" spans="1:12" ht="15" customHeight="1">
      <c r="A36" s="311" t="s">
        <v>202</v>
      </c>
      <c r="B36" s="302" t="s">
        <v>203</v>
      </c>
      <c r="C36" s="302">
        <f>+'EJEC GASTOS'!C104</f>
        <v>361282</v>
      </c>
      <c r="D36" s="302">
        <f>+'EJEC GASTOS'!D104</f>
        <v>437432</v>
      </c>
      <c r="E36" s="302">
        <f>+'EJEC GASTOS'!E104</f>
        <v>437432</v>
      </c>
      <c r="F36" s="302">
        <f>+'EJEC GASTOS'!F104</f>
        <v>54594.73</v>
      </c>
      <c r="G36" s="302">
        <f>+'EJEC GASTOS'!G104</f>
        <v>277839.48</v>
      </c>
      <c r="H36" s="302">
        <f>+'EJEC GASTOS'!H104</f>
        <v>159760.43000000002</v>
      </c>
      <c r="I36" s="302">
        <f>+'EJEC GASTOS'!I104</f>
        <v>113995.60999999999</v>
      </c>
      <c r="J36" s="302">
        <f>+'EJEC GASTOS'!J104</f>
        <v>159592.52000000002</v>
      </c>
      <c r="K36" s="302">
        <f t="shared" si="5"/>
        <v>159592.52000000002</v>
      </c>
      <c r="L36" s="310">
        <f t="shared" si="6"/>
        <v>63.516039064357429</v>
      </c>
    </row>
    <row r="37" spans="1:12" ht="15" customHeight="1">
      <c r="A37" s="311" t="s">
        <v>211</v>
      </c>
      <c r="B37" s="302" t="s">
        <v>212</v>
      </c>
      <c r="C37" s="302">
        <f>+'EJEC GASTOS'!C110</f>
        <v>249812</v>
      </c>
      <c r="D37" s="302">
        <f>+'EJEC GASTOS'!D110</f>
        <v>151730</v>
      </c>
      <c r="E37" s="302">
        <f>+'EJEC GASTOS'!E110</f>
        <v>151730</v>
      </c>
      <c r="F37" s="302">
        <f>+'EJEC GASTOS'!F110</f>
        <v>6330.72</v>
      </c>
      <c r="G37" s="302">
        <f>+'EJEC GASTOS'!G110</f>
        <v>72356.45</v>
      </c>
      <c r="H37" s="302">
        <f>+'EJEC GASTOS'!H110</f>
        <v>66062.009999999995</v>
      </c>
      <c r="I37" s="302">
        <f>+'EJEC GASTOS'!I110</f>
        <v>51787.640000000007</v>
      </c>
      <c r="J37" s="302">
        <f>+'EJEC GASTOS'!J110</f>
        <v>79373.55</v>
      </c>
      <c r="K37" s="302">
        <f t="shared" si="5"/>
        <v>79373.55</v>
      </c>
      <c r="L37" s="310">
        <f t="shared" si="6"/>
        <v>47.687635932248071</v>
      </c>
    </row>
    <row r="38" spans="1:12" ht="15" customHeight="1">
      <c r="A38" s="311" t="s">
        <v>219</v>
      </c>
      <c r="B38" s="302" t="s">
        <v>220</v>
      </c>
      <c r="C38" s="302">
        <f>+'EJEC GASTOS'!C114</f>
        <v>258848</v>
      </c>
      <c r="D38" s="302">
        <f>+'EJEC GASTOS'!D114</f>
        <v>216854</v>
      </c>
      <c r="E38" s="302">
        <f>+'EJEC GASTOS'!E114</f>
        <v>216854</v>
      </c>
      <c r="F38" s="302">
        <f>+'EJEC GASTOS'!F114</f>
        <v>22471.72</v>
      </c>
      <c r="G38" s="302">
        <f>+'EJEC GASTOS'!G114</f>
        <v>153173.64000000001</v>
      </c>
      <c r="H38" s="302">
        <f>+'EJEC GASTOS'!H114</f>
        <v>108298.59</v>
      </c>
      <c r="I38" s="302">
        <f>+'EJEC GASTOS'!I114</f>
        <v>91857.69</v>
      </c>
      <c r="J38" s="302">
        <f>+'EJEC GASTOS'!J114</f>
        <v>63680.359999999986</v>
      </c>
      <c r="K38" s="302">
        <f t="shared" si="5"/>
        <v>63680.359999999986</v>
      </c>
      <c r="L38" s="310">
        <f t="shared" si="6"/>
        <v>70.634454517786168</v>
      </c>
    </row>
    <row r="39" spans="1:12" ht="15" customHeight="1">
      <c r="A39" s="311" t="s">
        <v>231</v>
      </c>
      <c r="B39" s="302" t="s">
        <v>232</v>
      </c>
      <c r="C39" s="302">
        <f>+'EJEC GASTOS'!C120</f>
        <v>277892</v>
      </c>
      <c r="D39" s="302">
        <f>+'EJEC GASTOS'!D120</f>
        <v>727382</v>
      </c>
      <c r="E39" s="302">
        <f>+'EJEC GASTOS'!E120</f>
        <v>727382</v>
      </c>
      <c r="F39" s="302">
        <f>+'EJEC GASTOS'!F120</f>
        <v>183844.28</v>
      </c>
      <c r="G39" s="302">
        <f>+'EJEC GASTOS'!G120</f>
        <v>547572.94999999995</v>
      </c>
      <c r="H39" s="302">
        <f>+'EJEC GASTOS'!H120</f>
        <v>319791.90000000002</v>
      </c>
      <c r="I39" s="302">
        <f>+'EJEC GASTOS'!I120</f>
        <v>183364.01</v>
      </c>
      <c r="J39" s="302">
        <f>+'EJEC GASTOS'!J120</f>
        <v>179809.05000000005</v>
      </c>
      <c r="K39" s="302">
        <f t="shared" si="5"/>
        <v>179809.05000000005</v>
      </c>
      <c r="L39" s="310">
        <f t="shared" si="6"/>
        <v>75.279969809536112</v>
      </c>
    </row>
    <row r="40" spans="1:12" ht="15" customHeight="1">
      <c r="A40" s="311" t="s">
        <v>245</v>
      </c>
      <c r="B40" s="302" t="s">
        <v>246</v>
      </c>
      <c r="C40" s="302">
        <f>+'EJEC GASTOS'!C128</f>
        <v>475695</v>
      </c>
      <c r="D40" s="302">
        <f>+'EJEC GASTOS'!D128</f>
        <v>670692</v>
      </c>
      <c r="E40" s="302">
        <f>+'EJEC GASTOS'!E128</f>
        <v>670692</v>
      </c>
      <c r="F40" s="302">
        <f>+'EJEC GASTOS'!F128</f>
        <v>58542.05</v>
      </c>
      <c r="G40" s="302">
        <f>+'EJEC GASTOS'!G128</f>
        <v>435149.84</v>
      </c>
      <c r="H40" s="302">
        <f>+'EJEC GASTOS'!H128</f>
        <v>288454.81</v>
      </c>
      <c r="I40" s="302">
        <f>+'EJEC GASTOS'!I128</f>
        <v>141666.38</v>
      </c>
      <c r="J40" s="302">
        <f>+'EJEC GASTOS'!J128</f>
        <v>235542.15999999997</v>
      </c>
      <c r="K40" s="302">
        <f t="shared" si="5"/>
        <v>235542.15999999997</v>
      </c>
      <c r="L40" s="310">
        <f t="shared" si="6"/>
        <v>64.880726175353217</v>
      </c>
    </row>
    <row r="41" spans="1:12" ht="15" customHeight="1">
      <c r="A41" s="311" t="s">
        <v>252</v>
      </c>
      <c r="B41" s="302" t="s">
        <v>253</v>
      </c>
      <c r="C41" s="302">
        <f>+'EJEC GASTOS'!C134</f>
        <v>829295</v>
      </c>
      <c r="D41" s="302">
        <f>+'EJEC GASTOS'!D134</f>
        <v>758815</v>
      </c>
      <c r="E41" s="302">
        <f>+'EJEC GASTOS'!E134</f>
        <v>752458</v>
      </c>
      <c r="F41" s="302">
        <f>+'EJEC GASTOS'!F134</f>
        <v>140308.64000000001</v>
      </c>
      <c r="G41" s="302">
        <f>+'EJEC GASTOS'!G134</f>
        <v>459852.18000000005</v>
      </c>
      <c r="H41" s="302">
        <f>+'EJEC GASTOS'!H134</f>
        <v>299775.05000000005</v>
      </c>
      <c r="I41" s="302">
        <f>+'EJEC GASTOS'!I134</f>
        <v>194688.16</v>
      </c>
      <c r="J41" s="302">
        <f>+'EJEC GASTOS'!J134</f>
        <v>292605.81999999995</v>
      </c>
      <c r="K41" s="302">
        <f t="shared" si="5"/>
        <v>298962.81999999995</v>
      </c>
      <c r="L41" s="310">
        <f t="shared" si="6"/>
        <v>61.113335229341715</v>
      </c>
    </row>
    <row r="42" spans="1:12" ht="15.75" customHeight="1">
      <c r="A42" s="311" t="s">
        <v>268</v>
      </c>
      <c r="B42" s="302" t="s">
        <v>269</v>
      </c>
      <c r="C42" s="302">
        <f>+'EJEC GASTOS'!C143</f>
        <v>208309</v>
      </c>
      <c r="D42" s="302">
        <f>+'EJEC GASTOS'!D143</f>
        <v>373709</v>
      </c>
      <c r="E42" s="302">
        <f>+'EJEC GASTOS'!E143</f>
        <v>373709</v>
      </c>
      <c r="F42" s="302">
        <f>+'EJEC GASTOS'!F143</f>
        <v>30525.43</v>
      </c>
      <c r="G42" s="302">
        <f>+'EJEC GASTOS'!G143</f>
        <v>260738.11</v>
      </c>
      <c r="H42" s="302">
        <f>+'EJEC GASTOS'!H143</f>
        <v>181574.35</v>
      </c>
      <c r="I42" s="302">
        <f>+'EJEC GASTOS'!I143</f>
        <v>91741.7</v>
      </c>
      <c r="J42" s="302">
        <f>+'EJEC GASTOS'!J143</f>
        <v>112970.89000000001</v>
      </c>
      <c r="K42" s="302">
        <f t="shared" si="5"/>
        <v>112970.89000000001</v>
      </c>
      <c r="L42" s="310">
        <f t="shared" si="6"/>
        <v>69.770358755074142</v>
      </c>
    </row>
    <row r="43" spans="1:12" ht="16.5" customHeight="1">
      <c r="A43" s="300">
        <v>290</v>
      </c>
      <c r="B43" s="302" t="s">
        <v>270</v>
      </c>
      <c r="C43" s="302">
        <f>+'EJEC GASTOS'!C144</f>
        <v>0</v>
      </c>
      <c r="D43" s="302">
        <f>+'EJEC GASTOS'!D144</f>
        <v>437855</v>
      </c>
      <c r="E43" s="302">
        <f>+'EJEC GASTOS'!E144</f>
        <v>437855</v>
      </c>
      <c r="F43" s="302">
        <f>+'EJEC GASTOS'!F144</f>
        <v>-10788.32</v>
      </c>
      <c r="G43" s="302">
        <f>+'EJEC GASTOS'!G144</f>
        <v>297761.5</v>
      </c>
      <c r="H43" s="302">
        <f>+'EJEC GASTOS'!H144</f>
        <v>57981.430000000008</v>
      </c>
      <c r="I43" s="302">
        <f>+'EJEC GASTOS'!I144</f>
        <v>160237.65000000002</v>
      </c>
      <c r="J43" s="302">
        <f>+E43-G43</f>
        <v>140093.5</v>
      </c>
      <c r="K43" s="302">
        <f t="shared" si="5"/>
        <v>140093.5</v>
      </c>
      <c r="L43" s="310">
        <f t="shared" si="6"/>
        <v>68.004590560802086</v>
      </c>
    </row>
    <row r="44" spans="1:12" ht="6" customHeight="1">
      <c r="A44" s="300"/>
      <c r="B44" s="302"/>
      <c r="C44" s="302"/>
      <c r="D44" s="302"/>
      <c r="E44" s="302"/>
      <c r="F44" s="302"/>
      <c r="G44" s="302"/>
      <c r="I44" s="302"/>
      <c r="J44" s="302"/>
      <c r="K44" s="302"/>
      <c r="L44" s="310"/>
    </row>
    <row r="45" spans="1:12" ht="19.899999999999999" customHeight="1">
      <c r="A45" s="316">
        <v>4</v>
      </c>
      <c r="B45" s="317" t="s">
        <v>276</v>
      </c>
      <c r="C45" s="317">
        <f>SUM(C46)</f>
        <v>3207914</v>
      </c>
      <c r="D45" s="317">
        <f>SUM(D46:D47)</f>
        <v>2295040</v>
      </c>
      <c r="E45" s="317">
        <f>+E46+E47</f>
        <v>2295040</v>
      </c>
      <c r="F45" s="317">
        <f>+F46+F47</f>
        <v>247702.68</v>
      </c>
      <c r="G45" s="317">
        <f>+G46+G47</f>
        <v>1347289.27</v>
      </c>
      <c r="H45" s="308">
        <f>+H46+H47</f>
        <v>794569.94</v>
      </c>
      <c r="I45" s="317">
        <f>SUM(I46:I47)</f>
        <v>445764.80000000005</v>
      </c>
      <c r="J45" s="317">
        <f>+E45-G45</f>
        <v>947750.73</v>
      </c>
      <c r="K45" s="317">
        <f>+D45-G45</f>
        <v>947750.73</v>
      </c>
      <c r="L45" s="318">
        <f>+G45*100/E45</f>
        <v>58.704391644590075</v>
      </c>
    </row>
    <row r="46" spans="1:12" ht="14.25" customHeight="1">
      <c r="A46" s="300">
        <v>430</v>
      </c>
      <c r="B46" s="319" t="s">
        <v>277</v>
      </c>
      <c r="C46" s="302">
        <f>+'EJEC GASTOS'!C156</f>
        <v>3207914</v>
      </c>
      <c r="D46" s="302">
        <f>+'EJEC GASTOS'!D156</f>
        <v>2200790</v>
      </c>
      <c r="E46" s="302">
        <f>+'EJEC GASTOS'!E155</f>
        <v>2200790</v>
      </c>
      <c r="F46" s="302">
        <f>+'EJEC GASTOS'!F155</f>
        <v>236670.82</v>
      </c>
      <c r="G46" s="302">
        <f>+'EJEC GASTOS'!G156</f>
        <v>1295077.93</v>
      </c>
      <c r="H46" s="302">
        <f>+'EJEC GASTOS'!H156</f>
        <v>768763.08</v>
      </c>
      <c r="I46" s="302">
        <f>+'EJEC GASTOS'!I155</f>
        <v>413616.65</v>
      </c>
      <c r="J46" s="302">
        <f>+E46-G46</f>
        <v>905712.07000000007</v>
      </c>
      <c r="K46" s="302">
        <f>+D46-G46</f>
        <v>905712.07000000007</v>
      </c>
      <c r="L46" s="310">
        <f>+G46*100/E46</f>
        <v>58.846047555650472</v>
      </c>
    </row>
    <row r="47" spans="1:12" ht="15.75" customHeight="1">
      <c r="A47" s="300">
        <v>490</v>
      </c>
      <c r="B47" s="302" t="s">
        <v>279</v>
      </c>
      <c r="C47" s="302">
        <v>0</v>
      </c>
      <c r="D47" s="302">
        <f>+'EJEC GASTOS'!D157</f>
        <v>94250</v>
      </c>
      <c r="E47" s="302">
        <f>+'EJEC GASTOS'!E157</f>
        <v>94250</v>
      </c>
      <c r="F47" s="302">
        <f>+'EJEC GASTOS'!F157</f>
        <v>11031.86</v>
      </c>
      <c r="G47" s="302">
        <f>+'EJEC GASTOS'!G157</f>
        <v>52211.340000000004</v>
      </c>
      <c r="H47" s="302">
        <f>+'EJEC GASTOS'!H157</f>
        <v>25806.86</v>
      </c>
      <c r="I47" s="302">
        <f>+'EJEC GASTOS'!I157</f>
        <v>32148.15</v>
      </c>
      <c r="J47" s="302">
        <f>+E47-G47</f>
        <v>42038.659999999996</v>
      </c>
      <c r="K47" s="302">
        <f>+D47-G47</f>
        <v>42038.659999999996</v>
      </c>
      <c r="L47" s="310">
        <f>+G47*100/E47</f>
        <v>55.396647214854113</v>
      </c>
    </row>
    <row r="48" spans="1:12" ht="5.25" customHeight="1">
      <c r="A48" s="320"/>
      <c r="B48" s="321"/>
      <c r="C48" s="322"/>
      <c r="D48" s="321"/>
      <c r="E48" s="321"/>
      <c r="F48" s="321"/>
      <c r="G48" s="321"/>
      <c r="H48" s="304"/>
      <c r="I48" s="321"/>
      <c r="J48" s="321"/>
      <c r="K48" s="321"/>
      <c r="L48" s="323"/>
    </row>
    <row r="49" spans="1:16" ht="19.899999999999999" customHeight="1">
      <c r="A49" s="316" t="s">
        <v>281</v>
      </c>
      <c r="B49" s="324" t="s">
        <v>362</v>
      </c>
      <c r="C49" s="317">
        <f t="shared" ref="C49:G49" si="7">SUM(C50:C55)</f>
        <v>2251594</v>
      </c>
      <c r="D49" s="317">
        <f t="shared" si="7"/>
        <v>3438441</v>
      </c>
      <c r="E49" s="317">
        <f t="shared" si="7"/>
        <v>3345507</v>
      </c>
      <c r="F49" s="317">
        <f t="shared" si="7"/>
        <v>867706.82000000007</v>
      </c>
      <c r="G49" s="317">
        <f t="shared" si="7"/>
        <v>1691588.37</v>
      </c>
      <c r="H49" s="135">
        <f>+H50+H52+H54+H51</f>
        <v>1582901.62</v>
      </c>
      <c r="I49" s="317">
        <f>SUM(I50:I55)</f>
        <v>1568215.24</v>
      </c>
      <c r="J49" s="317">
        <f t="shared" ref="J49:J56" si="8">+E49-G49</f>
        <v>1653918.63</v>
      </c>
      <c r="K49" s="317">
        <f t="shared" ref="K49:K56" si="9">+D49-G49</f>
        <v>1746852.63</v>
      </c>
      <c r="L49" s="318">
        <f t="shared" ref="L49:L56" si="10">+G49*100/E49</f>
        <v>50.562990004205638</v>
      </c>
    </row>
    <row r="50" spans="1:16" ht="15" customHeight="1">
      <c r="A50" s="300" t="s">
        <v>282</v>
      </c>
      <c r="B50" s="301" t="s">
        <v>386</v>
      </c>
      <c r="C50" s="302">
        <f>+'EJEC GASTOS'!C160</f>
        <v>118164</v>
      </c>
      <c r="D50" s="302">
        <f>+'EJEC GASTOS'!D160</f>
        <v>118164</v>
      </c>
      <c r="E50" s="302">
        <f>+'EJEC GASTOS'!E160</f>
        <v>78776</v>
      </c>
      <c r="F50" s="302">
        <f>+'EJEC GASTOS'!F160</f>
        <v>3373.87</v>
      </c>
      <c r="G50" s="302">
        <f>+'EJEC GASTOS'!G160</f>
        <v>26990.959999999995</v>
      </c>
      <c r="H50" s="302">
        <f>+'EJEC GASTOS'!H160</f>
        <v>26990.959999999999</v>
      </c>
      <c r="I50" s="302">
        <f>+'EJEC GASTOS'!I160</f>
        <v>26990.959999999999</v>
      </c>
      <c r="J50" s="302">
        <f t="shared" si="8"/>
        <v>51785.040000000008</v>
      </c>
      <c r="K50" s="302">
        <f t="shared" si="9"/>
        <v>91173.040000000008</v>
      </c>
      <c r="L50" s="310">
        <f t="shared" si="10"/>
        <v>34.262922717578952</v>
      </c>
    </row>
    <row r="51" spans="1:16" ht="15" customHeight="1">
      <c r="A51" s="311" t="s">
        <v>285</v>
      </c>
      <c r="B51" s="302" t="s">
        <v>161</v>
      </c>
      <c r="C51" s="302">
        <f>+'EJEC GASTOS'!C162</f>
        <v>956224</v>
      </c>
      <c r="D51" s="302">
        <f>+'EJEC GASTOS'!D162</f>
        <v>2870724</v>
      </c>
      <c r="E51" s="302">
        <f>+'EJEC GASTOS'!E162</f>
        <v>2817178</v>
      </c>
      <c r="F51" s="302">
        <f>+'EJEC GASTOS'!F162</f>
        <v>814057.01</v>
      </c>
      <c r="G51" s="302">
        <f>+'EJEC GASTOS'!G162</f>
        <v>1498117.37</v>
      </c>
      <c r="H51" s="302">
        <f>+'EJEC GASTOS'!H162</f>
        <v>1498117.37</v>
      </c>
      <c r="I51" s="302">
        <f>+'EJEC GASTOS'!I162</f>
        <v>1498117.37</v>
      </c>
      <c r="J51" s="302">
        <f t="shared" si="8"/>
        <v>1319060.6299999999</v>
      </c>
      <c r="K51" s="302">
        <f t="shared" si="9"/>
        <v>1372606.63</v>
      </c>
      <c r="L51" s="310">
        <f t="shared" si="10"/>
        <v>53.177945092571363</v>
      </c>
    </row>
    <row r="52" spans="1:16" ht="15" customHeight="1">
      <c r="A52" s="300">
        <v>620</v>
      </c>
      <c r="B52" s="302" t="s">
        <v>286</v>
      </c>
      <c r="C52" s="302">
        <f>+'EJEC GASTOS'!C168</f>
        <v>730940</v>
      </c>
      <c r="D52" s="302">
        <f>+'EJEC GASTOS'!D168</f>
        <v>162207</v>
      </c>
      <c r="E52" s="302">
        <f>+'EJEC GASTOS'!E168</f>
        <v>162207</v>
      </c>
      <c r="F52" s="302">
        <f>+'EJEC GASTOS'!F168</f>
        <v>46645.94</v>
      </c>
      <c r="G52" s="302">
        <f>+'EJEC GASTOS'!G168</f>
        <v>120160.83</v>
      </c>
      <c r="H52" s="302">
        <f>+'EJEC GASTOS'!H168</f>
        <v>56893.29</v>
      </c>
      <c r="I52" s="302">
        <f>+'EJEC GASTOS'!I168</f>
        <v>42206.91</v>
      </c>
      <c r="J52" s="302">
        <f t="shared" si="8"/>
        <v>42046.17</v>
      </c>
      <c r="K52" s="302">
        <f t="shared" si="9"/>
        <v>42046.17</v>
      </c>
      <c r="L52" s="310">
        <f t="shared" si="10"/>
        <v>74.078695740627722</v>
      </c>
    </row>
    <row r="53" spans="1:16" ht="15" customHeight="1">
      <c r="A53" s="300">
        <v>640</v>
      </c>
      <c r="B53" s="302" t="s">
        <v>468</v>
      </c>
      <c r="C53" s="302">
        <f>+'EJEC GASTOS'!C173</f>
        <v>159266</v>
      </c>
      <c r="D53" s="302">
        <f>+'EJEC GASTOS'!D173</f>
        <v>159266</v>
      </c>
      <c r="E53" s="302">
        <f>+'EJEC GASTOS'!E173</f>
        <v>159266</v>
      </c>
      <c r="F53" s="302">
        <f>+'EJEC GASTOS'!F173</f>
        <v>0</v>
      </c>
      <c r="G53" s="302">
        <f>+'EJEC GASTOS'!G173</f>
        <v>0</v>
      </c>
      <c r="H53" s="302"/>
      <c r="I53" s="302">
        <f>+'EJEC GASTOS'!I173</f>
        <v>0</v>
      </c>
      <c r="J53" s="302"/>
      <c r="K53" s="302"/>
      <c r="L53" s="310"/>
    </row>
    <row r="54" spans="1:16" ht="15" customHeight="1">
      <c r="A54" s="300" t="s">
        <v>288</v>
      </c>
      <c r="B54" s="301" t="s">
        <v>289</v>
      </c>
      <c r="C54" s="302">
        <f>+'EJEC GASTOS'!C174</f>
        <v>287000</v>
      </c>
      <c r="D54" s="302">
        <f>+'EJEC GASTOS'!D174</f>
        <v>86500</v>
      </c>
      <c r="E54" s="302">
        <f>+'EJEC GASTOS'!E174</f>
        <v>86500</v>
      </c>
      <c r="F54" s="302">
        <f>+'EJEC GASTOS'!F174</f>
        <v>1815</v>
      </c>
      <c r="G54" s="302">
        <f>+'EJEC GASTOS'!G174</f>
        <v>22424.21</v>
      </c>
      <c r="H54" s="302">
        <f>+'EJEC GASTOS'!H174</f>
        <v>900</v>
      </c>
      <c r="I54" s="302">
        <f>+'EJEC GASTOS'!I174</f>
        <v>900</v>
      </c>
      <c r="J54" s="302">
        <f t="shared" si="8"/>
        <v>64075.79</v>
      </c>
      <c r="K54" s="302">
        <f t="shared" si="9"/>
        <v>64075.79</v>
      </c>
      <c r="L54" s="310">
        <f t="shared" si="10"/>
        <v>25.92394219653179</v>
      </c>
    </row>
    <row r="55" spans="1:16" ht="14.25" customHeight="1">
      <c r="A55" s="300">
        <v>690</v>
      </c>
      <c r="B55" s="302" t="s">
        <v>385</v>
      </c>
      <c r="C55" s="302">
        <f>+'EJEC GASTOS'!C178</f>
        <v>0</v>
      </c>
      <c r="D55" s="302">
        <f>+'EJEC GASTOS'!D178</f>
        <v>41580</v>
      </c>
      <c r="E55" s="302">
        <f>+'EJEC GASTOS'!E178</f>
        <v>41580</v>
      </c>
      <c r="F55" s="302">
        <f>+'EJEC GASTOS'!F178</f>
        <v>1815</v>
      </c>
      <c r="G55" s="302">
        <f>+'EJEC GASTOS'!G178</f>
        <v>23895</v>
      </c>
      <c r="H55" s="302">
        <f>+'EJEC GASTOS'!H178</f>
        <v>0</v>
      </c>
      <c r="I55" s="302">
        <f>+'EJEC GASTOS'!I178</f>
        <v>0</v>
      </c>
      <c r="J55" s="302">
        <f t="shared" si="8"/>
        <v>17685</v>
      </c>
      <c r="K55" s="302">
        <f t="shared" si="9"/>
        <v>17685</v>
      </c>
      <c r="L55" s="310" t="s">
        <v>6</v>
      </c>
    </row>
    <row r="56" spans="1:16" ht="24" customHeight="1">
      <c r="A56" s="325" t="s">
        <v>6</v>
      </c>
      <c r="B56" s="326" t="s">
        <v>295</v>
      </c>
      <c r="C56" s="327">
        <f t="shared" ref="C56:G56" si="11">+C49+C45+C33+C21+C9</f>
        <v>141094806</v>
      </c>
      <c r="D56" s="327">
        <f t="shared" si="11"/>
        <v>140457693</v>
      </c>
      <c r="E56" s="327">
        <f>+E49+E45+E33+E21+E9</f>
        <v>98029277</v>
      </c>
      <c r="F56" s="327">
        <f t="shared" si="11"/>
        <v>13172504.059999999</v>
      </c>
      <c r="G56" s="327">
        <f t="shared" si="11"/>
        <v>81242997.969999999</v>
      </c>
      <c r="H56" s="327">
        <f>+H49+H45+H33+H21+H9</f>
        <v>68963756.280000001</v>
      </c>
      <c r="I56" s="327">
        <f>+I49+I45+I33+I21+I9-1</f>
        <v>72899054.929999992</v>
      </c>
      <c r="J56" s="327">
        <f t="shared" si="8"/>
        <v>16786279.030000001</v>
      </c>
      <c r="K56" s="327">
        <f t="shared" si="9"/>
        <v>59214695.030000001</v>
      </c>
      <c r="L56" s="328">
        <f t="shared" si="10"/>
        <v>82.876259477053978</v>
      </c>
    </row>
    <row r="57" spans="1:16" ht="4.5" customHeight="1">
      <c r="A57" s="329"/>
      <c r="B57" s="330"/>
      <c r="C57" s="331"/>
      <c r="D57" s="331"/>
      <c r="E57" s="331"/>
      <c r="F57" s="331"/>
      <c r="G57" s="331"/>
      <c r="H57" s="331"/>
      <c r="I57" s="331"/>
      <c r="J57" s="331"/>
      <c r="K57" s="331"/>
      <c r="L57" s="332"/>
    </row>
    <row r="58" spans="1:16" ht="18.75" customHeight="1">
      <c r="A58" s="647" t="s">
        <v>482</v>
      </c>
      <c r="B58" s="647"/>
      <c r="C58" s="647"/>
      <c r="D58" s="48"/>
      <c r="E58" s="48"/>
      <c r="F58" s="48"/>
      <c r="G58" s="48" t="s">
        <v>6</v>
      </c>
      <c r="H58" s="48" t="s">
        <v>6</v>
      </c>
      <c r="I58" s="48"/>
      <c r="J58" s="48"/>
      <c r="K58" s="48"/>
      <c r="L58" s="48"/>
      <c r="N58" s="35" t="s">
        <v>6</v>
      </c>
      <c r="P58" t="s">
        <v>6</v>
      </c>
    </row>
    <row r="59" spans="1:16" ht="19.899999999999999" customHeight="1">
      <c r="D59" s="9"/>
      <c r="E59" s="19"/>
      <c r="F59" s="9"/>
      <c r="G59" s="19"/>
      <c r="H59" s="19" t="s">
        <v>6</v>
      </c>
      <c r="I59" s="9"/>
      <c r="J59" s="9"/>
      <c r="K59" s="9"/>
      <c r="L59" s="120"/>
    </row>
    <row r="60" spans="1:16" ht="19.89999999999999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6" ht="19.899999999999999" customHeight="1">
      <c r="A61" s="9"/>
      <c r="B61" s="9"/>
      <c r="C61" s="9"/>
      <c r="D61" s="19"/>
      <c r="E61" s="9"/>
      <c r="F61" s="9"/>
      <c r="G61" s="9"/>
      <c r="H61" s="9"/>
      <c r="I61" s="9"/>
      <c r="J61" s="9"/>
      <c r="K61" s="9"/>
      <c r="L61" s="9"/>
    </row>
    <row r="62" spans="1:16" ht="19.899999999999999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6" ht="19.899999999999999" customHeight="1">
      <c r="A63" s="9"/>
      <c r="B63" s="9"/>
      <c r="C63" s="9"/>
      <c r="D63" s="19" t="s">
        <v>6</v>
      </c>
      <c r="E63" s="9"/>
      <c r="F63" s="9"/>
      <c r="G63" s="9"/>
      <c r="H63" s="9"/>
      <c r="I63" s="9"/>
      <c r="J63" s="9"/>
      <c r="K63" s="9"/>
      <c r="L63" s="9"/>
    </row>
    <row r="64" spans="1:16" ht="19.899999999999999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9.899999999999999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9.89999999999999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9.89999999999999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9.89999999999999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9.89999999999999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89999999999999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9.89999999999999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9.89999999999999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19.89999999999999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19.89999999999999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9.89999999999999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19.89999999999999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19.899999999999999" customHeight="1"/>
    <row r="78" spans="1:12" ht="19.899999999999999" customHeight="1"/>
    <row r="79" spans="1:12" ht="19.899999999999999" customHeight="1"/>
    <row r="80" spans="1:12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1">
    <mergeCell ref="A58:C58"/>
    <mergeCell ref="A1:L1"/>
    <mergeCell ref="A2:L2"/>
    <mergeCell ref="A5:L5"/>
    <mergeCell ref="A3:L3"/>
    <mergeCell ref="A4:L4"/>
    <mergeCell ref="L6:L8"/>
    <mergeCell ref="A6:A8"/>
    <mergeCell ref="B6:B8"/>
    <mergeCell ref="J6:K8"/>
    <mergeCell ref="C6:I7"/>
  </mergeCells>
  <pageMargins left="0.39370078740157483" right="0.19685039370078741" top="0.78740157480314965" bottom="0.78740157480314965" header="0.51181102362204722" footer="0.51181102362204722"/>
  <pageSetup scale="75" orientation="portrait" r:id="rId1"/>
  <ignoredErrors>
    <ignoredError sqref="F33 H10 D10 D21:E21 D56 H21 H49" formula="1"/>
    <ignoredError sqref="A9:A27 A30 A54 A49:A51 A33:A4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50"/>
  </sheetPr>
  <dimension ref="A1:T38"/>
  <sheetViews>
    <sheetView showGridLines="0" showZeros="0" zoomScale="106" zoomScaleNormal="106" workbookViewId="0">
      <selection activeCell="M13" sqref="M13"/>
    </sheetView>
  </sheetViews>
  <sheetFormatPr baseColWidth="10" defaultColWidth="11.42578125" defaultRowHeight="12.75"/>
  <cols>
    <col min="1" max="1" width="3.85546875" style="9" customWidth="1"/>
    <col min="2" max="2" width="29.85546875" style="9" customWidth="1"/>
    <col min="3" max="3" width="11.42578125" style="9" customWidth="1"/>
    <col min="4" max="4" width="12.42578125" style="9" customWidth="1"/>
    <col min="5" max="5" width="11.85546875" style="9" customWidth="1"/>
    <col min="6" max="6" width="15.42578125" style="9" hidden="1" customWidth="1"/>
    <col min="7" max="7" width="15.7109375" style="9" customWidth="1"/>
    <col min="8" max="8" width="12.140625" style="9" customWidth="1"/>
    <col min="9" max="10" width="11" style="9" customWidth="1"/>
    <col min="11" max="11" width="11.28515625" style="9" hidden="1" customWidth="1"/>
    <col min="12" max="12" width="12.85546875" style="9" customWidth="1"/>
    <col min="13" max="13" width="7.28515625" customWidth="1"/>
    <col min="14" max="14" width="19.42578125" hidden="1" customWidth="1"/>
    <col min="16" max="16" width="13.28515625" bestFit="1" customWidth="1"/>
    <col min="17" max="17" width="12.28515625" bestFit="1" customWidth="1"/>
    <col min="20" max="20" width="13.28515625" bestFit="1" customWidth="1"/>
  </cols>
  <sheetData>
    <row r="1" spans="1:18" ht="15.75">
      <c r="A1" s="5"/>
      <c r="B1" s="576" t="s">
        <v>375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</row>
    <row r="2" spans="1:18" ht="15.75">
      <c r="A2" s="5"/>
      <c r="B2" s="576" t="s">
        <v>376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29"/>
    </row>
    <row r="3" spans="1:18" ht="16.5" customHeight="1">
      <c r="A3" s="577" t="s">
        <v>505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</row>
    <row r="4" spans="1:18" ht="19.5" customHeight="1">
      <c r="A4" s="676" t="s">
        <v>542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8" ht="6.75" customHeight="1">
      <c r="A5"/>
      <c r="B5"/>
      <c r="C5"/>
      <c r="D5"/>
      <c r="E5"/>
      <c r="F5"/>
      <c r="G5" t="s">
        <v>6</v>
      </c>
      <c r="H5"/>
      <c r="I5"/>
      <c r="J5"/>
      <c r="K5"/>
      <c r="L5"/>
    </row>
    <row r="6" spans="1:18" ht="24.95" customHeight="1">
      <c r="A6" s="670" t="s">
        <v>296</v>
      </c>
      <c r="B6" s="672" t="s">
        <v>0</v>
      </c>
      <c r="C6" s="679" t="s">
        <v>33</v>
      </c>
      <c r="D6" s="680"/>
      <c r="E6" s="680"/>
      <c r="F6" s="680"/>
      <c r="G6" s="680"/>
      <c r="H6" s="680"/>
      <c r="I6" s="681"/>
      <c r="J6" s="677" t="s">
        <v>470</v>
      </c>
      <c r="K6" s="678"/>
      <c r="L6" s="674" t="s">
        <v>22</v>
      </c>
    </row>
    <row r="7" spans="1:18" ht="24.95" customHeight="1">
      <c r="A7" s="671"/>
      <c r="B7" s="673"/>
      <c r="C7" s="438" t="s">
        <v>84</v>
      </c>
      <c r="D7" s="439" t="s">
        <v>12</v>
      </c>
      <c r="E7" s="437" t="s">
        <v>2</v>
      </c>
      <c r="F7" s="146" t="s">
        <v>38</v>
      </c>
      <c r="G7" s="552" t="s">
        <v>516</v>
      </c>
      <c r="H7" s="333" t="s">
        <v>514</v>
      </c>
      <c r="I7" s="333" t="s">
        <v>344</v>
      </c>
      <c r="J7" s="675"/>
      <c r="K7" s="615"/>
      <c r="L7" s="675"/>
    </row>
    <row r="8" spans="1:18" ht="15" customHeight="1">
      <c r="A8" s="334"/>
      <c r="B8" s="335"/>
      <c r="C8" s="336"/>
      <c r="D8" s="337"/>
      <c r="E8" s="338"/>
      <c r="F8" s="337"/>
      <c r="G8" s="339"/>
      <c r="H8" s="339"/>
      <c r="I8" s="337"/>
      <c r="J8" s="337"/>
      <c r="K8" s="337"/>
      <c r="L8" s="340"/>
    </row>
    <row r="9" spans="1:18" ht="24.95" customHeight="1">
      <c r="A9" s="341"/>
      <c r="B9" s="342" t="s">
        <v>298</v>
      </c>
      <c r="C9" s="553">
        <f>+C11+C21+C29</f>
        <v>141094806</v>
      </c>
      <c r="D9" s="553">
        <f>+D11+D21+D29</f>
        <v>140457693</v>
      </c>
      <c r="E9" s="554">
        <f t="shared" ref="E9" si="0">+E11+E21+E29</f>
        <v>98029277</v>
      </c>
      <c r="F9" s="553">
        <f>+F11+F21+F29</f>
        <v>13172504.060000001</v>
      </c>
      <c r="G9" s="553">
        <f>N9+F9</f>
        <v>81242997.969999999</v>
      </c>
      <c r="H9" s="553">
        <f>+H11+H21+H29</f>
        <v>68963756.280000001</v>
      </c>
      <c r="I9" s="553">
        <f>+I11+I21+I29</f>
        <v>72899055.530000001</v>
      </c>
      <c r="J9" s="553">
        <f>E9-G9</f>
        <v>16786279.030000001</v>
      </c>
      <c r="K9" s="553">
        <f>+D9-G9</f>
        <v>59214695.030000001</v>
      </c>
      <c r="L9" s="555">
        <f>+G9/E9*100</f>
        <v>82.876259477053978</v>
      </c>
      <c r="N9" s="473">
        <f>68044252.88+26241.03</f>
        <v>68070493.909999996</v>
      </c>
      <c r="P9" s="29" t="s">
        <v>6</v>
      </c>
      <c r="Q9" s="1"/>
      <c r="R9" s="1"/>
    </row>
    <row r="10" spans="1:18" ht="24.95" customHeight="1">
      <c r="A10" s="341"/>
      <c r="B10" s="343"/>
      <c r="C10" s="553"/>
      <c r="D10" s="553"/>
      <c r="E10" s="554"/>
      <c r="F10" s="553"/>
      <c r="G10" s="553"/>
      <c r="H10" s="556"/>
      <c r="I10" s="556"/>
      <c r="J10" s="553"/>
      <c r="K10" s="557"/>
      <c r="L10" s="558"/>
      <c r="N10" s="29"/>
    </row>
    <row r="11" spans="1:18" ht="24.95" customHeight="1">
      <c r="A11" s="344">
        <v>1</v>
      </c>
      <c r="B11" s="345" t="s">
        <v>34</v>
      </c>
      <c r="C11" s="553">
        <f>SUM(C13:C20)</f>
        <v>52074126</v>
      </c>
      <c r="D11" s="553">
        <f>SUM(D13:D19)</f>
        <v>54205087</v>
      </c>
      <c r="E11" s="554">
        <f>SUM(E13:E19)</f>
        <v>39425224</v>
      </c>
      <c r="F11" s="553">
        <f>SUM(F13:F19)</f>
        <v>4862902.78</v>
      </c>
      <c r="G11" s="553">
        <f>+N11+F11</f>
        <v>29072813.620000001</v>
      </c>
      <c r="H11" s="553">
        <f>SUM(H13:H19)</f>
        <v>24548253.099999998</v>
      </c>
      <c r="I11" s="553">
        <f>+I13+I15+I17+I19</f>
        <v>24926189.949999999</v>
      </c>
      <c r="J11" s="553">
        <f>+E11-G11</f>
        <v>10352410.379999999</v>
      </c>
      <c r="K11" s="553">
        <f>+D11-G11</f>
        <v>25132273.379999999</v>
      </c>
      <c r="L11" s="555">
        <f>+G11/E11*100</f>
        <v>73.741657422162021</v>
      </c>
      <c r="N11" s="473">
        <v>24209910.84</v>
      </c>
      <c r="O11" s="1" t="s">
        <v>6</v>
      </c>
      <c r="P11" s="1" t="s">
        <v>6</v>
      </c>
    </row>
    <row r="12" spans="1:18" ht="24.95" customHeight="1">
      <c r="A12" s="341"/>
      <c r="B12" s="346"/>
      <c r="C12" s="559"/>
      <c r="D12" s="559"/>
      <c r="E12" s="560"/>
      <c r="F12" s="559"/>
      <c r="G12" s="559"/>
      <c r="H12" s="559"/>
      <c r="I12" s="559"/>
      <c r="J12" s="559"/>
      <c r="K12" s="559"/>
      <c r="L12" s="561"/>
      <c r="N12" s="29"/>
    </row>
    <row r="13" spans="1:18" ht="24.95" customHeight="1">
      <c r="A13" s="347" t="s">
        <v>6</v>
      </c>
      <c r="B13" s="346" t="s">
        <v>299</v>
      </c>
      <c r="C13" s="559">
        <v>13072514</v>
      </c>
      <c r="D13" s="559">
        <f>12315799+82800</f>
        <v>12398599</v>
      </c>
      <c r="E13" s="560">
        <f>8414905+82800</f>
        <v>8497705</v>
      </c>
      <c r="F13" s="559">
        <v>1088048.6000000001</v>
      </c>
      <c r="G13" s="559">
        <f>+N13+F13</f>
        <v>6927802.3200000003</v>
      </c>
      <c r="H13" s="559">
        <v>5881287.79</v>
      </c>
      <c r="I13" s="559">
        <v>6311101.0599999996</v>
      </c>
      <c r="J13" s="559">
        <f>+E13-G13</f>
        <v>1569902.6799999997</v>
      </c>
      <c r="K13" s="559">
        <f>+D13-G13</f>
        <v>5470796.6799999997</v>
      </c>
      <c r="L13" s="561">
        <f>+G13/E13*100</f>
        <v>81.525568609406889</v>
      </c>
      <c r="N13" s="29">
        <f>5839771.86-18.14</f>
        <v>5839753.7200000007</v>
      </c>
      <c r="P13" s="1"/>
      <c r="Q13" s="1"/>
    </row>
    <row r="14" spans="1:18" ht="24.95" customHeight="1">
      <c r="A14" s="347"/>
      <c r="B14" s="346"/>
      <c r="C14" s="559"/>
      <c r="D14" s="559"/>
      <c r="E14" s="560"/>
      <c r="F14" s="559"/>
      <c r="G14" s="559"/>
      <c r="H14" s="559"/>
      <c r="I14" s="559"/>
      <c r="J14" s="559"/>
      <c r="K14" s="559"/>
      <c r="L14" s="561"/>
      <c r="N14" s="29"/>
    </row>
    <row r="15" spans="1:18" ht="24.95" customHeight="1">
      <c r="A15" s="347" t="s">
        <v>6</v>
      </c>
      <c r="B15" s="348" t="s">
        <v>300</v>
      </c>
      <c r="C15" s="559">
        <v>1063473</v>
      </c>
      <c r="D15" s="559">
        <v>999673</v>
      </c>
      <c r="E15" s="560">
        <v>659201</v>
      </c>
      <c r="F15" s="559">
        <v>90120.53</v>
      </c>
      <c r="G15" s="559">
        <f>+N15+F15</f>
        <v>605831.69999999995</v>
      </c>
      <c r="H15" s="559">
        <v>521883.34</v>
      </c>
      <c r="I15" s="559">
        <v>573531.38</v>
      </c>
      <c r="J15" s="559">
        <f>+E15-G15</f>
        <v>53369.300000000047</v>
      </c>
      <c r="K15" s="559">
        <f>+D15-G15</f>
        <v>393841.30000000005</v>
      </c>
      <c r="L15" s="561">
        <f>+G15/E15*100</f>
        <v>91.903941286496831</v>
      </c>
      <c r="N15" s="29">
        <v>515711.17</v>
      </c>
      <c r="P15" s="1"/>
      <c r="Q15" s="1"/>
    </row>
    <row r="16" spans="1:18" ht="24.95" customHeight="1">
      <c r="A16" s="347"/>
      <c r="B16" s="348"/>
      <c r="C16" s="559"/>
      <c r="D16" s="559"/>
      <c r="E16" s="560"/>
      <c r="F16" s="559"/>
      <c r="G16" s="559">
        <f>F16+M16</f>
        <v>0</v>
      </c>
      <c r="H16" s="559"/>
      <c r="I16" s="559"/>
      <c r="J16" s="559">
        <f>+E16-G16</f>
        <v>0</v>
      </c>
      <c r="K16" s="559" t="s">
        <v>6</v>
      </c>
      <c r="L16" s="561"/>
      <c r="N16" s="29">
        <v>0</v>
      </c>
    </row>
    <row r="17" spans="1:20" ht="24.95" customHeight="1">
      <c r="A17" s="347" t="s">
        <v>6</v>
      </c>
      <c r="B17" s="346" t="s">
        <v>301</v>
      </c>
      <c r="C17" s="559">
        <v>35488163</v>
      </c>
      <c r="D17" s="559">
        <f>38573097+30000</f>
        <v>38603097</v>
      </c>
      <c r="E17" s="560">
        <f>28814000+30000</f>
        <v>28844000</v>
      </c>
      <c r="F17" s="559">
        <v>3515915.1</v>
      </c>
      <c r="G17" s="559">
        <f>+N17+F17</f>
        <v>20700695.580000002</v>
      </c>
      <c r="H17" s="559">
        <v>17459289.699999999</v>
      </c>
      <c r="I17" s="559">
        <v>17305774.629999999</v>
      </c>
      <c r="J17" s="559">
        <f>+E17-G17</f>
        <v>8143304.4199999981</v>
      </c>
      <c r="K17" s="559">
        <f>+D17-G17</f>
        <v>17902401.419999998</v>
      </c>
      <c r="L17" s="561">
        <f>+G17/E17*100</f>
        <v>71.767770004160312</v>
      </c>
      <c r="N17" s="29">
        <v>17184780.48</v>
      </c>
      <c r="P17" s="1"/>
      <c r="Q17" s="1"/>
      <c r="R17" s="29"/>
      <c r="T17" s="29"/>
    </row>
    <row r="18" spans="1:20" ht="24.95" customHeight="1">
      <c r="A18" s="347"/>
      <c r="B18" s="346"/>
      <c r="C18" s="559"/>
      <c r="D18" s="559"/>
      <c r="E18" s="560"/>
      <c r="F18" s="559"/>
      <c r="G18" s="559" t="s">
        <v>6</v>
      </c>
      <c r="H18" s="559"/>
      <c r="I18" s="559"/>
      <c r="J18" s="559" t="s">
        <v>6</v>
      </c>
      <c r="K18" s="559" t="s">
        <v>6</v>
      </c>
      <c r="L18" s="561"/>
      <c r="N18" s="29" t="s">
        <v>6</v>
      </c>
    </row>
    <row r="19" spans="1:20" ht="24.95" customHeight="1">
      <c r="A19" s="347" t="s">
        <v>6</v>
      </c>
      <c r="B19" s="348" t="s">
        <v>302</v>
      </c>
      <c r="C19" s="559">
        <v>2449976</v>
      </c>
      <c r="D19" s="559">
        <f>2203718</f>
        <v>2203718</v>
      </c>
      <c r="E19" s="560">
        <f>1424318</f>
        <v>1424318</v>
      </c>
      <c r="F19" s="559">
        <v>168818.55</v>
      </c>
      <c r="G19" s="559">
        <f>+N19+F19</f>
        <v>838484.47999999998</v>
      </c>
      <c r="H19" s="559">
        <v>685792.27</v>
      </c>
      <c r="I19" s="559">
        <v>735782.88</v>
      </c>
      <c r="J19" s="559">
        <f>+E19-J2319</f>
        <v>1424318</v>
      </c>
      <c r="K19" s="559">
        <f>+D19-G19</f>
        <v>1365233.52</v>
      </c>
      <c r="L19" s="561">
        <f>+G19/E19*100</f>
        <v>58.869190728474962</v>
      </c>
      <c r="N19" s="29">
        <v>669665.93000000005</v>
      </c>
      <c r="P19" s="1"/>
    </row>
    <row r="20" spans="1:20" ht="24.95" customHeight="1">
      <c r="A20" s="347"/>
      <c r="B20" s="346"/>
      <c r="C20" s="559"/>
      <c r="D20" s="559" t="s">
        <v>6</v>
      </c>
      <c r="E20" s="560"/>
      <c r="F20" s="559"/>
      <c r="G20" s="559">
        <f>F20</f>
        <v>0</v>
      </c>
      <c r="H20" s="559"/>
      <c r="I20" s="559"/>
      <c r="J20" s="559">
        <f>+E20-G20</f>
        <v>0</v>
      </c>
      <c r="K20" s="559" t="s">
        <v>6</v>
      </c>
      <c r="L20" s="561"/>
      <c r="N20" s="29">
        <v>0</v>
      </c>
    </row>
    <row r="21" spans="1:20" ht="24.95" customHeight="1">
      <c r="A21" s="344">
        <v>2</v>
      </c>
      <c r="B21" s="345" t="s">
        <v>35</v>
      </c>
      <c r="C21" s="553">
        <f t="shared" ref="C21:D21" si="1">SUM(C23:C27)</f>
        <v>73122532</v>
      </c>
      <c r="D21" s="553">
        <f t="shared" si="1"/>
        <v>72146082</v>
      </c>
      <c r="E21" s="554">
        <f>SUM(E23:E27)</f>
        <v>48994579</v>
      </c>
      <c r="F21" s="553">
        <f>SUM(F23:F27)</f>
        <v>6999896.879999999</v>
      </c>
      <c r="G21" s="553">
        <f>+G23+G25+G27</f>
        <v>44395036.049999997</v>
      </c>
      <c r="H21" s="553">
        <f>SUM(H23:H27)</f>
        <v>37864492.230000004</v>
      </c>
      <c r="I21" s="553">
        <f>SUM(I23:I27)</f>
        <v>41026005.579999998</v>
      </c>
      <c r="J21" s="553">
        <f>+E21-G21</f>
        <v>4599542.950000003</v>
      </c>
      <c r="K21" s="553">
        <f>+D21-G21</f>
        <v>27751045.950000003</v>
      </c>
      <c r="L21" s="555">
        <f>+G21/E21*100</f>
        <v>90.612139049097649</v>
      </c>
      <c r="N21" s="473">
        <v>25864131.980000004</v>
      </c>
    </row>
    <row r="22" spans="1:20" ht="24.95" customHeight="1">
      <c r="A22" s="349"/>
      <c r="B22" s="346"/>
      <c r="C22" s="559"/>
      <c r="D22" s="559"/>
      <c r="E22" s="560"/>
      <c r="F22" s="559"/>
      <c r="G22" s="559">
        <f>F22</f>
        <v>0</v>
      </c>
      <c r="H22" s="559"/>
      <c r="I22" s="559"/>
      <c r="J22" s="559">
        <f>+E22-G22</f>
        <v>0</v>
      </c>
      <c r="K22" s="559" t="s">
        <v>6</v>
      </c>
      <c r="L22" s="561" t="s">
        <v>6</v>
      </c>
      <c r="N22" s="29">
        <v>0</v>
      </c>
    </row>
    <row r="23" spans="1:20" ht="24.95" customHeight="1">
      <c r="A23" s="350" t="s">
        <v>6</v>
      </c>
      <c r="B23" s="346" t="s">
        <v>303</v>
      </c>
      <c r="C23" s="559">
        <v>3496882</v>
      </c>
      <c r="D23" s="559">
        <v>3359613</v>
      </c>
      <c r="E23" s="559">
        <f>2495871</f>
        <v>2495871</v>
      </c>
      <c r="F23" s="562">
        <v>221613.53</v>
      </c>
      <c r="G23" s="559">
        <f>+N23+F23</f>
        <v>1904609.1600000001</v>
      </c>
      <c r="H23" s="559">
        <v>1373074.76</v>
      </c>
      <c r="I23" s="559">
        <v>1373155.62</v>
      </c>
      <c r="J23" s="559">
        <f>+E23-G23</f>
        <v>591261.83999999985</v>
      </c>
      <c r="K23" s="559">
        <f>+D23-G23</f>
        <v>1455003.8399999999</v>
      </c>
      <c r="L23" s="561">
        <f>+G23/E17*100</f>
        <v>6.6031381223131334</v>
      </c>
      <c r="N23" s="29">
        <f>1682975.8+19.83</f>
        <v>1682995.6300000001</v>
      </c>
      <c r="P23" s="1"/>
      <c r="Q23" s="29"/>
    </row>
    <row r="24" spans="1:20" ht="24.95" customHeight="1">
      <c r="A24" s="350"/>
      <c r="B24" s="346"/>
      <c r="C24" s="559"/>
      <c r="D24" s="559" t="s">
        <v>6</v>
      </c>
      <c r="E24" s="559"/>
      <c r="F24" s="562"/>
      <c r="G24" s="559">
        <f>E24+M24</f>
        <v>0</v>
      </c>
      <c r="H24" s="559"/>
      <c r="I24" s="559"/>
      <c r="J24" s="559" t="s">
        <v>6</v>
      </c>
      <c r="K24" s="559" t="s">
        <v>6</v>
      </c>
      <c r="L24" s="561"/>
      <c r="N24" s="29">
        <v>0</v>
      </c>
      <c r="Q24" s="29"/>
    </row>
    <row r="25" spans="1:20" ht="24.95" customHeight="1">
      <c r="A25" s="350" t="s">
        <v>6</v>
      </c>
      <c r="B25" s="346" t="s">
        <v>304</v>
      </c>
      <c r="C25" s="559">
        <v>36159943</v>
      </c>
      <c r="D25" s="559">
        <f>35665282+70000</f>
        <v>35735282</v>
      </c>
      <c r="E25" s="559">
        <f>23852462+70000</f>
        <v>23922462</v>
      </c>
      <c r="F25" s="562">
        <v>3512809.03</v>
      </c>
      <c r="G25" s="563">
        <f>+N25+F25</f>
        <v>22041615.48</v>
      </c>
      <c r="H25" s="559">
        <v>18883475.969999999</v>
      </c>
      <c r="I25" s="559">
        <v>20569049.440000001</v>
      </c>
      <c r="J25" s="559">
        <f>+E25-G25</f>
        <v>1880846.5199999996</v>
      </c>
      <c r="K25" s="559">
        <f>+D25-G25</f>
        <v>13693666.52</v>
      </c>
      <c r="L25" s="561">
        <f>+G25/E25*100</f>
        <v>92.137738498654528</v>
      </c>
      <c r="N25" s="29">
        <f>18527742.45+1064.48-0.48</f>
        <v>18528806.449999999</v>
      </c>
      <c r="P25" s="29"/>
      <c r="Q25" s="29"/>
    </row>
    <row r="26" spans="1:20" ht="24.95" customHeight="1">
      <c r="A26" s="350"/>
      <c r="B26" s="346"/>
      <c r="C26" s="559"/>
      <c r="D26" s="559"/>
      <c r="E26" s="559"/>
      <c r="F26" s="562"/>
      <c r="G26" s="559">
        <f>E26+M26</f>
        <v>0</v>
      </c>
      <c r="H26" s="559"/>
      <c r="I26" s="559"/>
      <c r="J26" s="559" t="s">
        <v>6</v>
      </c>
      <c r="K26" s="559" t="e">
        <f>+#REF!-G26</f>
        <v>#REF!</v>
      </c>
      <c r="L26" s="561"/>
      <c r="N26" s="29">
        <v>0</v>
      </c>
      <c r="Q26" s="29"/>
    </row>
    <row r="27" spans="1:20" ht="24.95" customHeight="1">
      <c r="A27" s="350" t="s">
        <v>6</v>
      </c>
      <c r="B27" s="346" t="s">
        <v>305</v>
      </c>
      <c r="C27" s="559">
        <v>33465707</v>
      </c>
      <c r="D27" s="559">
        <f>32971187+80000</f>
        <v>33051187</v>
      </c>
      <c r="E27" s="559">
        <f>22496246+80000</f>
        <v>22576246</v>
      </c>
      <c r="F27" s="562">
        <v>3265474.32</v>
      </c>
      <c r="G27" s="559">
        <f>+F27+N27</f>
        <v>20448811.41</v>
      </c>
      <c r="H27" s="559">
        <v>17607941.5</v>
      </c>
      <c r="I27" s="559">
        <v>19083800.52</v>
      </c>
      <c r="J27" s="559">
        <f>+E27-G27</f>
        <v>2127434.59</v>
      </c>
      <c r="K27" s="559">
        <f>+D27-G27</f>
        <v>12602375.59</v>
      </c>
      <c r="L27" s="561">
        <f>+G27/E27*100</f>
        <v>90.576668105051667</v>
      </c>
      <c r="N27" s="29">
        <f>17183571.7-234.61</f>
        <v>17183337.09</v>
      </c>
      <c r="P27" s="1"/>
    </row>
    <row r="28" spans="1:20" ht="24.95" customHeight="1">
      <c r="A28" s="351"/>
      <c r="B28" s="346"/>
      <c r="C28" s="559"/>
      <c r="D28" s="559"/>
      <c r="E28" s="560"/>
      <c r="F28" s="559"/>
      <c r="G28" s="559">
        <f>F28+M28</f>
        <v>0</v>
      </c>
      <c r="H28" s="559"/>
      <c r="I28" s="559"/>
      <c r="J28" s="559">
        <f>+E28-G28</f>
        <v>0</v>
      </c>
      <c r="K28" s="559" t="s">
        <v>6</v>
      </c>
      <c r="L28" s="561" t="s">
        <v>6</v>
      </c>
      <c r="N28" s="29">
        <v>0</v>
      </c>
    </row>
    <row r="29" spans="1:20" ht="24.95" customHeight="1">
      <c r="A29" s="352" t="s">
        <v>275</v>
      </c>
      <c r="B29" s="345" t="s">
        <v>36</v>
      </c>
      <c r="C29" s="553">
        <v>15898148</v>
      </c>
      <c r="D29" s="553">
        <f>14070324+36200</f>
        <v>14106524</v>
      </c>
      <c r="E29" s="554">
        <f>9573274+36200</f>
        <v>9609474</v>
      </c>
      <c r="F29" s="553">
        <v>1309704.3999999999</v>
      </c>
      <c r="G29" s="553">
        <v>7775148.6399999997</v>
      </c>
      <c r="H29" s="553">
        <v>6551010.9500000002</v>
      </c>
      <c r="I29" s="553">
        <v>6946860</v>
      </c>
      <c r="J29" s="553">
        <f>+E29-G29</f>
        <v>1834325.3600000003</v>
      </c>
      <c r="K29" s="553">
        <f>+D29-G29</f>
        <v>6331375.3600000003</v>
      </c>
      <c r="L29" s="555">
        <f>+G29/E29*100</f>
        <v>80.911282344902531</v>
      </c>
      <c r="N29" s="473">
        <v>4546352.51</v>
      </c>
    </row>
    <row r="30" spans="1:20" ht="24.95" customHeight="1" thickBot="1">
      <c r="A30" s="353"/>
      <c r="B30" s="354"/>
      <c r="C30" s="564"/>
      <c r="D30" s="564" t="s">
        <v>6</v>
      </c>
      <c r="E30" s="565"/>
      <c r="F30" s="564"/>
      <c r="G30" s="564" t="s">
        <v>6</v>
      </c>
      <c r="H30" s="564"/>
      <c r="I30" s="564"/>
      <c r="J30" s="564"/>
      <c r="K30" s="564" t="s">
        <v>6</v>
      </c>
      <c r="L30" s="566" t="s">
        <v>6</v>
      </c>
      <c r="M30" t="s">
        <v>6</v>
      </c>
      <c r="N30" s="29" t="s">
        <v>6</v>
      </c>
    </row>
    <row r="31" spans="1:20" ht="11.25" customHeight="1" thickTop="1">
      <c r="A31" s="355"/>
      <c r="B31" s="194"/>
      <c r="C31" s="356"/>
      <c r="D31" s="356"/>
      <c r="E31" s="356"/>
      <c r="F31" s="356"/>
      <c r="G31" s="356" t="s">
        <v>6</v>
      </c>
      <c r="H31" s="356"/>
      <c r="I31" s="356"/>
      <c r="J31" s="356"/>
      <c r="K31" s="356" t="s">
        <v>6</v>
      </c>
      <c r="L31"/>
    </row>
    <row r="32" spans="1:20" ht="13.5" customHeight="1">
      <c r="A32" s="357"/>
      <c r="B32" s="573" t="s">
        <v>479</v>
      </c>
      <c r="C32" s="573"/>
      <c r="D32" s="358"/>
      <c r="E32" s="358"/>
      <c r="F32" s="358"/>
      <c r="G32" s="359"/>
      <c r="H32" s="359"/>
      <c r="I32" s="359"/>
      <c r="J32" s="359"/>
      <c r="K32" s="360"/>
      <c r="L32"/>
    </row>
    <row r="35" spans="4:12">
      <c r="D35" s="19" t="s">
        <v>6</v>
      </c>
    </row>
    <row r="38" spans="4:12">
      <c r="L38" s="9" t="s">
        <v>6</v>
      </c>
    </row>
  </sheetData>
  <mergeCells count="10">
    <mergeCell ref="B32:C32"/>
    <mergeCell ref="B1:L1"/>
    <mergeCell ref="B2:L2"/>
    <mergeCell ref="A6:A7"/>
    <mergeCell ref="B6:B7"/>
    <mergeCell ref="L6:L7"/>
    <mergeCell ref="A3:L3"/>
    <mergeCell ref="A4:L4"/>
    <mergeCell ref="J6:K7"/>
    <mergeCell ref="C6:I6"/>
  </mergeCells>
  <phoneticPr fontId="2" type="noConversion"/>
  <pageMargins left="3.937007874015748E-2" right="0" top="0.55118110236220474" bottom="0.35433070866141736" header="0.51181102362204722" footer="0.98425196850393704"/>
  <pageSetup scale="75" firstPageNumber="0" fitToWidth="0" fitToHeight="0" orientation="portrait" r:id="rId1"/>
  <headerFooter alignWithMargins="0">
    <oddFooter xml:space="preserve">&amp;R&amp;"Times New Roman,Normal"&amp;12 </oddFooter>
  </headerFooter>
  <ignoredErrors>
    <ignoredError sqref="G20:G21 G16 G24:G25 G9 G11" formula="1"/>
    <ignoredError sqref="A2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1"/>
  <sheetViews>
    <sheetView showGridLines="0" showZeros="0" tabSelected="1" topLeftCell="A10" workbookViewId="0">
      <selection activeCell="G39" sqref="G39"/>
    </sheetView>
  </sheetViews>
  <sheetFormatPr baseColWidth="10" defaultRowHeight="12.75"/>
  <cols>
    <col min="1" max="1" width="72" customWidth="1"/>
    <col min="2" max="2" width="12.7109375" customWidth="1"/>
    <col min="3" max="3" width="14.140625" customWidth="1"/>
    <col min="4" max="4" width="13.7109375" customWidth="1"/>
    <col min="5" max="5" width="1.5703125" hidden="1" customWidth="1"/>
    <col min="6" max="6" width="16.28515625" customWidth="1"/>
    <col min="7" max="7" width="13.28515625" customWidth="1"/>
    <col min="8" max="8" width="13" customWidth="1"/>
    <col min="9" max="9" width="15.7109375" customWidth="1"/>
    <col min="10" max="10" width="2.5703125" hidden="1" customWidth="1"/>
    <col min="11" max="11" width="14.140625" customWidth="1"/>
    <col min="12" max="12" width="12.7109375" customWidth="1"/>
    <col min="13" max="13" width="16.85546875" hidden="1" customWidth="1"/>
    <col min="14" max="14" width="8" customWidth="1"/>
  </cols>
  <sheetData>
    <row r="1" spans="1:13" ht="20.100000000000001" customHeight="1">
      <c r="A1" s="576" t="s">
        <v>377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3" ht="20.100000000000001" customHeight="1">
      <c r="A2" s="576" t="s">
        <v>376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</row>
    <row r="3" spans="1:13" ht="20.100000000000001" customHeight="1">
      <c r="A3" s="577" t="s">
        <v>518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</row>
    <row r="4" spans="1:13" ht="20.100000000000001" customHeight="1">
      <c r="A4" s="577" t="s">
        <v>541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</row>
    <row r="5" spans="1:13" ht="10.5" customHeight="1">
      <c r="A5" s="145"/>
      <c r="B5" s="145"/>
      <c r="C5" s="145"/>
      <c r="D5" s="145"/>
      <c r="E5" s="145"/>
      <c r="F5" s="361"/>
      <c r="G5" s="361"/>
      <c r="H5" s="361"/>
      <c r="I5" s="361"/>
      <c r="J5" s="361"/>
      <c r="M5" s="479">
        <f>+F8-D8</f>
        <v>1152482.790000001</v>
      </c>
    </row>
    <row r="6" spans="1:13" ht="20.25" customHeight="1">
      <c r="A6" s="686" t="s">
        <v>317</v>
      </c>
      <c r="B6" s="688" t="s">
        <v>33</v>
      </c>
      <c r="C6" s="689"/>
      <c r="D6" s="689"/>
      <c r="E6" s="689"/>
      <c r="F6" s="689"/>
      <c r="G6" s="689"/>
      <c r="H6" s="690"/>
      <c r="I6" s="682" t="s">
        <v>297</v>
      </c>
      <c r="J6" s="362" t="s">
        <v>370</v>
      </c>
      <c r="K6" s="684" t="s">
        <v>369</v>
      </c>
    </row>
    <row r="7" spans="1:13" ht="40.5" customHeight="1">
      <c r="A7" s="687"/>
      <c r="B7" s="471" t="s">
        <v>84</v>
      </c>
      <c r="C7" s="472" t="s">
        <v>523</v>
      </c>
      <c r="D7" s="472" t="s">
        <v>2</v>
      </c>
      <c r="E7" s="472" t="s">
        <v>38</v>
      </c>
      <c r="F7" s="472" t="s">
        <v>516</v>
      </c>
      <c r="G7" s="472" t="s">
        <v>514</v>
      </c>
      <c r="H7" s="472" t="s">
        <v>344</v>
      </c>
      <c r="I7" s="683"/>
      <c r="J7" s="363"/>
      <c r="K7" s="685"/>
    </row>
    <row r="8" spans="1:13" ht="20.100000000000001" customHeight="1">
      <c r="A8" s="364" t="s">
        <v>314</v>
      </c>
      <c r="B8" s="365">
        <f t="shared" ref="B8:H8" si="0">SUM(B9:B15)</f>
        <v>27799680</v>
      </c>
      <c r="C8" s="366">
        <f>SUM(C9:C15)</f>
        <v>9400097</v>
      </c>
      <c r="D8" s="366">
        <f t="shared" si="0"/>
        <v>9400097</v>
      </c>
      <c r="E8" s="366">
        <f t="shared" si="0"/>
        <v>4718429.4399999995</v>
      </c>
      <c r="F8" s="474">
        <f t="shared" si="0"/>
        <v>10552579.790000001</v>
      </c>
      <c r="G8" s="474">
        <f>SUM(G9:G15)</f>
        <v>654847.5199999999</v>
      </c>
      <c r="H8" s="474">
        <f t="shared" si="0"/>
        <v>283150.19</v>
      </c>
      <c r="I8" s="496">
        <f>+D8-F8</f>
        <v>-1152482.790000001</v>
      </c>
      <c r="J8" s="367" t="e">
        <f>+J9+J15+#REF!+J10</f>
        <v>#REF!</v>
      </c>
      <c r="K8" s="368">
        <f>+F8*100/D8</f>
        <v>112.26032869660814</v>
      </c>
      <c r="M8">
        <v>9685233.8000000007</v>
      </c>
    </row>
    <row r="9" spans="1:13" ht="20.100000000000001" customHeight="1">
      <c r="A9" s="49" t="s">
        <v>315</v>
      </c>
      <c r="B9" s="369">
        <f>9834974</f>
        <v>9834974</v>
      </c>
      <c r="C9" s="369">
        <v>2577010</v>
      </c>
      <c r="D9" s="370">
        <v>2577010</v>
      </c>
      <c r="E9" s="370">
        <v>356518.27</v>
      </c>
      <c r="F9" s="370">
        <v>2916063.22</v>
      </c>
      <c r="G9" s="370">
        <v>236827.44</v>
      </c>
      <c r="H9" s="370">
        <v>227962.7</v>
      </c>
      <c r="I9" s="488">
        <f>+D9-F9</f>
        <v>-339053.2200000002</v>
      </c>
      <c r="J9" s="371">
        <f>+C9-F9</f>
        <v>-339053.2200000002</v>
      </c>
      <c r="K9" s="372">
        <f>+F9*100/D9</f>
        <v>113.1568453362618</v>
      </c>
      <c r="M9">
        <v>2673009.79</v>
      </c>
    </row>
    <row r="10" spans="1:13" ht="36.75" customHeight="1">
      <c r="A10" s="373" t="s">
        <v>347</v>
      </c>
      <c r="B10" s="374">
        <v>5000000</v>
      </c>
      <c r="C10" s="374">
        <v>1168979</v>
      </c>
      <c r="D10" s="375">
        <v>1168979</v>
      </c>
      <c r="E10" s="375">
        <v>16475.86</v>
      </c>
      <c r="F10" s="375">
        <v>1340260.42</v>
      </c>
      <c r="G10" s="375">
        <v>311561.75</v>
      </c>
      <c r="H10" s="375">
        <v>55187.49</v>
      </c>
      <c r="I10" s="510">
        <f>+D10-F10</f>
        <v>-171281.41999999993</v>
      </c>
      <c r="J10" s="376">
        <f>+C10-F10</f>
        <v>-171281.41999999993</v>
      </c>
      <c r="K10" s="377">
        <f>+F10*100/D10</f>
        <v>114.65222386373065</v>
      </c>
      <c r="M10" s="112">
        <v>1179536.8500000001</v>
      </c>
    </row>
    <row r="11" spans="1:13" ht="26.25" customHeight="1">
      <c r="A11" s="378" t="s">
        <v>465</v>
      </c>
      <c r="B11" s="369">
        <v>382798</v>
      </c>
      <c r="C11" s="369" t="s">
        <v>445</v>
      </c>
      <c r="D11" s="370" t="s">
        <v>445</v>
      </c>
      <c r="E11" s="370"/>
      <c r="F11" s="370"/>
      <c r="G11" s="370"/>
      <c r="H11" s="370"/>
      <c r="I11" s="370"/>
      <c r="J11" s="371"/>
      <c r="K11" s="379"/>
    </row>
    <row r="12" spans="1:13" ht="21.6" customHeight="1">
      <c r="A12" s="378" t="s">
        <v>466</v>
      </c>
      <c r="B12" s="369">
        <v>2000000</v>
      </c>
      <c r="C12" s="369">
        <v>14204</v>
      </c>
      <c r="D12" s="370">
        <v>14204</v>
      </c>
      <c r="E12" s="370"/>
      <c r="F12" s="370"/>
      <c r="G12" s="370"/>
      <c r="H12" s="370"/>
      <c r="I12" s="370"/>
      <c r="J12" s="371"/>
      <c r="K12" s="372"/>
    </row>
    <row r="13" spans="1:13" ht="27" customHeight="1">
      <c r="A13" s="378" t="s">
        <v>467</v>
      </c>
      <c r="B13" s="374">
        <v>1135854</v>
      </c>
      <c r="C13" s="374">
        <v>56816</v>
      </c>
      <c r="D13" s="375">
        <v>56816</v>
      </c>
      <c r="E13" s="375"/>
      <c r="F13" s="375"/>
      <c r="G13" s="375"/>
      <c r="H13" s="375"/>
      <c r="I13" s="375"/>
      <c r="J13" s="376"/>
      <c r="K13" s="380"/>
    </row>
    <row r="14" spans="1:13" ht="21.6" customHeight="1">
      <c r="A14" s="378" t="s">
        <v>446</v>
      </c>
      <c r="B14" s="374">
        <v>283423</v>
      </c>
      <c r="C14" s="374">
        <v>481536</v>
      </c>
      <c r="D14" s="375">
        <v>481536</v>
      </c>
      <c r="E14" s="375"/>
      <c r="F14" s="375">
        <f>+E14+M14</f>
        <v>481536</v>
      </c>
      <c r="G14" s="375"/>
      <c r="H14" s="375"/>
      <c r="I14" s="510">
        <f>+D14-F14</f>
        <v>0</v>
      </c>
      <c r="J14" s="376"/>
      <c r="K14" s="380"/>
      <c r="M14">
        <v>481536</v>
      </c>
    </row>
    <row r="15" spans="1:13" ht="20.100000000000001" customHeight="1">
      <c r="A15" s="49" t="s">
        <v>340</v>
      </c>
      <c r="B15" s="369">
        <v>9162631</v>
      </c>
      <c r="C15" s="369">
        <v>5101552</v>
      </c>
      <c r="D15" s="370">
        <v>5101552</v>
      </c>
      <c r="E15" s="370">
        <v>4345435.3099999996</v>
      </c>
      <c r="F15" s="370">
        <v>5814720.1500000004</v>
      </c>
      <c r="G15" s="370">
        <v>106458.33</v>
      </c>
      <c r="H15" s="370">
        <v>0</v>
      </c>
      <c r="I15" s="489">
        <f>+D15-F15</f>
        <v>-713168.15000000037</v>
      </c>
      <c r="J15" s="371">
        <f>+C15-F15</f>
        <v>-713168.15000000037</v>
      </c>
      <c r="K15" s="372">
        <f>+F15*100/D15</f>
        <v>113.9794350817163</v>
      </c>
      <c r="M15" s="29">
        <v>5351151.16</v>
      </c>
    </row>
    <row r="16" spans="1:13" ht="20.100000000000001" customHeight="1">
      <c r="A16" s="381" t="s">
        <v>316</v>
      </c>
      <c r="B16" s="382">
        <f>SUM(B17:B30)</f>
        <v>15761574</v>
      </c>
      <c r="C16" s="383">
        <f>SUM(C17:C30)</f>
        <v>8710851</v>
      </c>
      <c r="D16" s="383">
        <f>SUM(D17:D30)</f>
        <v>8710851</v>
      </c>
      <c r="E16" s="486">
        <f>SUM(E17:E30)</f>
        <v>812889.93</v>
      </c>
      <c r="F16" s="366">
        <f>SUM(F17:F31)</f>
        <v>7951714.1300000018</v>
      </c>
      <c r="G16" s="366">
        <f>SUM(G17:G30)</f>
        <v>3086070.0799999996</v>
      </c>
      <c r="H16" s="383">
        <f>SUM(H17:H30)</f>
        <v>1380547.8799999997</v>
      </c>
      <c r="I16" s="496">
        <f>D16-F16</f>
        <v>759136.86999999825</v>
      </c>
      <c r="J16" s="367">
        <f>+C16-F16</f>
        <v>759136.86999999825</v>
      </c>
      <c r="K16" s="368">
        <f>+F16*100/D16</f>
        <v>91.285158361680175</v>
      </c>
      <c r="M16">
        <v>4076249.6300000004</v>
      </c>
    </row>
    <row r="17" spans="1:13" ht="21.6" customHeight="1">
      <c r="A17" s="384" t="s">
        <v>389</v>
      </c>
      <c r="B17" s="385">
        <v>2896997</v>
      </c>
      <c r="C17" s="386">
        <v>5004545</v>
      </c>
      <c r="D17" s="386">
        <v>5004545</v>
      </c>
      <c r="E17" s="487">
        <v>472158.89</v>
      </c>
      <c r="F17" s="370">
        <v>4379964.34</v>
      </c>
      <c r="G17" s="370">
        <v>1463527.76</v>
      </c>
      <c r="H17" s="370">
        <v>191915.58</v>
      </c>
      <c r="I17" s="495">
        <f>+C17-F17</f>
        <v>624580.66000000015</v>
      </c>
      <c r="J17" s="371"/>
      <c r="K17" s="372">
        <f>+F17*100/D17</f>
        <v>87.519731364189951</v>
      </c>
      <c r="M17">
        <v>1713484.79</v>
      </c>
    </row>
    <row r="18" spans="1:13" ht="21.6" customHeight="1">
      <c r="A18" s="373" t="s">
        <v>448</v>
      </c>
      <c r="B18" s="385">
        <v>1200000</v>
      </c>
      <c r="C18" s="386">
        <v>421298</v>
      </c>
      <c r="D18" s="386">
        <v>421298</v>
      </c>
      <c r="E18" s="487">
        <v>1279.3</v>
      </c>
      <c r="F18" s="370">
        <v>430390.75</v>
      </c>
      <c r="G18" s="370">
        <v>430390.75</v>
      </c>
      <c r="H18" s="370">
        <v>416150.38</v>
      </c>
      <c r="I18" s="495">
        <f>+C18-F18</f>
        <v>-9092.75</v>
      </c>
      <c r="J18" s="371"/>
      <c r="K18" s="379"/>
      <c r="M18">
        <v>431670.05</v>
      </c>
    </row>
    <row r="19" spans="1:13" ht="20.100000000000001" customHeight="1">
      <c r="A19" s="373" t="s">
        <v>447</v>
      </c>
      <c r="B19" s="385">
        <v>4628400</v>
      </c>
      <c r="C19" s="386">
        <v>95571</v>
      </c>
      <c r="D19" s="386">
        <v>95571</v>
      </c>
      <c r="E19" s="487">
        <v>28474.84</v>
      </c>
      <c r="F19" s="370">
        <v>95444.94</v>
      </c>
      <c r="G19" s="370">
        <v>40970.1</v>
      </c>
      <c r="H19" s="370">
        <v>40970.1</v>
      </c>
      <c r="I19" s="495">
        <f>+D19-F19</f>
        <v>126.05999999999767</v>
      </c>
      <c r="J19" s="371">
        <f>+C19-F19</f>
        <v>126.05999999999767</v>
      </c>
      <c r="K19" s="372">
        <f>+F19*100/D19</f>
        <v>99.868098063220017</v>
      </c>
      <c r="M19">
        <v>69444.94</v>
      </c>
    </row>
    <row r="20" spans="1:13" ht="20.100000000000001" customHeight="1">
      <c r="A20" s="373" t="s">
        <v>449</v>
      </c>
      <c r="B20" s="385">
        <v>2000000</v>
      </c>
      <c r="C20" s="386">
        <v>1741423</v>
      </c>
      <c r="D20" s="386">
        <v>1741423</v>
      </c>
      <c r="E20" s="487">
        <v>120087.83</v>
      </c>
      <c r="F20" s="370">
        <v>1731452.96</v>
      </c>
      <c r="G20" s="370">
        <v>714061.71</v>
      </c>
      <c r="H20" s="370">
        <v>601222.11</v>
      </c>
      <c r="I20" s="495">
        <f>+D20-F20</f>
        <v>9970.0400000000373</v>
      </c>
      <c r="J20" s="371"/>
      <c r="K20" s="372">
        <f>+F20*100/D20</f>
        <v>99.427477413586473</v>
      </c>
      <c r="M20">
        <v>999337.96</v>
      </c>
    </row>
    <row r="21" spans="1:13" ht="20.100000000000001" customHeight="1">
      <c r="A21" s="373" t="s">
        <v>450</v>
      </c>
      <c r="B21" s="385">
        <v>1000000</v>
      </c>
      <c r="C21" s="386">
        <v>529723</v>
      </c>
      <c r="D21" s="386">
        <v>529723</v>
      </c>
      <c r="E21" s="487">
        <v>61360.43</v>
      </c>
      <c r="F21" s="370">
        <v>511856.07</v>
      </c>
      <c r="G21" s="370">
        <v>93586.02</v>
      </c>
      <c r="H21" s="370">
        <v>24141.13</v>
      </c>
      <c r="I21" s="370"/>
      <c r="J21" s="371"/>
      <c r="K21" s="372">
        <f t="shared" ref="K21:K30" si="1">+F21*100/D21</f>
        <v>96.62711832410524</v>
      </c>
      <c r="M21">
        <v>341780.77999999997</v>
      </c>
    </row>
    <row r="22" spans="1:13" ht="20.100000000000001" customHeight="1">
      <c r="A22" s="384" t="s">
        <v>371</v>
      </c>
      <c r="B22" s="385">
        <v>1270000</v>
      </c>
      <c r="C22" s="386">
        <v>172055</v>
      </c>
      <c r="D22" s="386">
        <v>172055</v>
      </c>
      <c r="E22" s="487">
        <v>24265.67</v>
      </c>
      <c r="F22" s="370">
        <v>196884.57</v>
      </c>
      <c r="G22" s="370">
        <v>5789.5</v>
      </c>
      <c r="H22" s="370">
        <v>5577.64</v>
      </c>
      <c r="I22" s="370">
        <f>+D22-G22</f>
        <v>166265.5</v>
      </c>
      <c r="J22" s="371"/>
      <c r="K22" s="372">
        <f t="shared" si="1"/>
        <v>114.43118188951208</v>
      </c>
      <c r="M22">
        <v>29843.309999999998</v>
      </c>
    </row>
    <row r="23" spans="1:13" ht="20.100000000000001" customHeight="1">
      <c r="A23" s="373" t="s">
        <v>452</v>
      </c>
      <c r="B23" s="385">
        <v>106000</v>
      </c>
      <c r="C23" s="386">
        <v>0</v>
      </c>
      <c r="D23" s="386">
        <v>0</v>
      </c>
      <c r="E23" s="487"/>
      <c r="F23" s="370"/>
      <c r="G23" s="370"/>
      <c r="H23" s="370"/>
      <c r="I23" s="370"/>
      <c r="J23" s="371"/>
      <c r="K23" s="372" t="s">
        <v>6</v>
      </c>
    </row>
    <row r="24" spans="1:13" ht="20.100000000000001" customHeight="1">
      <c r="A24" s="373" t="s">
        <v>451</v>
      </c>
      <c r="B24" s="385">
        <v>149583</v>
      </c>
      <c r="C24" s="386">
        <v>64497</v>
      </c>
      <c r="D24" s="386">
        <v>64497</v>
      </c>
      <c r="E24" s="487">
        <v>0</v>
      </c>
      <c r="F24" s="370">
        <v>68595.45</v>
      </c>
      <c r="G24" s="370">
        <v>64495.82</v>
      </c>
      <c r="H24" s="370">
        <v>437.63</v>
      </c>
      <c r="I24" s="495">
        <f>+D24-F24</f>
        <v>-4098.4499999999971</v>
      </c>
      <c r="J24" s="371"/>
      <c r="K24" s="372">
        <f t="shared" si="1"/>
        <v>106.35448160379552</v>
      </c>
      <c r="M24">
        <v>64495.82</v>
      </c>
    </row>
    <row r="25" spans="1:13" ht="22.5" customHeight="1">
      <c r="A25" s="373" t="s">
        <v>453</v>
      </c>
      <c r="B25" s="385">
        <v>750000</v>
      </c>
      <c r="C25" s="386">
        <v>54030</v>
      </c>
      <c r="D25" s="386">
        <v>54030</v>
      </c>
      <c r="E25" s="487">
        <v>0</v>
      </c>
      <c r="F25" s="370">
        <v>50468.69</v>
      </c>
      <c r="G25" s="370">
        <v>30481.09</v>
      </c>
      <c r="H25" s="370"/>
      <c r="I25" s="495">
        <f>+D25-F25</f>
        <v>3561.3099999999977</v>
      </c>
      <c r="J25" s="371">
        <f>+C25-F25</f>
        <v>3561.3099999999977</v>
      </c>
      <c r="K25" s="372">
        <f t="shared" si="1"/>
        <v>93.408643346289097</v>
      </c>
      <c r="L25" s="112"/>
      <c r="M25">
        <v>54029.65</v>
      </c>
    </row>
    <row r="26" spans="1:13" ht="23.25" customHeight="1">
      <c r="A26" s="373" t="s">
        <v>454</v>
      </c>
      <c r="B26" s="385">
        <v>519956</v>
      </c>
      <c r="C26" s="386">
        <v>92889</v>
      </c>
      <c r="D26" s="386">
        <v>92889</v>
      </c>
      <c r="E26" s="487">
        <v>54704.61</v>
      </c>
      <c r="F26" s="370">
        <v>88650.42</v>
      </c>
      <c r="G26" s="370">
        <v>76835.460000000006</v>
      </c>
      <c r="H26" s="370">
        <v>26687.74</v>
      </c>
      <c r="I26" s="495">
        <f>+D26-F26</f>
        <v>4238.5800000000017</v>
      </c>
      <c r="J26" s="371">
        <f>+C26-F26</f>
        <v>4238.5800000000017</v>
      </c>
      <c r="K26" s="372">
        <f t="shared" si="1"/>
        <v>95.436940864903278</v>
      </c>
      <c r="M26">
        <v>112805.29000000001</v>
      </c>
    </row>
    <row r="27" spans="1:13" ht="23.25" customHeight="1">
      <c r="A27" s="373" t="s">
        <v>455</v>
      </c>
      <c r="B27" s="387">
        <v>271625</v>
      </c>
      <c r="C27" s="386">
        <v>59422</v>
      </c>
      <c r="D27" s="386">
        <v>59422</v>
      </c>
      <c r="E27" s="487">
        <v>0</v>
      </c>
      <c r="F27" s="370">
        <v>59422</v>
      </c>
      <c r="G27" s="370">
        <v>0</v>
      </c>
      <c r="H27" s="370"/>
      <c r="I27" s="370"/>
      <c r="J27" s="371"/>
      <c r="K27" s="372">
        <f t="shared" si="1"/>
        <v>100</v>
      </c>
      <c r="M27">
        <v>59422</v>
      </c>
    </row>
    <row r="28" spans="1:13" ht="23.25" customHeight="1">
      <c r="A28" s="373" t="s">
        <v>458</v>
      </c>
      <c r="B28" s="387">
        <v>394105</v>
      </c>
      <c r="C28" s="386">
        <v>206202</v>
      </c>
      <c r="D28" s="386">
        <v>206202</v>
      </c>
      <c r="E28" s="487">
        <v>44552.95</v>
      </c>
      <c r="F28" s="370">
        <v>150941.16</v>
      </c>
      <c r="G28" s="370">
        <v>31276.82</v>
      </c>
      <c r="H28" s="370">
        <v>4581.91</v>
      </c>
      <c r="I28" s="370"/>
      <c r="J28" s="371"/>
      <c r="K28" s="372">
        <f t="shared" si="1"/>
        <v>73.200628509907759</v>
      </c>
      <c r="M28">
        <v>60220.929999999993</v>
      </c>
    </row>
    <row r="29" spans="1:13" ht="23.25" customHeight="1">
      <c r="A29" s="373" t="s">
        <v>456</v>
      </c>
      <c r="B29" s="387">
        <v>437560</v>
      </c>
      <c r="C29" s="386">
        <v>126412</v>
      </c>
      <c r="D29" s="386">
        <v>126412</v>
      </c>
      <c r="E29" s="487">
        <v>4399.3999999999996</v>
      </c>
      <c r="F29" s="370">
        <v>126411.66</v>
      </c>
      <c r="G29" s="370">
        <v>123426.36</v>
      </c>
      <c r="H29" s="370">
        <v>61720.87</v>
      </c>
      <c r="I29" s="370"/>
      <c r="J29" s="371"/>
      <c r="K29" s="372">
        <f t="shared" si="1"/>
        <v>99.999731038192579</v>
      </c>
      <c r="M29">
        <v>128819.15999999999</v>
      </c>
    </row>
    <row r="30" spans="1:13" ht="23.25" customHeight="1">
      <c r="A30" s="373" t="s">
        <v>457</v>
      </c>
      <c r="B30" s="387">
        <v>137348</v>
      </c>
      <c r="C30" s="386">
        <v>142784</v>
      </c>
      <c r="D30" s="386">
        <v>142784</v>
      </c>
      <c r="E30" s="487">
        <v>1606.01</v>
      </c>
      <c r="F30" s="370">
        <v>61231.12</v>
      </c>
      <c r="G30" s="370">
        <v>11228.69</v>
      </c>
      <c r="H30" s="370">
        <v>7142.79</v>
      </c>
      <c r="I30" s="370"/>
      <c r="J30" s="371"/>
      <c r="K30" s="372">
        <f t="shared" si="1"/>
        <v>42.883740475123261</v>
      </c>
      <c r="M30">
        <v>10894.95</v>
      </c>
    </row>
    <row r="31" spans="1:13" ht="23.25" customHeight="1">
      <c r="A31" s="475"/>
      <c r="B31" s="476"/>
      <c r="C31" s="480"/>
      <c r="D31" s="476"/>
      <c r="E31" s="483"/>
      <c r="F31" s="477"/>
      <c r="G31" s="477"/>
      <c r="H31" s="477"/>
      <c r="I31" s="477"/>
      <c r="J31" s="475"/>
      <c r="K31" s="475"/>
    </row>
    <row r="32" spans="1:13" ht="5.25" customHeight="1">
      <c r="A32" s="504"/>
      <c r="B32" s="505"/>
      <c r="C32" s="504"/>
      <c r="D32" s="505"/>
      <c r="E32" s="506"/>
      <c r="F32" s="506"/>
      <c r="G32" s="507"/>
      <c r="H32" s="506"/>
      <c r="I32" s="507"/>
      <c r="J32" s="504"/>
      <c r="K32" s="504"/>
    </row>
    <row r="33" spans="1:14" ht="20.100000000000001" customHeight="1">
      <c r="A33" s="497" t="s">
        <v>348</v>
      </c>
      <c r="B33" s="498">
        <f>SUM(B34:B41)</f>
        <v>13343940</v>
      </c>
      <c r="C33" s="499">
        <f>SUM(C34:C41)</f>
        <v>8594993</v>
      </c>
      <c r="D33" s="498">
        <f t="shared" ref="D33:H33" si="2">SUM(D34:D41)</f>
        <v>8594993</v>
      </c>
      <c r="E33" s="500">
        <f t="shared" si="2"/>
        <v>291601.89</v>
      </c>
      <c r="F33" s="511">
        <f>SUM(F34:F41)</f>
        <v>7142966.3700000001</v>
      </c>
      <c r="G33" s="498">
        <f t="shared" si="2"/>
        <v>4584680.2700000005</v>
      </c>
      <c r="H33" s="498">
        <f t="shared" si="2"/>
        <v>595206.18999999994</v>
      </c>
      <c r="I33" s="501">
        <f>D33-F33</f>
        <v>1452026.63</v>
      </c>
      <c r="J33" s="502">
        <f>C33-F33</f>
        <v>1452026.63</v>
      </c>
      <c r="K33" s="503">
        <f>+F33*100/D33</f>
        <v>83.106133652464877</v>
      </c>
      <c r="M33">
        <v>2825486.97</v>
      </c>
      <c r="N33" s="1" t="s">
        <v>6</v>
      </c>
    </row>
    <row r="34" spans="1:14" ht="20.100000000000001" customHeight="1">
      <c r="A34" s="388" t="s">
        <v>459</v>
      </c>
      <c r="B34" s="389">
        <v>350999</v>
      </c>
      <c r="C34" s="371">
        <v>115513</v>
      </c>
      <c r="D34" s="485">
        <v>115513</v>
      </c>
      <c r="E34" s="393">
        <v>19426.71</v>
      </c>
      <c r="F34" s="487">
        <v>165845.41</v>
      </c>
      <c r="G34" s="370">
        <v>75802.009999999995</v>
      </c>
      <c r="H34" s="370">
        <v>902.01</v>
      </c>
      <c r="I34" s="370"/>
      <c r="J34" s="371"/>
      <c r="K34" s="379"/>
      <c r="M34">
        <v>115512.51999999999</v>
      </c>
    </row>
    <row r="35" spans="1:14" ht="20.100000000000001" customHeight="1">
      <c r="A35" s="390" t="s">
        <v>345</v>
      </c>
      <c r="B35" s="385">
        <v>779586</v>
      </c>
      <c r="C35" s="481">
        <v>156000</v>
      </c>
      <c r="D35" s="392">
        <v>156000</v>
      </c>
      <c r="E35" s="484"/>
      <c r="F35" s="487">
        <v>99999.29</v>
      </c>
      <c r="G35" s="370">
        <v>99999.29</v>
      </c>
      <c r="H35" s="370">
        <v>3136.29</v>
      </c>
      <c r="I35" s="370">
        <f>D35-F35</f>
        <v>56000.710000000006</v>
      </c>
      <c r="J35" s="371">
        <f>+C35-F35</f>
        <v>56000.710000000006</v>
      </c>
      <c r="K35" s="372">
        <f t="shared" ref="K35:K41" si="3">+F35*100/D35</f>
        <v>64.10210897435897</v>
      </c>
      <c r="M35">
        <v>99999.29</v>
      </c>
    </row>
    <row r="36" spans="1:14" ht="28.15" customHeight="1">
      <c r="A36" s="391" t="s">
        <v>356</v>
      </c>
      <c r="B36" s="392">
        <v>1000000</v>
      </c>
      <c r="C36" s="482">
        <v>1000000</v>
      </c>
      <c r="D36" s="392">
        <v>1000000</v>
      </c>
      <c r="E36" s="484"/>
      <c r="F36" s="487">
        <v>1000000</v>
      </c>
      <c r="G36" s="370">
        <v>1000000</v>
      </c>
      <c r="H36" s="370"/>
      <c r="I36" s="370">
        <f>D36-F36</f>
        <v>0</v>
      </c>
      <c r="J36" s="371">
        <f>+C36-F36</f>
        <v>0</v>
      </c>
      <c r="K36" s="372" t="s">
        <v>6</v>
      </c>
      <c r="M36">
        <v>0</v>
      </c>
    </row>
    <row r="37" spans="1:14" ht="28.15" customHeight="1">
      <c r="A37" s="391" t="s">
        <v>460</v>
      </c>
      <c r="B37" s="392">
        <v>1845166</v>
      </c>
      <c r="C37" s="392">
        <v>512860</v>
      </c>
      <c r="D37" s="392">
        <v>512860</v>
      </c>
      <c r="E37" s="386">
        <v>80948.679999999993</v>
      </c>
      <c r="F37" s="487">
        <v>576306.87</v>
      </c>
      <c r="G37" s="370">
        <v>431911</v>
      </c>
      <c r="H37" s="370">
        <v>53514.3</v>
      </c>
      <c r="I37" s="495">
        <f t="shared" ref="I37:I41" si="4">D37-F37</f>
        <v>-63446.869999999995</v>
      </c>
      <c r="J37" s="371"/>
      <c r="K37" s="372">
        <f t="shared" si="3"/>
        <v>112.37118706859572</v>
      </c>
      <c r="M37">
        <v>512859.68</v>
      </c>
    </row>
    <row r="38" spans="1:14" ht="33.75" customHeight="1">
      <c r="A38" s="391" t="s">
        <v>461</v>
      </c>
      <c r="B38" s="392">
        <v>4700585</v>
      </c>
      <c r="C38" s="392">
        <v>2513477</v>
      </c>
      <c r="D38" s="392">
        <v>2513477</v>
      </c>
      <c r="E38" s="386">
        <v>176693.35</v>
      </c>
      <c r="F38" s="487">
        <v>2471740.61</v>
      </c>
      <c r="G38" s="370">
        <v>940833.12</v>
      </c>
      <c r="H38" s="370">
        <v>200479.58</v>
      </c>
      <c r="I38" s="370">
        <f>D38-F38</f>
        <v>41736.39000000013</v>
      </c>
      <c r="J38" s="371"/>
      <c r="K38" s="372">
        <f t="shared" si="3"/>
        <v>98.339495845794488</v>
      </c>
      <c r="M38">
        <v>1748066.29</v>
      </c>
    </row>
    <row r="39" spans="1:14" ht="33.75" customHeight="1">
      <c r="A39" s="391" t="s">
        <v>462</v>
      </c>
      <c r="B39" s="392">
        <v>500000</v>
      </c>
      <c r="C39" s="392">
        <v>799000</v>
      </c>
      <c r="D39" s="392">
        <v>799000</v>
      </c>
      <c r="E39" s="386">
        <v>13324.71</v>
      </c>
      <c r="F39" s="487">
        <v>787922.29</v>
      </c>
      <c r="G39" s="370">
        <v>2247</v>
      </c>
      <c r="H39" s="370">
        <v>2247</v>
      </c>
      <c r="I39" s="370">
        <f t="shared" si="4"/>
        <v>11077.709999999963</v>
      </c>
      <c r="J39" s="371"/>
      <c r="K39" s="372" t="s">
        <v>6</v>
      </c>
    </row>
    <row r="40" spans="1:14" ht="36" customHeight="1">
      <c r="A40" s="391" t="s">
        <v>463</v>
      </c>
      <c r="B40" s="392">
        <v>2067604</v>
      </c>
      <c r="C40" s="392">
        <v>1898143</v>
      </c>
      <c r="D40" s="392">
        <v>1898143</v>
      </c>
      <c r="E40" s="386">
        <v>1208.44</v>
      </c>
      <c r="F40" s="487">
        <v>1742151.91</v>
      </c>
      <c r="G40" s="370">
        <v>1734887.86</v>
      </c>
      <c r="H40" s="370">
        <v>35927.019999999997</v>
      </c>
      <c r="I40" s="370">
        <f>D40-F40</f>
        <v>155991.09000000008</v>
      </c>
      <c r="J40" s="371"/>
      <c r="K40" s="372">
        <f t="shared" si="3"/>
        <v>91.78191053045002</v>
      </c>
      <c r="M40">
        <v>36724.49</v>
      </c>
    </row>
    <row r="41" spans="1:14" ht="28.15" customHeight="1">
      <c r="A41" s="391" t="s">
        <v>464</v>
      </c>
      <c r="B41" s="392">
        <v>2100000</v>
      </c>
      <c r="C41" s="392">
        <v>1600000</v>
      </c>
      <c r="D41" s="392">
        <v>1600000</v>
      </c>
      <c r="E41" s="387"/>
      <c r="F41" s="512">
        <v>298999.99</v>
      </c>
      <c r="G41" s="393">
        <v>298999.99</v>
      </c>
      <c r="H41" s="370">
        <v>298999.99</v>
      </c>
      <c r="I41" s="370">
        <f t="shared" si="4"/>
        <v>1301000.01</v>
      </c>
      <c r="J41" s="371"/>
      <c r="K41" s="372">
        <f t="shared" si="3"/>
        <v>18.687499375000002</v>
      </c>
      <c r="M41">
        <v>298999.99</v>
      </c>
    </row>
    <row r="42" spans="1:14" ht="20.100000000000001" customHeight="1">
      <c r="A42" s="394" t="s">
        <v>30</v>
      </c>
      <c r="B42" s="395">
        <f>B8+B16+B33</f>
        <v>56905194</v>
      </c>
      <c r="C42" s="366">
        <f>+C8+C16+C33</f>
        <v>26705941</v>
      </c>
      <c r="D42" s="366">
        <f>+D8+D16+D33</f>
        <v>26705941</v>
      </c>
      <c r="E42" s="395">
        <f>+E8+E16+E33</f>
        <v>5822921.2599999988</v>
      </c>
      <c r="F42" s="513">
        <f>+F8+F16+F33</f>
        <v>25647260.290000003</v>
      </c>
      <c r="G42" s="395">
        <f>G8+G16+G33</f>
        <v>8325597.8700000001</v>
      </c>
      <c r="H42" s="395">
        <f>H8+H16+H33+1</f>
        <v>2258905.2599999998</v>
      </c>
      <c r="I42" s="496">
        <f>D42-F42</f>
        <v>1058680.7099999972</v>
      </c>
      <c r="J42" s="367">
        <f>C42-F42</f>
        <v>1058680.7099999972</v>
      </c>
      <c r="K42" s="368">
        <f>+F42*100/D42</f>
        <v>96.035785782646656</v>
      </c>
      <c r="M42">
        <v>16586970.400000002</v>
      </c>
    </row>
    <row r="43" spans="1:14" ht="9" customHeight="1">
      <c r="A43" s="44"/>
      <c r="L43" t="s">
        <v>6</v>
      </c>
    </row>
    <row r="44" spans="1:14">
      <c r="A44" s="396" t="s">
        <v>479</v>
      </c>
      <c r="C44" s="1" t="s">
        <v>6</v>
      </c>
    </row>
    <row r="45" spans="1:14" ht="6" customHeight="1"/>
    <row r="50" spans="3:4">
      <c r="C50" t="s">
        <v>6</v>
      </c>
    </row>
    <row r="51" spans="3:4">
      <c r="C51" s="1" t="s">
        <v>6</v>
      </c>
      <c r="D51" s="1" t="s">
        <v>6</v>
      </c>
    </row>
  </sheetData>
  <mergeCells count="8">
    <mergeCell ref="A1:K1"/>
    <mergeCell ref="A2:K2"/>
    <mergeCell ref="A3:K3"/>
    <mergeCell ref="A4:K4"/>
    <mergeCell ref="I6:I7"/>
    <mergeCell ref="K6:K7"/>
    <mergeCell ref="A6:A7"/>
    <mergeCell ref="B6:H6"/>
  </mergeCells>
  <pageMargins left="0.47244094488188981" right="0.94488188976377963" top="0.39370078740157483" bottom="0.39370078740157483" header="0.31496062992125984" footer="0.31496062992125984"/>
  <pageSetup scale="65" orientation="landscape" r:id="rId1"/>
  <ignoredErrors>
    <ignoredError sqref="I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17</vt:i4>
      </vt:variant>
    </vt:vector>
  </HeadingPairs>
  <TitlesOfParts>
    <vt:vector size="27" baseType="lpstr">
      <vt:lpstr>RESUMEN</vt:lpstr>
      <vt:lpstr>RECAUDACION</vt:lpstr>
      <vt:lpstr>INGRESOS</vt:lpstr>
      <vt:lpstr>FINANCIAMIENTO</vt:lpstr>
      <vt:lpstr>FLUJO</vt:lpstr>
      <vt:lpstr>BALANCE</vt:lpstr>
      <vt:lpstr>EJEC GASTOS</vt:lpstr>
      <vt:lpstr>FUNC CTA</vt:lpstr>
      <vt:lpstr>EST PROG</vt:lpstr>
      <vt:lpstr>PROYECTOS INV</vt:lpstr>
      <vt:lpstr>BALANCE!Área_de_impresión</vt:lpstr>
      <vt:lpstr>'EST PROG'!Área_de_impresión</vt:lpstr>
      <vt:lpstr>FINANCIAMIENTO!Área_de_impresión</vt:lpstr>
      <vt:lpstr>FLUJO!Área_de_impresión</vt:lpstr>
      <vt:lpstr>'FUNC CTA'!Área_de_impresión</vt:lpstr>
      <vt:lpstr>INGRESOS!Área_de_impresión</vt:lpstr>
      <vt:lpstr>'PROYECTOS INV'!Área_de_impresión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BALANCE!Títulos_a_imprimir</vt:lpstr>
      <vt:lpstr>'EJEC GASTOS'!Títulos_a_imprimir</vt:lpstr>
      <vt:lpstr>'PROYECTOS INV'!Títulos_a_imprimir</vt:lpstr>
      <vt:lpstr>RECAUDACION!Títulos_a_imprimir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Dell</cp:lastModifiedBy>
  <cp:lastPrinted>2025-09-10T11:15:58Z</cp:lastPrinted>
  <dcterms:created xsi:type="dcterms:W3CDTF">2010-01-07T20:52:23Z</dcterms:created>
  <dcterms:modified xsi:type="dcterms:W3CDTF">2025-09-10T11:25:12Z</dcterms:modified>
</cp:coreProperties>
</file>