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Z:\PRESUPUESTO_SERVIDOR\4. EJECUCIÓN PRESUPUESTARIA POR AÑO\INFORMES DE EJECUCION POR AÑO\2024\DICEMBRE\"/>
    </mc:Choice>
  </mc:AlternateContent>
  <xr:revisionPtr revIDLastSave="0" documentId="8_{8AF17D35-5EDD-4A23-AAA8-93A64AD6D71C}" xr6:coauthVersionLast="47" xr6:coauthVersionMax="47" xr10:uidLastSave="{00000000-0000-0000-0000-000000000000}"/>
  <bookViews>
    <workbookView xWindow="-120" yWindow="-120" windowWidth="29040" windowHeight="15720" tabRatio="876" activeTab="10" xr2:uid="{00000000-000D-0000-FFFF-FFFF00000000}"/>
  </bookViews>
  <sheets>
    <sheet name="RESUMEN" sheetId="61" r:id="rId1"/>
    <sheet name="BALANCE INGRESO" sheetId="8" r:id="rId2"/>
    <sheet name="INGRESOS" sheetId="9" r:id="rId3"/>
    <sheet name="FINANCIAMIENTO" sheetId="10" r:id="rId4"/>
    <sheet name="FLUJO ING GASTO" sheetId="11" r:id="rId5"/>
    <sheet name="BALANCE GASTO" sheetId="12" r:id="rId6"/>
    <sheet name="EJEC GASTOS" sheetId="63" r:id="rId7"/>
    <sheet name="C-A6C " sheetId="64" r:id="rId8"/>
    <sheet name="ESTRUC PROGRAMATICA" sheetId="15" r:id="rId9"/>
    <sheet name="PROYECTOS" sheetId="69" r:id="rId10"/>
    <sheet name="INVERSIONES" sheetId="76" r:id="rId11"/>
  </sheets>
  <externalReferences>
    <externalReference r:id="rId12"/>
    <externalReference r:id="rId13"/>
  </externalReferences>
  <definedNames>
    <definedName name="a">"$#REF!.$CP$1"</definedName>
    <definedName name="_xlnm.Print_Area" localSheetId="5">'BALANCE GASTO'!$A$5:$K$59</definedName>
    <definedName name="_xlnm.Print_Area" localSheetId="1">'BALANCE INGRESO'!$A$1:$I$53</definedName>
    <definedName name="_xlnm.Print_Area" localSheetId="7">'C-A6C '!$A$3:$L$57</definedName>
    <definedName name="_xlnm.Print_Area" localSheetId="6">'EJEC GASTOS'!$A$1:$M$197</definedName>
    <definedName name="_xlnm.Print_Area" localSheetId="8">'ESTRUC PROGRAMATICA'!$A$3:$M$32</definedName>
    <definedName name="_xlnm.Print_Area" localSheetId="3">FINANCIAMIENTO!$A$1:$F$32</definedName>
    <definedName name="_xlnm.Print_Area" localSheetId="4">'FLUJO ING GASTO'!$A$3:$H$57</definedName>
    <definedName name="_xlnm.Print_Area" localSheetId="2">INGRESOS!$A$1:$I$34</definedName>
    <definedName name="Excel_BuiltIn_Print_Area_12_1">"$#REF!.$A$1:$L$197"</definedName>
    <definedName name="Excel_BuiltIn_Print_Area_12_1_1">"$#REF!.$B$10:$L$205"</definedName>
    <definedName name="Excel_BuiltIn_Print_Area_12_1_1_1">"$#REF!.$B$10:$L$206"</definedName>
    <definedName name="Excel_BuiltIn_Print_Area_7">'BALANCE INGRESO'!$B$3:$I$48</definedName>
    <definedName name="Excel_BuiltIn_Print_Area_7_1">'BALANCE INGRESO'!$B$3:$I$42</definedName>
    <definedName name="Excel_BuiltIn_Print_Area_7_1_1">'BALANCE INGRESO'!$B$3:$I$48</definedName>
    <definedName name="Excel_BuiltIn_Print_Area_8_1">[1]INGRESOS!$A$6:$I$39</definedName>
    <definedName name="Excel_BuiltIn_Print_Area_8_1_1">[1]INGRESOS!$A$6:$I$40</definedName>
    <definedName name="Excel_BuiltIn_Print_Area_9_1">FINANCIAMIENTO!$A$3:$F$33</definedName>
    <definedName name="Excel_BuiltIn_Print_Titles_11">'BALANCE GASTO'!$3:$4</definedName>
    <definedName name="Excel_BuiltIn_Print_Titles_12_1">"$#REF!.$A$1:$B$65535;$#REF!.$A$1:$IV$7"</definedName>
    <definedName name="Excel_BuiltIn_Print_Titles_7">'BALANCE INGRESO'!$3:$4</definedName>
    <definedName name="Excel_BuiltIn_Print_Titles_7_1">"$cuadro_A_1.$#REF!$#REF!:$#REF!$#REF!"</definedName>
    <definedName name="Excel_BuiltIn_Print_Titles_8_1">[1]INGRESOS!$A$1:$IV$5</definedName>
    <definedName name="_xlnm.Print_Titles" localSheetId="5">'BALANCE GASTO'!$1:$4</definedName>
    <definedName name="_xlnm.Print_Titles" localSheetId="1">'BALANCE INGRESO'!$3:$4</definedName>
    <definedName name="_xlnm.Print_Titles" localSheetId="6">'EJEC GASTOS'!$2:$8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9" l="1"/>
  <c r="I28" i="9"/>
  <c r="I27" i="9"/>
  <c r="I26" i="9"/>
  <c r="I24" i="9"/>
  <c r="I22" i="9"/>
  <c r="I20" i="9"/>
  <c r="I18" i="9"/>
  <c r="I17" i="9"/>
  <c r="I16" i="9"/>
  <c r="I15" i="9"/>
  <c r="I14" i="9"/>
  <c r="I13" i="9"/>
  <c r="I11" i="9"/>
  <c r="I9" i="9"/>
  <c r="H53" i="11"/>
  <c r="H48" i="11"/>
  <c r="H43" i="11"/>
  <c r="H41" i="11"/>
  <c r="H39" i="11"/>
  <c r="H38" i="11"/>
  <c r="H37" i="11"/>
  <c r="H27" i="11"/>
  <c r="H24" i="11"/>
  <c r="H12" i="11"/>
  <c r="H15" i="11"/>
  <c r="H17" i="11"/>
  <c r="H18" i="11"/>
  <c r="H19" i="11"/>
  <c r="H16" i="11"/>
  <c r="I9" i="8"/>
  <c r="I29" i="8"/>
  <c r="I11" i="8"/>
  <c r="G27" i="9"/>
  <c r="H30" i="9"/>
  <c r="H28" i="9"/>
  <c r="H34" i="8"/>
  <c r="F11" i="12"/>
  <c r="F18" i="12"/>
  <c r="E52" i="69"/>
  <c r="L9" i="69"/>
  <c r="L19" i="69"/>
  <c r="L41" i="69"/>
  <c r="L52" i="69"/>
  <c r="L43" i="69"/>
  <c r="L44" i="69"/>
  <c r="L46" i="69"/>
  <c r="L48" i="69"/>
  <c r="L49" i="69"/>
  <c r="L50" i="69"/>
  <c r="L51" i="69"/>
  <c r="L42" i="69"/>
  <c r="L22" i="69"/>
  <c r="L23" i="69"/>
  <c r="L24" i="69"/>
  <c r="L25" i="69"/>
  <c r="L26" i="69"/>
  <c r="L27" i="69"/>
  <c r="L28" i="69"/>
  <c r="L29" i="69"/>
  <c r="L30" i="69"/>
  <c r="L31" i="69"/>
  <c r="L32" i="69"/>
  <c r="L33" i="69"/>
  <c r="L34" i="69"/>
  <c r="L35" i="69"/>
  <c r="L36" i="69"/>
  <c r="L37" i="69"/>
  <c r="L38" i="69"/>
  <c r="L39" i="69"/>
  <c r="L40" i="69"/>
  <c r="L21" i="69"/>
  <c r="L11" i="69"/>
  <c r="L12" i="69"/>
  <c r="L14" i="69"/>
  <c r="L15" i="69"/>
  <c r="L16" i="69"/>
  <c r="L17" i="69"/>
  <c r="L18" i="69"/>
  <c r="L10" i="69"/>
  <c r="E20" i="10"/>
  <c r="F37" i="12"/>
  <c r="I45" i="76"/>
  <c r="I55" i="76"/>
  <c r="I53" i="76"/>
  <c r="I52" i="76"/>
  <c r="I51" i="76"/>
  <c r="I50" i="76"/>
  <c r="I48" i="76"/>
  <c r="I47" i="76"/>
  <c r="I46" i="76"/>
  <c r="I43" i="76"/>
  <c r="I42" i="76"/>
  <c r="I41" i="76"/>
  <c r="I40" i="76"/>
  <c r="I39" i="76"/>
  <c r="I38" i="76"/>
  <c r="I37" i="76"/>
  <c r="I36" i="76"/>
  <c r="I35" i="76"/>
  <c r="I34" i="76"/>
  <c r="I33" i="76"/>
  <c r="I32" i="76"/>
  <c r="I31" i="76"/>
  <c r="I30" i="76"/>
  <c r="I29" i="76"/>
  <c r="I28" i="76"/>
  <c r="I27" i="76"/>
  <c r="I26" i="76"/>
  <c r="I25" i="76"/>
  <c r="I24" i="76"/>
  <c r="I23" i="76"/>
  <c r="I22" i="76"/>
  <c r="I20" i="76"/>
  <c r="I14" i="76"/>
  <c r="I13" i="76"/>
  <c r="I12" i="76"/>
  <c r="I11" i="76"/>
  <c r="I10" i="76"/>
  <c r="I9" i="76"/>
  <c r="F23" i="8"/>
  <c r="F26" i="9"/>
  <c r="F25" i="10"/>
  <c r="D20" i="10"/>
  <c r="I42" i="8"/>
  <c r="I44" i="8"/>
  <c r="I43" i="8"/>
  <c r="I41" i="8"/>
  <c r="I40" i="8"/>
  <c r="I39" i="8"/>
  <c r="I24" i="8"/>
  <c r="I19" i="8"/>
  <c r="I18" i="8"/>
  <c r="I17" i="8"/>
  <c r="I30" i="8"/>
  <c r="I27" i="8"/>
  <c r="I26" i="8"/>
  <c r="I25" i="8"/>
  <c r="H39" i="8"/>
  <c r="H30" i="8"/>
  <c r="H29" i="8"/>
  <c r="H26" i="8"/>
  <c r="H27" i="8"/>
  <c r="H25" i="8"/>
  <c r="H24" i="8"/>
  <c r="H19" i="8"/>
  <c r="H18" i="8"/>
  <c r="H17" i="8"/>
  <c r="H15" i="8"/>
  <c r="G18" i="8" l="1"/>
  <c r="G19" i="8"/>
  <c r="E18" i="8"/>
  <c r="L13" i="15" l="1"/>
  <c r="L11" i="15"/>
  <c r="L9" i="15"/>
  <c r="K9" i="15"/>
  <c r="K94" i="63"/>
  <c r="I52" i="69"/>
  <c r="I14" i="69"/>
  <c r="I41" i="69"/>
  <c r="H21" i="69"/>
  <c r="I12" i="69"/>
  <c r="H11" i="15" l="1"/>
  <c r="N11" i="15"/>
  <c r="N29" i="15"/>
  <c r="N27" i="15"/>
  <c r="N23" i="15"/>
  <c r="N17" i="15"/>
  <c r="N13" i="15"/>
  <c r="E158" i="63"/>
  <c r="E183" i="63"/>
  <c r="F193" i="63"/>
  <c r="K193" i="63" s="1"/>
  <c r="J142" i="63"/>
  <c r="H160" i="63"/>
  <c r="M101" i="63"/>
  <c r="M121" i="63"/>
  <c r="F163" i="63"/>
  <c r="K163" i="63" s="1"/>
  <c r="M126" i="63"/>
  <c r="C111" i="63"/>
  <c r="F107" i="63"/>
  <c r="K107" i="63" s="1"/>
  <c r="F106" i="63"/>
  <c r="K106" i="63" s="1"/>
  <c r="J94" i="63"/>
  <c r="M36" i="63"/>
  <c r="M58" i="63"/>
  <c r="M61" i="63"/>
  <c r="M44" i="63"/>
  <c r="M48" i="63"/>
  <c r="F50" i="63"/>
  <c r="K50" i="63" s="1"/>
  <c r="J50" i="63" l="1"/>
  <c r="J106" i="63"/>
  <c r="J107" i="63"/>
  <c r="J163" i="63"/>
  <c r="M84" i="63"/>
  <c r="M86" i="63"/>
  <c r="F86" i="63" s="1"/>
  <c r="M70" i="63"/>
  <c r="E73" i="63"/>
  <c r="M71" i="63"/>
  <c r="M59" i="63"/>
  <c r="F48" i="63"/>
  <c r="J195" i="63"/>
  <c r="J188" i="63"/>
  <c r="J184" i="63"/>
  <c r="J179" i="63"/>
  <c r="H14" i="63"/>
  <c r="G14" i="63"/>
  <c r="F12" i="63"/>
  <c r="K12" i="63" s="1"/>
  <c r="F11" i="63"/>
  <c r="F13" i="63"/>
  <c r="F15" i="63"/>
  <c r="F16" i="63"/>
  <c r="K16" i="63" s="1"/>
  <c r="F17" i="63"/>
  <c r="K17" i="63" s="1"/>
  <c r="F19" i="63"/>
  <c r="K19" i="63" s="1"/>
  <c r="F21" i="63"/>
  <c r="F23" i="63"/>
  <c r="F24" i="63"/>
  <c r="F25" i="63"/>
  <c r="F26" i="63"/>
  <c r="F28" i="63"/>
  <c r="K28" i="63" s="1"/>
  <c r="K27" i="63" s="1"/>
  <c r="F30" i="63"/>
  <c r="F33" i="63"/>
  <c r="K33" i="63" s="1"/>
  <c r="F35" i="63"/>
  <c r="K35" i="63" s="1"/>
  <c r="J18" i="63" l="1"/>
  <c r="J17" i="63"/>
  <c r="J12" i="63"/>
  <c r="J25" i="63"/>
  <c r="K25" i="63"/>
  <c r="J13" i="63"/>
  <c r="K13" i="63"/>
  <c r="J24" i="63"/>
  <c r="K24" i="63"/>
  <c r="J16" i="63"/>
  <c r="K15" i="63"/>
  <c r="K11" i="63"/>
  <c r="J11" i="63"/>
  <c r="J30" i="63"/>
  <c r="K30" i="63"/>
  <c r="J26" i="63"/>
  <c r="K26" i="63"/>
  <c r="J35" i="63"/>
  <c r="J23" i="63"/>
  <c r="K23" i="63"/>
  <c r="K86" i="63"/>
  <c r="J86" i="63"/>
  <c r="J28" i="63"/>
  <c r="J33" i="63"/>
  <c r="J21" i="63"/>
  <c r="K21" i="63"/>
  <c r="I48" i="63"/>
  <c r="K48" i="63"/>
  <c r="J48" i="63"/>
  <c r="F73" i="63"/>
  <c r="K73" i="63" l="1"/>
  <c r="J73" i="63"/>
  <c r="G26" i="8"/>
  <c r="E27" i="9"/>
  <c r="G23" i="8"/>
  <c r="G30" i="8"/>
  <c r="C37" i="12"/>
  <c r="E41" i="69"/>
  <c r="E19" i="69"/>
  <c r="G19" i="69"/>
  <c r="G9" i="69"/>
  <c r="D39" i="12" s="1"/>
  <c r="E9" i="69"/>
  <c r="J19" i="69"/>
  <c r="I19" i="69"/>
  <c r="I13" i="69"/>
  <c r="H29" i="15"/>
  <c r="H17" i="15"/>
  <c r="H27" i="15"/>
  <c r="H26" i="15"/>
  <c r="H25" i="15"/>
  <c r="H24" i="15"/>
  <c r="H23" i="15"/>
  <c r="H19" i="15"/>
  <c r="H16" i="15"/>
  <c r="H15" i="15"/>
  <c r="H13" i="15"/>
  <c r="G111" i="63"/>
  <c r="F159" i="63"/>
  <c r="F110" i="63"/>
  <c r="D111" i="63"/>
  <c r="E44" i="63"/>
  <c r="D44" i="63"/>
  <c r="E37" i="63"/>
  <c r="F40" i="63"/>
  <c r="F80" i="63"/>
  <c r="F61" i="63"/>
  <c r="F49" i="63"/>
  <c r="G27" i="63"/>
  <c r="E27" i="63"/>
  <c r="E44" i="8"/>
  <c r="E30" i="8"/>
  <c r="K159" i="63" l="1"/>
  <c r="J159" i="63"/>
  <c r="K110" i="63"/>
  <c r="J110" i="63"/>
  <c r="K49" i="63"/>
  <c r="J49" i="63"/>
  <c r="K61" i="63"/>
  <c r="J61" i="63"/>
  <c r="K80" i="63"/>
  <c r="J80" i="63"/>
  <c r="K40" i="63"/>
  <c r="J40" i="63"/>
  <c r="I23" i="8"/>
  <c r="H23" i="8"/>
  <c r="E25" i="8"/>
  <c r="E26" i="8"/>
  <c r="N12" i="69"/>
  <c r="I48" i="69"/>
  <c r="I44" i="69"/>
  <c r="I15" i="69"/>
  <c r="I9" i="69"/>
  <c r="I21" i="15"/>
  <c r="F93" i="63"/>
  <c r="C84" i="63"/>
  <c r="F59" i="63"/>
  <c r="E91" i="63"/>
  <c r="F91" i="63" s="1"/>
  <c r="K59" i="63" l="1"/>
  <c r="J59" i="63"/>
  <c r="K93" i="63"/>
  <c r="J93" i="63"/>
  <c r="G178" i="63"/>
  <c r="C178" i="63"/>
  <c r="F116" i="63"/>
  <c r="G55" i="63"/>
  <c r="E24" i="9"/>
  <c r="E22" i="9" s="1"/>
  <c r="F56" i="63"/>
  <c r="G37" i="63"/>
  <c r="K116" i="63" l="1"/>
  <c r="J116" i="63"/>
  <c r="K56" i="63"/>
  <c r="J56" i="63"/>
  <c r="C9" i="69"/>
  <c r="C19" i="69"/>
  <c r="C41" i="69"/>
  <c r="C52" i="69" s="1"/>
  <c r="H27" i="9"/>
  <c r="C5" i="61" l="1"/>
  <c r="C40" i="12" l="1"/>
  <c r="C41" i="12" l="1"/>
  <c r="D40" i="12"/>
  <c r="D19" i="69"/>
  <c r="D41" i="69"/>
  <c r="D9" i="69"/>
  <c r="D52" i="69" l="1"/>
  <c r="F141" i="63"/>
  <c r="J141" i="63" s="1"/>
  <c r="F139" i="63"/>
  <c r="J139" i="63" s="1"/>
  <c r="F144" i="63"/>
  <c r="J144" i="63" s="1"/>
  <c r="F104" i="63"/>
  <c r="F103" i="63"/>
  <c r="H91" i="63"/>
  <c r="H84" i="63"/>
  <c r="E55" i="63"/>
  <c r="F97" i="63"/>
  <c r="K97" i="63" l="1"/>
  <c r="J97" i="63"/>
  <c r="K103" i="63"/>
  <c r="J103" i="63"/>
  <c r="K104" i="63"/>
  <c r="J104" i="63"/>
  <c r="F102" i="63"/>
  <c r="K41" i="69"/>
  <c r="F51" i="69" l="1"/>
  <c r="F50" i="69"/>
  <c r="F49" i="69"/>
  <c r="F48" i="69"/>
  <c r="F47" i="69"/>
  <c r="F46" i="69"/>
  <c r="F45" i="69"/>
  <c r="F44" i="69"/>
  <c r="F43" i="69"/>
  <c r="F42" i="69"/>
  <c r="F40" i="69"/>
  <c r="F39" i="69"/>
  <c r="F38" i="69"/>
  <c r="F37" i="69"/>
  <c r="F36" i="69"/>
  <c r="F35" i="69"/>
  <c r="F34" i="69"/>
  <c r="F33" i="69"/>
  <c r="F32" i="69"/>
  <c r="F31" i="69"/>
  <c r="F30" i="69"/>
  <c r="F29" i="69"/>
  <c r="F28" i="69"/>
  <c r="F27" i="69"/>
  <c r="F26" i="69"/>
  <c r="F25" i="69"/>
  <c r="F24" i="69"/>
  <c r="F23" i="69"/>
  <c r="F22" i="69"/>
  <c r="F21" i="69"/>
  <c r="F20" i="69"/>
  <c r="F18" i="69"/>
  <c r="F17" i="69"/>
  <c r="F16" i="69"/>
  <c r="F15" i="69"/>
  <c r="F14" i="69"/>
  <c r="F13" i="69"/>
  <c r="F12" i="69"/>
  <c r="F11" i="69"/>
  <c r="F10" i="69"/>
  <c r="F41" i="69" l="1"/>
  <c r="F19" i="69"/>
  <c r="F9" i="69"/>
  <c r="F52" i="69" l="1"/>
  <c r="F125" i="63" l="1"/>
  <c r="J125" i="63" s="1"/>
  <c r="J41" i="69" l="1"/>
  <c r="J52" i="69" s="1"/>
  <c r="G41" i="12" l="1"/>
  <c r="B41" i="12"/>
  <c r="B40" i="12"/>
  <c r="G91" i="63" l="1"/>
  <c r="M22" i="69" l="1"/>
  <c r="M26" i="69"/>
  <c r="K9" i="69"/>
  <c r="H39" i="12" s="1"/>
  <c r="G58" i="63"/>
  <c r="G53" i="63"/>
  <c r="C189" i="63"/>
  <c r="C194" i="63"/>
  <c r="C183" i="63"/>
  <c r="F192" i="63"/>
  <c r="G183" i="63"/>
  <c r="L101" i="63"/>
  <c r="D149" i="63"/>
  <c r="K192" i="63" l="1"/>
  <c r="J192" i="63"/>
  <c r="M21" i="69"/>
  <c r="N21" i="69"/>
  <c r="G135" i="63"/>
  <c r="H121" i="63"/>
  <c r="H135" i="63"/>
  <c r="F124" i="63"/>
  <c r="J124" i="63" s="1"/>
  <c r="F115" i="63"/>
  <c r="G105" i="63"/>
  <c r="F45" i="63"/>
  <c r="F46" i="63"/>
  <c r="F47" i="63"/>
  <c r="F51" i="63"/>
  <c r="F52" i="63"/>
  <c r="F54" i="63"/>
  <c r="F57" i="63"/>
  <c r="F60" i="63"/>
  <c r="F71" i="63"/>
  <c r="F72" i="63"/>
  <c r="F74" i="63"/>
  <c r="F76" i="63"/>
  <c r="F77" i="63"/>
  <c r="F78" i="63"/>
  <c r="F79" i="63"/>
  <c r="F82" i="63"/>
  <c r="F83" i="63"/>
  <c r="F85" i="63"/>
  <c r="F87" i="63"/>
  <c r="F88" i="63"/>
  <c r="F89" i="63"/>
  <c r="F90" i="63"/>
  <c r="F92" i="63"/>
  <c r="E84" i="63"/>
  <c r="G75" i="63"/>
  <c r="H75" i="63"/>
  <c r="G70" i="63"/>
  <c r="K51" i="63" l="1"/>
  <c r="J51" i="63"/>
  <c r="K89" i="63"/>
  <c r="J89" i="63"/>
  <c r="K78" i="63"/>
  <c r="J78" i="63"/>
  <c r="F53" i="63"/>
  <c r="K54" i="63"/>
  <c r="J54" i="63"/>
  <c r="K52" i="63"/>
  <c r="J52" i="63"/>
  <c r="I47" i="63"/>
  <c r="K47" i="63"/>
  <c r="J47" i="63"/>
  <c r="K90" i="63"/>
  <c r="J90" i="63"/>
  <c r="I45" i="63"/>
  <c r="K45" i="63"/>
  <c r="J45" i="63"/>
  <c r="K115" i="63"/>
  <c r="J115" i="63"/>
  <c r="K85" i="63"/>
  <c r="J85" i="63"/>
  <c r="J83" i="63"/>
  <c r="K83" i="63"/>
  <c r="K82" i="63"/>
  <c r="J82" i="63"/>
  <c r="K76" i="63"/>
  <c r="J76" i="63"/>
  <c r="K60" i="63"/>
  <c r="J60" i="63"/>
  <c r="K92" i="63"/>
  <c r="J92" i="63"/>
  <c r="K46" i="63"/>
  <c r="J46" i="63"/>
  <c r="I46" i="63"/>
  <c r="K88" i="63"/>
  <c r="J88" i="63"/>
  <c r="K87" i="63"/>
  <c r="J87" i="63"/>
  <c r="K79" i="63"/>
  <c r="J79" i="63"/>
  <c r="K77" i="63"/>
  <c r="J77" i="63"/>
  <c r="K74" i="63"/>
  <c r="J74" i="63"/>
  <c r="K72" i="63"/>
  <c r="J72" i="63"/>
  <c r="K71" i="63"/>
  <c r="J71" i="63"/>
  <c r="K57" i="63"/>
  <c r="J57" i="63"/>
  <c r="F84" i="63"/>
  <c r="F44" i="63"/>
  <c r="F75" i="63"/>
  <c r="F70" i="63"/>
  <c r="F58" i="63"/>
  <c r="D17" i="9"/>
  <c r="G24" i="64" l="1"/>
  <c r="K84" i="63"/>
  <c r="J84" i="63"/>
  <c r="G29" i="63"/>
  <c r="G41" i="69" l="1"/>
  <c r="M29" i="69"/>
  <c r="G160" i="63" l="1"/>
  <c r="E143" i="63"/>
  <c r="F157" i="63" l="1"/>
  <c r="F153" i="63"/>
  <c r="F147" i="63"/>
  <c r="J147" i="63" s="1"/>
  <c r="F138" i="63"/>
  <c r="J138" i="63" s="1"/>
  <c r="F123" i="63"/>
  <c r="J123" i="63" s="1"/>
  <c r="G22" i="63"/>
  <c r="K153" i="63" l="1"/>
  <c r="J153" i="63"/>
  <c r="I157" i="63"/>
  <c r="K157" i="63"/>
  <c r="J157" i="63"/>
  <c r="I35" i="63"/>
  <c r="H41" i="69"/>
  <c r="E41" i="12" s="1"/>
  <c r="H19" i="69"/>
  <c r="E40" i="12" s="1"/>
  <c r="G149" i="63" l="1"/>
  <c r="G143" i="63"/>
  <c r="D11" i="15"/>
  <c r="F40" i="12" l="1"/>
  <c r="M39" i="69"/>
  <c r="M34" i="69"/>
  <c r="M36" i="69"/>
  <c r="M38" i="69"/>
  <c r="M17" i="69"/>
  <c r="M42" i="69"/>
  <c r="M43" i="69"/>
  <c r="M44" i="69"/>
  <c r="M45" i="69"/>
  <c r="M33" i="69"/>
  <c r="M35" i="69"/>
  <c r="M37" i="69"/>
  <c r="M20" i="69"/>
  <c r="M24" i="69"/>
  <c r="M25" i="69"/>
  <c r="M27" i="69"/>
  <c r="M30" i="69"/>
  <c r="M11" i="69"/>
  <c r="M13" i="69"/>
  <c r="M15" i="69"/>
  <c r="M16" i="69"/>
  <c r="M18" i="69"/>
  <c r="M46" i="69"/>
  <c r="M28" i="69"/>
  <c r="M31" i="69"/>
  <c r="M12" i="69"/>
  <c r="M14" i="69"/>
  <c r="M40" i="69"/>
  <c r="M47" i="69"/>
  <c r="M48" i="69"/>
  <c r="M49" i="69"/>
  <c r="M50" i="69"/>
  <c r="M51" i="69"/>
  <c r="M32" i="69"/>
  <c r="M23" i="69"/>
  <c r="I174" i="63"/>
  <c r="C58" i="63" l="1"/>
  <c r="C37" i="63"/>
  <c r="G194" i="63"/>
  <c r="G31" i="12"/>
  <c r="E189" i="63"/>
  <c r="E194" i="63"/>
  <c r="G173" i="63"/>
  <c r="H47" i="64" s="1"/>
  <c r="I169" i="63"/>
  <c r="I168" i="63"/>
  <c r="I167" i="63"/>
  <c r="I166" i="63"/>
  <c r="I165" i="63"/>
  <c r="I164" i="63"/>
  <c r="I163" i="63"/>
  <c r="I162" i="63"/>
  <c r="C105" i="63"/>
  <c r="D158" i="63"/>
  <c r="J58" i="63" l="1"/>
  <c r="K58" i="63"/>
  <c r="H55" i="64"/>
  <c r="G32" i="12"/>
  <c r="K125" i="63"/>
  <c r="E58" i="63" l="1"/>
  <c r="F95" i="63"/>
  <c r="K95" i="63" l="1"/>
  <c r="J95" i="63"/>
  <c r="D38" i="8" l="1"/>
  <c r="I38" i="8" s="1"/>
  <c r="G27" i="8"/>
  <c r="G16" i="9" l="1"/>
  <c r="F41" i="12" l="1"/>
  <c r="H53" i="64" l="1"/>
  <c r="H51" i="64"/>
  <c r="H46" i="64"/>
  <c r="H45" i="64" s="1"/>
  <c r="H19" i="64"/>
  <c r="H18" i="64"/>
  <c r="H11" i="64"/>
  <c r="G30" i="9" l="1"/>
  <c r="F158" i="63" l="1"/>
  <c r="B39" i="12"/>
  <c r="G25" i="12"/>
  <c r="G24" i="12"/>
  <c r="G23" i="12"/>
  <c r="K19" i="69"/>
  <c r="H40" i="12" s="1"/>
  <c r="H41" i="12"/>
  <c r="N50" i="69"/>
  <c r="N49" i="69"/>
  <c r="N48" i="69"/>
  <c r="N46" i="69"/>
  <c r="N44" i="69"/>
  <c r="N43" i="69"/>
  <c r="N39" i="69"/>
  <c r="N38" i="69"/>
  <c r="N37" i="69"/>
  <c r="N36" i="69"/>
  <c r="N35" i="69"/>
  <c r="N34" i="69"/>
  <c r="N33" i="69"/>
  <c r="N32" i="69"/>
  <c r="N31" i="69"/>
  <c r="N29" i="69"/>
  <c r="N28" i="69"/>
  <c r="N27" i="69"/>
  <c r="N26" i="69"/>
  <c r="N25" i="69"/>
  <c r="N24" i="69"/>
  <c r="N23" i="69"/>
  <c r="N22" i="69"/>
  <c r="N20" i="69"/>
  <c r="N18" i="69"/>
  <c r="N11" i="69"/>
  <c r="M41" i="69"/>
  <c r="B41" i="69"/>
  <c r="M19" i="69"/>
  <c r="G40" i="12"/>
  <c r="B19" i="69"/>
  <c r="J9" i="69"/>
  <c r="G39" i="12" s="1"/>
  <c r="C39" i="12"/>
  <c r="B9" i="69"/>
  <c r="N41" i="69" l="1"/>
  <c r="D41" i="12"/>
  <c r="D37" i="12" s="1"/>
  <c r="H37" i="12"/>
  <c r="G52" i="69"/>
  <c r="N19" i="69"/>
  <c r="B52" i="69"/>
  <c r="G37" i="12"/>
  <c r="G35" i="12" s="1"/>
  <c r="K52" i="69"/>
  <c r="I11" i="15" l="1"/>
  <c r="I9" i="15" s="1"/>
  <c r="I161" i="63" l="1"/>
  <c r="H43" i="64"/>
  <c r="D189" i="63"/>
  <c r="H52" i="64"/>
  <c r="G176" i="63"/>
  <c r="G171" i="63"/>
  <c r="G170" i="63" s="1"/>
  <c r="G158" i="63"/>
  <c r="H41" i="64"/>
  <c r="H40" i="64"/>
  <c r="H39" i="64"/>
  <c r="G121" i="63"/>
  <c r="G117" i="63"/>
  <c r="H37" i="64" s="1"/>
  <c r="H36" i="64"/>
  <c r="H35" i="64"/>
  <c r="G102" i="63"/>
  <c r="G101" i="63" s="1"/>
  <c r="G84" i="63"/>
  <c r="H31" i="64"/>
  <c r="D91" i="63"/>
  <c r="C91" i="63"/>
  <c r="J91" i="63" s="1"/>
  <c r="G81" i="63"/>
  <c r="H29" i="64" s="1"/>
  <c r="H28" i="64"/>
  <c r="H26" i="64"/>
  <c r="H24" i="64"/>
  <c r="H25" i="64"/>
  <c r="G44" i="63"/>
  <c r="H34" i="64" l="1"/>
  <c r="H30" i="64"/>
  <c r="H23" i="64"/>
  <c r="H38" i="64"/>
  <c r="G36" i="63"/>
  <c r="G16" i="12" s="1"/>
  <c r="G175" i="63"/>
  <c r="H17" i="64"/>
  <c r="H42" i="64"/>
  <c r="H22" i="64"/>
  <c r="H54" i="64"/>
  <c r="H50" i="64"/>
  <c r="G28" i="12"/>
  <c r="G22" i="12" s="1"/>
  <c r="G18" i="12"/>
  <c r="H33" i="64" l="1"/>
  <c r="H49" i="64"/>
  <c r="G20" i="12"/>
  <c r="G17" i="12"/>
  <c r="I41" i="12"/>
  <c r="K41" i="12"/>
  <c r="J41" i="12"/>
  <c r="J27" i="12" l="1"/>
  <c r="G14" i="9"/>
  <c r="H35" i="12" l="1"/>
  <c r="F46" i="64" l="1"/>
  <c r="H27" i="64" l="1"/>
  <c r="H21" i="64" s="1"/>
  <c r="F11" i="15"/>
  <c r="D37" i="63" l="1"/>
  <c r="C24" i="9" l="1"/>
  <c r="F20" i="9" l="1"/>
  <c r="F55" i="64" l="1"/>
  <c r="I53" i="64" l="1"/>
  <c r="F53" i="64"/>
  <c r="F148" i="63" l="1"/>
  <c r="J148" i="63" s="1"/>
  <c r="F146" i="63"/>
  <c r="J146" i="63" s="1"/>
  <c r="F145" i="63"/>
  <c r="J145" i="63" s="1"/>
  <c r="F140" i="63"/>
  <c r="J140" i="63" s="1"/>
  <c r="F137" i="63"/>
  <c r="J137" i="63" s="1"/>
  <c r="F136" i="63"/>
  <c r="J136" i="63" s="1"/>
  <c r="F126" i="63"/>
  <c r="J126" i="63" s="1"/>
  <c r="F122" i="63"/>
  <c r="J122" i="63" s="1"/>
  <c r="F120" i="63"/>
  <c r="J120" i="63" s="1"/>
  <c r="F119" i="63"/>
  <c r="J119" i="63" s="1"/>
  <c r="F118" i="63"/>
  <c r="F114" i="63"/>
  <c r="F113" i="63"/>
  <c r="F112" i="63"/>
  <c r="H22" i="63"/>
  <c r="E22" i="63"/>
  <c r="E20" i="63"/>
  <c r="E18" i="63"/>
  <c r="E14" i="63"/>
  <c r="E10" i="63"/>
  <c r="K112" i="63" l="1"/>
  <c r="J112" i="63"/>
  <c r="K114" i="63"/>
  <c r="J114" i="63"/>
  <c r="K113" i="63"/>
  <c r="J113" i="63"/>
  <c r="F117" i="63"/>
  <c r="J118" i="63"/>
  <c r="F135" i="63"/>
  <c r="F121" i="63"/>
  <c r="F111" i="63"/>
  <c r="F143" i="63"/>
  <c r="F196" i="63"/>
  <c r="F195" i="63"/>
  <c r="F191" i="63"/>
  <c r="F190" i="63"/>
  <c r="F188" i="63"/>
  <c r="F187" i="63"/>
  <c r="F186" i="63"/>
  <c r="F185" i="63"/>
  <c r="F184" i="63"/>
  <c r="F182" i="63"/>
  <c r="F181" i="63"/>
  <c r="F180" i="63"/>
  <c r="F179" i="63"/>
  <c r="F177" i="63"/>
  <c r="F174" i="63"/>
  <c r="F172" i="63"/>
  <c r="F169" i="63"/>
  <c r="F168" i="63"/>
  <c r="F167" i="63"/>
  <c r="F166" i="63"/>
  <c r="F165" i="63"/>
  <c r="F164" i="63"/>
  <c r="F162" i="63"/>
  <c r="F161" i="63"/>
  <c r="F156" i="63"/>
  <c r="F155" i="63"/>
  <c r="F154" i="63"/>
  <c r="F152" i="63"/>
  <c r="F151" i="63"/>
  <c r="F150" i="63"/>
  <c r="F109" i="63"/>
  <c r="F108" i="63"/>
  <c r="F100" i="63"/>
  <c r="F99" i="63"/>
  <c r="F98" i="63"/>
  <c r="F96" i="63"/>
  <c r="L31" i="64"/>
  <c r="F43" i="63"/>
  <c r="F42" i="63"/>
  <c r="J42" i="63" s="1"/>
  <c r="F41" i="63"/>
  <c r="F39" i="63"/>
  <c r="F38" i="63"/>
  <c r="F32" i="63"/>
  <c r="K32" i="63" s="1"/>
  <c r="F31" i="63"/>
  <c r="K31" i="63" s="1"/>
  <c r="L19" i="64"/>
  <c r="H15" i="64"/>
  <c r="H13" i="64"/>
  <c r="I11" i="63"/>
  <c r="K196" i="63" l="1"/>
  <c r="J196" i="63"/>
  <c r="K152" i="63"/>
  <c r="J152" i="63"/>
  <c r="K154" i="63"/>
  <c r="J154" i="63"/>
  <c r="K155" i="63"/>
  <c r="J155" i="63"/>
  <c r="K156" i="63"/>
  <c r="J156" i="63"/>
  <c r="K161" i="63"/>
  <c r="J161" i="63"/>
  <c r="K162" i="63"/>
  <c r="J162" i="63"/>
  <c r="K39" i="63"/>
  <c r="J39" i="63"/>
  <c r="K41" i="63"/>
  <c r="J41" i="63"/>
  <c r="K169" i="63"/>
  <c r="J169" i="63"/>
  <c r="K96" i="63"/>
  <c r="J96" i="63"/>
  <c r="K98" i="63"/>
  <c r="J98" i="63"/>
  <c r="K174" i="63"/>
  <c r="J174" i="63"/>
  <c r="K180" i="63"/>
  <c r="J180" i="63"/>
  <c r="K182" i="63"/>
  <c r="J182" i="63"/>
  <c r="K185" i="63"/>
  <c r="J185" i="63"/>
  <c r="K190" i="63"/>
  <c r="J190" i="63"/>
  <c r="K191" i="63"/>
  <c r="J191" i="63"/>
  <c r="K38" i="63"/>
  <c r="J38" i="63"/>
  <c r="K164" i="63"/>
  <c r="J164" i="63"/>
  <c r="K165" i="63"/>
  <c r="J165" i="63"/>
  <c r="K166" i="63"/>
  <c r="J166" i="63"/>
  <c r="K167" i="63"/>
  <c r="J167" i="63"/>
  <c r="K111" i="63"/>
  <c r="J111" i="63"/>
  <c r="K43" i="63"/>
  <c r="J43" i="63"/>
  <c r="K168" i="63"/>
  <c r="J168" i="63"/>
  <c r="K172" i="63"/>
  <c r="J172" i="63"/>
  <c r="K99" i="63"/>
  <c r="J99" i="63"/>
  <c r="K177" i="63"/>
  <c r="J177" i="63"/>
  <c r="K100" i="63"/>
  <c r="J100" i="63"/>
  <c r="K108" i="63"/>
  <c r="J108" i="63"/>
  <c r="K109" i="63"/>
  <c r="J109" i="63"/>
  <c r="K181" i="63"/>
  <c r="J181" i="63"/>
  <c r="K150" i="63"/>
  <c r="J150" i="63"/>
  <c r="K151" i="63"/>
  <c r="J151" i="63"/>
  <c r="J31" i="63"/>
  <c r="G53" i="64"/>
  <c r="J187" i="63"/>
  <c r="J32" i="63"/>
  <c r="F149" i="63"/>
  <c r="F160" i="63"/>
  <c r="F105" i="63"/>
  <c r="F37" i="63"/>
  <c r="F22" i="63"/>
  <c r="H12" i="64"/>
  <c r="H14" i="64"/>
  <c r="H16" i="64"/>
  <c r="F173" i="63"/>
  <c r="J37" i="63" l="1"/>
  <c r="K37" i="63"/>
  <c r="K105" i="63"/>
  <c r="J105" i="63"/>
  <c r="G9" i="63"/>
  <c r="H10" i="64"/>
  <c r="F13" i="64"/>
  <c r="F12" i="64"/>
  <c r="F11" i="64"/>
  <c r="I196" i="63"/>
  <c r="I195" i="63"/>
  <c r="I192" i="63"/>
  <c r="I191" i="63"/>
  <c r="I190" i="63"/>
  <c r="I188" i="63"/>
  <c r="I185" i="63"/>
  <c r="I184" i="63"/>
  <c r="I182" i="63"/>
  <c r="I181" i="63"/>
  <c r="I180" i="63"/>
  <c r="I179" i="63"/>
  <c r="I177" i="63"/>
  <c r="I172" i="63"/>
  <c r="I159" i="63"/>
  <c r="I156" i="63"/>
  <c r="I155" i="63"/>
  <c r="I154" i="63"/>
  <c r="I153" i="63"/>
  <c r="I152" i="63"/>
  <c r="I151" i="63"/>
  <c r="I150" i="63"/>
  <c r="I148" i="63"/>
  <c r="I147" i="63"/>
  <c r="I146" i="63"/>
  <c r="I145" i="63"/>
  <c r="I144" i="63"/>
  <c r="I142" i="63"/>
  <c r="I141" i="63"/>
  <c r="I140" i="63"/>
  <c r="I139" i="63"/>
  <c r="I138" i="63"/>
  <c r="I137" i="63"/>
  <c r="I136" i="63"/>
  <c r="I126" i="63"/>
  <c r="I123" i="63"/>
  <c r="I122" i="63"/>
  <c r="I120" i="63"/>
  <c r="I119" i="63"/>
  <c r="I118" i="63"/>
  <c r="I116" i="63"/>
  <c r="I115" i="63"/>
  <c r="I114" i="63"/>
  <c r="I113" i="63"/>
  <c r="I112" i="63"/>
  <c r="I110" i="63"/>
  <c r="I109" i="63"/>
  <c r="I108" i="63"/>
  <c r="I107" i="63"/>
  <c r="I106" i="63"/>
  <c r="I104" i="63"/>
  <c r="I103" i="63"/>
  <c r="I100" i="63"/>
  <c r="I99" i="63"/>
  <c r="I98" i="63"/>
  <c r="I97" i="63"/>
  <c r="I96" i="63"/>
  <c r="I93" i="63"/>
  <c r="I92" i="63"/>
  <c r="I33" i="63"/>
  <c r="I32" i="63"/>
  <c r="I31" i="63"/>
  <c r="I30" i="63"/>
  <c r="G15" i="12" l="1"/>
  <c r="G13" i="12" s="1"/>
  <c r="G197" i="63"/>
  <c r="H9" i="64"/>
  <c r="H57" i="64" s="1"/>
  <c r="F45" i="64"/>
  <c r="I90" i="63"/>
  <c r="I89" i="63"/>
  <c r="I88" i="63"/>
  <c r="I87" i="63"/>
  <c r="I86" i="63"/>
  <c r="I85" i="63"/>
  <c r="I82" i="63"/>
  <c r="I80" i="63"/>
  <c r="I79" i="63"/>
  <c r="I78" i="63"/>
  <c r="I77" i="63"/>
  <c r="I76" i="63"/>
  <c r="I74" i="63"/>
  <c r="I73" i="63"/>
  <c r="I72" i="63"/>
  <c r="I71" i="63"/>
  <c r="I61" i="63"/>
  <c r="I60" i="63"/>
  <c r="I59" i="63"/>
  <c r="I57" i="63"/>
  <c r="I56" i="63"/>
  <c r="I54" i="63"/>
  <c r="I52" i="63"/>
  <c r="I51" i="63"/>
  <c r="I50" i="63"/>
  <c r="I49" i="63"/>
  <c r="I42" i="63"/>
  <c r="I41" i="63"/>
  <c r="I40" i="63"/>
  <c r="I39" i="63"/>
  <c r="I38" i="63"/>
  <c r="I28" i="63"/>
  <c r="I26" i="63"/>
  <c r="I25" i="63"/>
  <c r="I24" i="63"/>
  <c r="I23" i="63"/>
  <c r="I21" i="63"/>
  <c r="I19" i="63"/>
  <c r="I17" i="63"/>
  <c r="I16" i="63"/>
  <c r="I15" i="63"/>
  <c r="I13" i="63"/>
  <c r="I12" i="63"/>
  <c r="I83" i="63"/>
  <c r="G11" i="12" l="1"/>
  <c r="G9" i="12" s="1"/>
  <c r="B176" i="63"/>
  <c r="B189" i="63"/>
  <c r="D187" i="63"/>
  <c r="C187" i="63"/>
  <c r="D53" i="64" s="1"/>
  <c r="K53" i="64" s="1"/>
  <c r="B187" i="63"/>
  <c r="C53" i="64" s="1"/>
  <c r="D183" i="63"/>
  <c r="B183" i="63"/>
  <c r="B178" i="63"/>
  <c r="H173" i="63"/>
  <c r="B171" i="63"/>
  <c r="B158" i="63"/>
  <c r="B149" i="63"/>
  <c r="B143" i="63"/>
  <c r="B135" i="63"/>
  <c r="B121" i="63"/>
  <c r="B117" i="63"/>
  <c r="B111" i="63"/>
  <c r="B105" i="63"/>
  <c r="B102" i="63"/>
  <c r="B70" i="63"/>
  <c r="B58" i="63"/>
  <c r="B55" i="63"/>
  <c r="B53" i="63"/>
  <c r="D84" i="63"/>
  <c r="B84" i="63"/>
  <c r="B28" i="12" l="1"/>
  <c r="E53" i="64"/>
  <c r="J53" i="64" s="1"/>
  <c r="I187" i="63"/>
  <c r="B170" i="63"/>
  <c r="B101" i="63"/>
  <c r="B175" i="63"/>
  <c r="B43" i="11" s="1"/>
  <c r="B41" i="11" l="1"/>
  <c r="B39" i="11"/>
  <c r="B20" i="12"/>
  <c r="D81" i="63"/>
  <c r="E29" i="64" s="1"/>
  <c r="C81" i="63"/>
  <c r="B81" i="63"/>
  <c r="C29" i="64" s="1"/>
  <c r="D75" i="63"/>
  <c r="B75" i="63"/>
  <c r="D29" i="64" l="1"/>
  <c r="B37" i="63"/>
  <c r="B44" i="63"/>
  <c r="B22" i="63"/>
  <c r="B20" i="63"/>
  <c r="B18" i="63"/>
  <c r="D27" i="63"/>
  <c r="B27" i="63"/>
  <c r="B14" i="63"/>
  <c r="B10" i="63"/>
  <c r="B36" i="63" l="1"/>
  <c r="B9" i="63"/>
  <c r="B37" i="11" l="1"/>
  <c r="B38" i="11"/>
  <c r="F194" i="63" l="1"/>
  <c r="H117" i="63"/>
  <c r="J194" i="63" l="1"/>
  <c r="K194" i="63"/>
  <c r="F32" i="12"/>
  <c r="K32" i="12" l="1"/>
  <c r="I32" i="12"/>
  <c r="L11" i="12"/>
  <c r="L17" i="15" l="1"/>
  <c r="G26" i="9"/>
  <c r="G44" i="8"/>
  <c r="G39" i="8"/>
  <c r="G33" i="8"/>
  <c r="G25" i="8"/>
  <c r="G18" i="9" l="1"/>
  <c r="F189" i="63" l="1"/>
  <c r="E31" i="12"/>
  <c r="F54" i="64"/>
  <c r="E160" i="63"/>
  <c r="H58" i="63"/>
  <c r="H27" i="63"/>
  <c r="E29" i="63"/>
  <c r="K189" i="63" l="1"/>
  <c r="J189" i="63"/>
  <c r="F43" i="64"/>
  <c r="F27" i="63"/>
  <c r="I27" i="63" s="1"/>
  <c r="F18" i="64"/>
  <c r="F19" i="64"/>
  <c r="G28" i="9"/>
  <c r="D24" i="9"/>
  <c r="G43" i="64" l="1"/>
  <c r="L9" i="12" l="1"/>
  <c r="C10" i="63"/>
  <c r="E178" i="63"/>
  <c r="E176" i="63"/>
  <c r="D173" i="63"/>
  <c r="C173" i="63"/>
  <c r="E173" i="63"/>
  <c r="E171" i="63"/>
  <c r="J173" i="63" l="1"/>
  <c r="K173" i="63"/>
  <c r="F171" i="63"/>
  <c r="E175" i="63"/>
  <c r="F175" i="63" s="1"/>
  <c r="I173" i="63"/>
  <c r="F178" i="63"/>
  <c r="F51" i="64"/>
  <c r="F183" i="63"/>
  <c r="F52" i="64"/>
  <c r="F176" i="63"/>
  <c r="E28" i="12"/>
  <c r="E22" i="12" s="1"/>
  <c r="E20" i="12" s="1"/>
  <c r="F50" i="64"/>
  <c r="F42" i="64"/>
  <c r="E170" i="63"/>
  <c r="E149" i="63"/>
  <c r="E135" i="63"/>
  <c r="K183" i="63" l="1"/>
  <c r="J183" i="63"/>
  <c r="K178" i="63"/>
  <c r="J178" i="63"/>
  <c r="F170" i="63"/>
  <c r="F28" i="12"/>
  <c r="I183" i="63"/>
  <c r="G51" i="64"/>
  <c r="F49" i="64"/>
  <c r="E18" i="12"/>
  <c r="F41" i="64"/>
  <c r="F40" i="64"/>
  <c r="F39" i="64"/>
  <c r="E121" i="63"/>
  <c r="E117" i="63"/>
  <c r="H111" i="63"/>
  <c r="E111" i="63"/>
  <c r="E105" i="63"/>
  <c r="E102" i="63"/>
  <c r="E81" i="63"/>
  <c r="E75" i="63"/>
  <c r="E70" i="63"/>
  <c r="E53" i="63"/>
  <c r="F23" i="64"/>
  <c r="F22" i="64"/>
  <c r="F10" i="64"/>
  <c r="F34" i="63"/>
  <c r="J34" i="63" s="1"/>
  <c r="J11" i="15"/>
  <c r="E24" i="15"/>
  <c r="E26" i="15"/>
  <c r="E14" i="15"/>
  <c r="E16" i="15"/>
  <c r="E18" i="15"/>
  <c r="L29" i="15"/>
  <c r="L27" i="15"/>
  <c r="L25" i="15"/>
  <c r="L23" i="15"/>
  <c r="L19" i="15"/>
  <c r="F36" i="64" l="1"/>
  <c r="F81" i="63"/>
  <c r="E101" i="63"/>
  <c r="F29" i="63"/>
  <c r="K34" i="63"/>
  <c r="E11" i="15"/>
  <c r="L24" i="15"/>
  <c r="H21" i="15"/>
  <c r="F24" i="64"/>
  <c r="F27" i="64"/>
  <c r="L26" i="15"/>
  <c r="L15" i="15"/>
  <c r="K15" i="15"/>
  <c r="K91" i="63"/>
  <c r="F31" i="64"/>
  <c r="G39" i="64"/>
  <c r="F35" i="64"/>
  <c r="F34" i="64"/>
  <c r="F29" i="64"/>
  <c r="F25" i="64"/>
  <c r="F38" i="64"/>
  <c r="F37" i="64"/>
  <c r="G30" i="64"/>
  <c r="F30" i="64"/>
  <c r="F28" i="64"/>
  <c r="F26" i="64"/>
  <c r="F14" i="63"/>
  <c r="F14" i="64"/>
  <c r="I34" i="63"/>
  <c r="F18" i="63"/>
  <c r="F15" i="64"/>
  <c r="G17" i="64"/>
  <c r="F17" i="64"/>
  <c r="E36" i="63"/>
  <c r="F36" i="63" s="1"/>
  <c r="K81" i="63" l="1"/>
  <c r="J81" i="63"/>
  <c r="G21" i="64"/>
  <c r="I81" i="63"/>
  <c r="F101" i="63"/>
  <c r="F33" i="64"/>
  <c r="E16" i="12"/>
  <c r="G29" i="64"/>
  <c r="G38" i="64"/>
  <c r="I84" i="63"/>
  <c r="I75" i="63"/>
  <c r="F21" i="64"/>
  <c r="E17" i="12"/>
  <c r="G23" i="64"/>
  <c r="G66" i="9" l="1"/>
  <c r="E24" i="8" l="1"/>
  <c r="L18" i="64" l="1"/>
  <c r="L32" i="64"/>
  <c r="C121" i="63" l="1"/>
  <c r="J121" i="63" s="1"/>
  <c r="H70" i="63" l="1"/>
  <c r="G29" i="8" l="1"/>
  <c r="G24" i="8"/>
  <c r="G17" i="8"/>
  <c r="E21" i="15" l="1"/>
  <c r="E9" i="15" l="1"/>
  <c r="D194" i="63"/>
  <c r="I194" i="63" s="1"/>
  <c r="H194" i="63"/>
  <c r="I189" i="63"/>
  <c r="H189" i="63"/>
  <c r="H183" i="63"/>
  <c r="D178" i="63"/>
  <c r="I178" i="63" s="1"/>
  <c r="H178" i="63"/>
  <c r="D176" i="63"/>
  <c r="H176" i="63"/>
  <c r="C176" i="63"/>
  <c r="D171" i="63"/>
  <c r="I171" i="63" s="1"/>
  <c r="H171" i="63"/>
  <c r="H170" i="63" s="1"/>
  <c r="C171" i="63"/>
  <c r="D160" i="63"/>
  <c r="C160" i="63"/>
  <c r="I158" i="63"/>
  <c r="H158" i="63"/>
  <c r="C158" i="63"/>
  <c r="H149" i="63"/>
  <c r="C149" i="63"/>
  <c r="J149" i="63" s="1"/>
  <c r="D143" i="63"/>
  <c r="H143" i="63"/>
  <c r="C143" i="63"/>
  <c r="J143" i="63" s="1"/>
  <c r="D135" i="63"/>
  <c r="I135" i="63" s="1"/>
  <c r="C135" i="63"/>
  <c r="J135" i="63" s="1"/>
  <c r="D121" i="63"/>
  <c r="I121" i="63" s="1"/>
  <c r="D117" i="63"/>
  <c r="I117" i="63" s="1"/>
  <c r="C117" i="63"/>
  <c r="I111" i="63"/>
  <c r="D105" i="63"/>
  <c r="I105" i="63" s="1"/>
  <c r="H105" i="63"/>
  <c r="D102" i="63"/>
  <c r="H102" i="63"/>
  <c r="C102" i="63"/>
  <c r="I91" i="63"/>
  <c r="I30" i="64"/>
  <c r="H81" i="63"/>
  <c r="I29" i="64" s="1"/>
  <c r="C75" i="63"/>
  <c r="D70" i="63"/>
  <c r="C70" i="63"/>
  <c r="J70" i="63" s="1"/>
  <c r="D58" i="63"/>
  <c r="I58" i="63" s="1"/>
  <c r="D55" i="63"/>
  <c r="H55" i="63"/>
  <c r="I25" i="64" s="1"/>
  <c r="C55" i="63"/>
  <c r="D53" i="63"/>
  <c r="I53" i="63" s="1"/>
  <c r="H53" i="63"/>
  <c r="I24" i="64" s="1"/>
  <c r="C53" i="63"/>
  <c r="H44" i="63"/>
  <c r="I23" i="64" s="1"/>
  <c r="C44" i="63"/>
  <c r="I37" i="63"/>
  <c r="H37" i="63"/>
  <c r="I22" i="64" s="1"/>
  <c r="C27" i="63"/>
  <c r="J27" i="63" s="1"/>
  <c r="H29" i="63"/>
  <c r="D29" i="63"/>
  <c r="C29" i="63"/>
  <c r="D22" i="63"/>
  <c r="C22" i="63"/>
  <c r="D20" i="63"/>
  <c r="C20" i="63"/>
  <c r="D18" i="63"/>
  <c r="I18" i="63" s="1"/>
  <c r="C18" i="63"/>
  <c r="D14" i="63"/>
  <c r="I14" i="63" s="1"/>
  <c r="C14" i="63"/>
  <c r="K14" i="63" s="1"/>
  <c r="D10" i="63"/>
  <c r="J29" i="63" l="1"/>
  <c r="K29" i="63"/>
  <c r="C170" i="63"/>
  <c r="J171" i="63"/>
  <c r="K171" i="63"/>
  <c r="J53" i="63"/>
  <c r="K53" i="63"/>
  <c r="J44" i="63"/>
  <c r="K44" i="63"/>
  <c r="J75" i="63"/>
  <c r="K75" i="63"/>
  <c r="H101" i="63"/>
  <c r="C175" i="63"/>
  <c r="K175" i="63" s="1"/>
  <c r="J176" i="63"/>
  <c r="K176" i="63"/>
  <c r="J117" i="63"/>
  <c r="K117" i="63"/>
  <c r="J19" i="63"/>
  <c r="K18" i="63"/>
  <c r="J158" i="63"/>
  <c r="K158" i="63"/>
  <c r="J22" i="63"/>
  <c r="K22" i="63"/>
  <c r="I160" i="63"/>
  <c r="J160" i="63"/>
  <c r="K160" i="63"/>
  <c r="J102" i="63"/>
  <c r="K102" i="63"/>
  <c r="K70" i="63"/>
  <c r="I29" i="63"/>
  <c r="J15" i="63"/>
  <c r="J14" i="63"/>
  <c r="D101" i="63"/>
  <c r="D175" i="63"/>
  <c r="C101" i="63"/>
  <c r="I102" i="63"/>
  <c r="I70" i="63"/>
  <c r="D36" i="63"/>
  <c r="C28" i="12"/>
  <c r="I176" i="63"/>
  <c r="D28" i="12"/>
  <c r="I44" i="63"/>
  <c r="I22" i="63"/>
  <c r="L17" i="64"/>
  <c r="D170" i="63"/>
  <c r="H9" i="63"/>
  <c r="C36" i="63"/>
  <c r="H36" i="63"/>
  <c r="H175" i="63"/>
  <c r="D9" i="63"/>
  <c r="C9" i="63"/>
  <c r="K101" i="63" l="1"/>
  <c r="J101" i="63"/>
  <c r="J175" i="63"/>
  <c r="J170" i="63"/>
  <c r="K170" i="63"/>
  <c r="J36" i="63"/>
  <c r="K36" i="63"/>
  <c r="H197" i="63"/>
  <c r="C197" i="63"/>
  <c r="D197" i="63"/>
  <c r="I170" i="63"/>
  <c r="I101" i="63"/>
  <c r="I175" i="63"/>
  <c r="E41" i="11"/>
  <c r="E43" i="11"/>
  <c r="E39" i="11"/>
  <c r="E38" i="11"/>
  <c r="E37" i="11"/>
  <c r="D43" i="11"/>
  <c r="D41" i="11"/>
  <c r="D39" i="11"/>
  <c r="D38" i="11"/>
  <c r="D37" i="11"/>
  <c r="D20" i="12"/>
  <c r="D14" i="10" s="1"/>
  <c r="C20" i="12"/>
  <c r="C14" i="10" s="1"/>
  <c r="D36" i="11" l="1"/>
  <c r="G11" i="15"/>
  <c r="G21" i="15"/>
  <c r="C31" i="12"/>
  <c r="D31" i="12"/>
  <c r="H31" i="12"/>
  <c r="H28" i="12"/>
  <c r="C18" i="12"/>
  <c r="D18" i="12"/>
  <c r="H18" i="12"/>
  <c r="B18" i="12"/>
  <c r="C17" i="12"/>
  <c r="D17" i="12"/>
  <c r="H17" i="12"/>
  <c r="B17" i="12"/>
  <c r="C16" i="12"/>
  <c r="D16" i="12"/>
  <c r="H16" i="12"/>
  <c r="B16" i="12"/>
  <c r="C15" i="12"/>
  <c r="D15" i="12"/>
  <c r="H15" i="12"/>
  <c r="B15" i="12"/>
  <c r="B197" i="63"/>
  <c r="C203" i="63" s="1"/>
  <c r="D50" i="64"/>
  <c r="E50" i="64"/>
  <c r="I50" i="64"/>
  <c r="D51" i="64"/>
  <c r="E51" i="64"/>
  <c r="I51" i="64"/>
  <c r="D52" i="64"/>
  <c r="E52" i="64"/>
  <c r="I52" i="64"/>
  <c r="D54" i="64"/>
  <c r="E54" i="64"/>
  <c r="I54" i="64"/>
  <c r="D55" i="64"/>
  <c r="E55" i="64"/>
  <c r="I55" i="64"/>
  <c r="C55" i="64"/>
  <c r="C51" i="64"/>
  <c r="C50" i="64"/>
  <c r="D46" i="64"/>
  <c r="E46" i="64"/>
  <c r="I46" i="64"/>
  <c r="D47" i="64"/>
  <c r="E47" i="64"/>
  <c r="I47" i="64"/>
  <c r="C47" i="64"/>
  <c r="C46" i="64"/>
  <c r="D34" i="64"/>
  <c r="E34" i="64"/>
  <c r="I34" i="64"/>
  <c r="D35" i="64"/>
  <c r="E35" i="64"/>
  <c r="I35" i="64"/>
  <c r="D36" i="64"/>
  <c r="E36" i="64"/>
  <c r="I36" i="64"/>
  <c r="D37" i="64"/>
  <c r="E37" i="64"/>
  <c r="I37" i="64"/>
  <c r="E38" i="64"/>
  <c r="I38" i="64"/>
  <c r="D39" i="64"/>
  <c r="K39" i="64" s="1"/>
  <c r="E39" i="64"/>
  <c r="I39" i="64"/>
  <c r="D40" i="64"/>
  <c r="E40" i="64"/>
  <c r="I40" i="64"/>
  <c r="E41" i="64"/>
  <c r="I41" i="64"/>
  <c r="D42" i="64"/>
  <c r="E42" i="64"/>
  <c r="I42" i="64"/>
  <c r="D43" i="64"/>
  <c r="E43" i="64"/>
  <c r="I43" i="64"/>
  <c r="C43" i="64"/>
  <c r="C42" i="64"/>
  <c r="C41" i="64"/>
  <c r="C40" i="64"/>
  <c r="C39" i="64"/>
  <c r="C38" i="64"/>
  <c r="C37" i="64"/>
  <c r="C36" i="64"/>
  <c r="C35" i="64"/>
  <c r="C34" i="64"/>
  <c r="D22" i="64"/>
  <c r="E22" i="64"/>
  <c r="D23" i="64"/>
  <c r="K23" i="64" s="1"/>
  <c r="E23" i="64"/>
  <c r="D24" i="64"/>
  <c r="E24" i="64"/>
  <c r="D25" i="64"/>
  <c r="E25" i="64"/>
  <c r="E26" i="64"/>
  <c r="I26" i="64"/>
  <c r="D27" i="64"/>
  <c r="E27" i="64"/>
  <c r="I27" i="64"/>
  <c r="D28" i="64"/>
  <c r="E28" i="64"/>
  <c r="I28" i="64"/>
  <c r="K29" i="64"/>
  <c r="E30" i="64"/>
  <c r="D31" i="64"/>
  <c r="E31" i="64"/>
  <c r="I31" i="64"/>
  <c r="C31" i="64"/>
  <c r="C30" i="64"/>
  <c r="C28" i="64"/>
  <c r="C27" i="64"/>
  <c r="C26" i="64"/>
  <c r="C25" i="64"/>
  <c r="C24" i="64"/>
  <c r="C23" i="64"/>
  <c r="C22" i="64"/>
  <c r="D19" i="64"/>
  <c r="E19" i="64"/>
  <c r="I19" i="64"/>
  <c r="C19" i="64"/>
  <c r="D18" i="64"/>
  <c r="E18" i="64"/>
  <c r="G18" i="64"/>
  <c r="I18" i="64"/>
  <c r="C18" i="64"/>
  <c r="D17" i="64"/>
  <c r="E17" i="64"/>
  <c r="I17" i="64"/>
  <c r="C17" i="64"/>
  <c r="D16" i="64"/>
  <c r="E16" i="64"/>
  <c r="I16" i="64"/>
  <c r="C16" i="64"/>
  <c r="D15" i="64"/>
  <c r="E15" i="64"/>
  <c r="I15" i="64"/>
  <c r="C15" i="64"/>
  <c r="D14" i="64"/>
  <c r="E14" i="64"/>
  <c r="I14" i="64"/>
  <c r="C14" i="64"/>
  <c r="D13" i="64"/>
  <c r="E13" i="64"/>
  <c r="I13" i="64"/>
  <c r="C13" i="64"/>
  <c r="D12" i="64"/>
  <c r="E12" i="64"/>
  <c r="I12" i="64"/>
  <c r="C12" i="64"/>
  <c r="D11" i="64"/>
  <c r="E11" i="64"/>
  <c r="I11" i="64"/>
  <c r="C11" i="64"/>
  <c r="D10" i="64"/>
  <c r="E10" i="64"/>
  <c r="I10" i="64"/>
  <c r="C10" i="64"/>
  <c r="K122" i="63"/>
  <c r="K18" i="64" l="1"/>
  <c r="I21" i="64"/>
  <c r="C21" i="64"/>
  <c r="C45" i="64"/>
  <c r="I9" i="64"/>
  <c r="C9" i="64"/>
  <c r="G9" i="15"/>
  <c r="E45" i="64"/>
  <c r="J18" i="64"/>
  <c r="I45" i="64"/>
  <c r="I33" i="64"/>
  <c r="E21" i="64"/>
  <c r="E33" i="64"/>
  <c r="C33" i="64"/>
  <c r="E49" i="64"/>
  <c r="I49" i="64"/>
  <c r="E9" i="64"/>
  <c r="D9" i="64"/>
  <c r="D45" i="64"/>
  <c r="D49" i="64"/>
  <c r="D22" i="9"/>
  <c r="F24" i="9"/>
  <c r="G24" i="9" s="1"/>
  <c r="E57" i="64" l="1"/>
  <c r="I57" i="64"/>
  <c r="F22" i="9"/>
  <c r="G13" i="9" l="1"/>
  <c r="E13" i="9"/>
  <c r="B27" i="11" l="1"/>
  <c r="E27" i="11"/>
  <c r="G22" i="9" l="1"/>
  <c r="G32" i="8"/>
  <c r="T23" i="15" l="1"/>
  <c r="C41" i="11" l="1"/>
  <c r="B22" i="61" l="1"/>
  <c r="B5" i="61" l="1"/>
  <c r="F32" i="8" l="1"/>
  <c r="E32" i="8"/>
  <c r="D32" i="8"/>
  <c r="D27" i="11" l="1"/>
  <c r="C22" i="9"/>
  <c r="C20" i="9"/>
  <c r="C18" i="9"/>
  <c r="C17" i="9"/>
  <c r="C16" i="9"/>
  <c r="C15" i="9"/>
  <c r="C14" i="9"/>
  <c r="C13" i="9"/>
  <c r="C11" i="9" l="1"/>
  <c r="C9" i="9"/>
  <c r="G15" i="9" l="1"/>
  <c r="C43" i="8"/>
  <c r="C42" i="8" s="1"/>
  <c r="C41" i="8" s="1"/>
  <c r="C40" i="8" s="1"/>
  <c r="C38" i="8"/>
  <c r="C37" i="8" s="1"/>
  <c r="C29" i="8"/>
  <c r="C24" i="8"/>
  <c r="C22" i="8"/>
  <c r="C20" i="8" s="1"/>
  <c r="C17" i="8"/>
  <c r="C15" i="8"/>
  <c r="B24" i="11" l="1"/>
  <c r="B25" i="10"/>
  <c r="C36" i="8"/>
  <c r="C34" i="8" s="1"/>
  <c r="B27" i="10"/>
  <c r="C13" i="8"/>
  <c r="C11" i="8" s="1"/>
  <c r="C9" i="8" l="1"/>
  <c r="B8" i="10"/>
  <c r="D15" i="8" l="1"/>
  <c r="D17" i="8"/>
  <c r="D22" i="8"/>
  <c r="D20" i="8" s="1"/>
  <c r="D24" i="8"/>
  <c r="D29" i="8"/>
  <c r="D37" i="8"/>
  <c r="I37" i="8" s="1"/>
  <c r="D43" i="8"/>
  <c r="D42" i="8" s="1"/>
  <c r="D40" i="8" s="1"/>
  <c r="D24" i="11" s="1"/>
  <c r="D46" i="8"/>
  <c r="D13" i="8" l="1"/>
  <c r="D11" i="8" s="1"/>
  <c r="C27" i="10"/>
  <c r="F27" i="10" s="1"/>
  <c r="D36" i="8"/>
  <c r="D34" i="8" s="1"/>
  <c r="D9" i="8" l="1"/>
  <c r="I34" i="8"/>
  <c r="C8" i="10"/>
  <c r="E14" i="9"/>
  <c r="E15" i="9"/>
  <c r="E16" i="9"/>
  <c r="E17" i="9"/>
  <c r="E18" i="9"/>
  <c r="E20" i="9" l="1"/>
  <c r="E11" i="9" s="1"/>
  <c r="E9" i="9" s="1"/>
  <c r="D20" i="9"/>
  <c r="D18" i="9"/>
  <c r="D16" i="9"/>
  <c r="D15" i="9"/>
  <c r="D14" i="9"/>
  <c r="D13" i="9"/>
  <c r="D11" i="9" l="1"/>
  <c r="D9" i="9" s="1"/>
  <c r="F18" i="9" l="1"/>
  <c r="F17" i="9"/>
  <c r="F16" i="9"/>
  <c r="F15" i="9"/>
  <c r="F14" i="9"/>
  <c r="F13" i="9"/>
  <c r="F11" i="9" l="1"/>
  <c r="F9" i="9" s="1"/>
  <c r="F40" i="8" l="1"/>
  <c r="G43" i="8" l="1"/>
  <c r="G20" i="9"/>
  <c r="H20" i="9" s="1"/>
  <c r="F24" i="8" l="1"/>
  <c r="F38" i="8"/>
  <c r="F37" i="8" s="1"/>
  <c r="F36" i="8" s="1"/>
  <c r="F34" i="8" s="1"/>
  <c r="F29" i="8"/>
  <c r="F18" i="11" l="1"/>
  <c r="G38" i="8"/>
  <c r="G37" i="8" s="1"/>
  <c r="F27" i="11" s="1"/>
  <c r="H38" i="8"/>
  <c r="H37" i="8" s="1"/>
  <c r="H36" i="8" s="1"/>
  <c r="E38" i="8"/>
  <c r="E27" i="10" l="1"/>
  <c r="G36" i="8"/>
  <c r="E37" i="8" l="1"/>
  <c r="D27" i="10" s="1"/>
  <c r="G42" i="8"/>
  <c r="G41" i="8" s="1"/>
  <c r="G40" i="8" s="1"/>
  <c r="G34" i="8" s="1"/>
  <c r="E36" i="8" l="1"/>
  <c r="E34" i="8" s="1"/>
  <c r="E43" i="8"/>
  <c r="G22" i="8"/>
  <c r="F22" i="8"/>
  <c r="E22" i="8"/>
  <c r="E20" i="8" s="1"/>
  <c r="H22" i="8" l="1"/>
  <c r="I22" i="8"/>
  <c r="G20" i="8"/>
  <c r="F20" i="8"/>
  <c r="E42" i="8"/>
  <c r="E41" i="8" s="1"/>
  <c r="E17" i="8"/>
  <c r="E15" i="8" s="1"/>
  <c r="E13" i="8" s="1"/>
  <c r="I20" i="8" l="1"/>
  <c r="E40" i="8"/>
  <c r="F17" i="8"/>
  <c r="G15" i="8" l="1"/>
  <c r="F48" i="8"/>
  <c r="D5" i="61" l="1"/>
  <c r="F15" i="8" l="1"/>
  <c r="F13" i="8" s="1"/>
  <c r="G13" i="8" s="1"/>
  <c r="F11" i="8" l="1"/>
  <c r="F9" i="8" s="1"/>
  <c r="G9" i="8" s="1"/>
  <c r="G11" i="8" l="1"/>
  <c r="F15" i="11"/>
  <c r="F12" i="11" s="1"/>
  <c r="H18" i="9"/>
  <c r="H16" i="9"/>
  <c r="H14" i="9"/>
  <c r="E8" i="10" l="1"/>
  <c r="F8" i="10" s="1"/>
  <c r="F46" i="8" l="1"/>
  <c r="G46" i="8" s="1"/>
  <c r="C22" i="61" l="1"/>
  <c r="B37" i="12" l="1"/>
  <c r="B20" i="10" s="1"/>
  <c r="B35" i="12" l="1"/>
  <c r="B48" i="11"/>
  <c r="C16" i="11"/>
  <c r="C24" i="11"/>
  <c r="C18" i="11"/>
  <c r="C19" i="11"/>
  <c r="C27" i="11"/>
  <c r="L16" i="15" l="1"/>
  <c r="H9" i="15" l="1"/>
  <c r="G47" i="8" l="1"/>
  <c r="G28" i="8"/>
  <c r="G21" i="8"/>
  <c r="G23" i="9"/>
  <c r="G21" i="9"/>
  <c r="G19" i="9" l="1"/>
  <c r="H33" i="8"/>
  <c r="K26" i="15"/>
  <c r="H22" i="15"/>
  <c r="K22" i="15" s="1"/>
  <c r="H20" i="15"/>
  <c r="K20" i="15" s="1"/>
  <c r="E46" i="8" l="1"/>
  <c r="C26" i="11" l="1"/>
  <c r="B26" i="11"/>
  <c r="C11" i="15" l="1"/>
  <c r="C21" i="15"/>
  <c r="D21" i="15"/>
  <c r="D9" i="15" s="1"/>
  <c r="C14" i="61"/>
  <c r="C12" i="61" s="1"/>
  <c r="F21" i="15"/>
  <c r="J21" i="15"/>
  <c r="J9" i="15" l="1"/>
  <c r="B14" i="61"/>
  <c r="B12" i="61" s="1"/>
  <c r="C9" i="15"/>
  <c r="F9" i="15"/>
  <c r="D22" i="12" l="1"/>
  <c r="E29" i="8" l="1"/>
  <c r="H13" i="8" l="1"/>
  <c r="E11" i="8"/>
  <c r="D25" i="10"/>
  <c r="D23" i="10" s="1"/>
  <c r="E9" i="8" l="1"/>
  <c r="H9" i="8" s="1"/>
  <c r="H11" i="8"/>
  <c r="D8" i="10"/>
  <c r="E24" i="11" l="1"/>
  <c r="H42" i="8" l="1"/>
  <c r="B19" i="11"/>
  <c r="H28" i="8"/>
  <c r="B18" i="11"/>
  <c r="H21" i="8"/>
  <c r="B16" i="11"/>
  <c r="D13" i="12"/>
  <c r="C56" i="12"/>
  <c r="D56" i="12"/>
  <c r="F56" i="12"/>
  <c r="H56" i="12"/>
  <c r="F57" i="12"/>
  <c r="I57" i="12" s="1"/>
  <c r="F58" i="12"/>
  <c r="J58" i="12" s="1"/>
  <c r="G25" i="11"/>
  <c r="D26" i="11"/>
  <c r="E26" i="11"/>
  <c r="E36" i="11"/>
  <c r="G49" i="11"/>
  <c r="G51" i="11"/>
  <c r="D18" i="10" l="1"/>
  <c r="E48" i="11"/>
  <c r="E46" i="11" s="1"/>
  <c r="D11" i="12"/>
  <c r="D10" i="10" s="1"/>
  <c r="K57" i="12"/>
  <c r="B22" i="11"/>
  <c r="B23" i="10"/>
  <c r="H22" i="12"/>
  <c r="C17" i="11"/>
  <c r="C15" i="11" s="1"/>
  <c r="C12" i="11" s="1"/>
  <c r="B17" i="11"/>
  <c r="B15" i="11" s="1"/>
  <c r="D12" i="10"/>
  <c r="E22" i="11"/>
  <c r="C22" i="11"/>
  <c r="J57" i="12"/>
  <c r="I56" i="12"/>
  <c r="J56" i="12"/>
  <c r="D22" i="11"/>
  <c r="C25" i="10"/>
  <c r="C23" i="10" s="1"/>
  <c r="F23" i="10" s="1"/>
  <c r="E19" i="11"/>
  <c r="D19" i="11"/>
  <c r="E18" i="11"/>
  <c r="D18" i="11"/>
  <c r="E17" i="11"/>
  <c r="D17" i="11"/>
  <c r="E16" i="11"/>
  <c r="D16" i="11"/>
  <c r="D35" i="12"/>
  <c r="K56" i="12"/>
  <c r="E34" i="11"/>
  <c r="C37" i="11" l="1"/>
  <c r="B12" i="11"/>
  <c r="B30" i="11" s="1"/>
  <c r="C22" i="12"/>
  <c r="C40" i="11"/>
  <c r="B14" i="10"/>
  <c r="C30" i="11"/>
  <c r="E15" i="11"/>
  <c r="E12" i="11" s="1"/>
  <c r="D15" i="11"/>
  <c r="D12" i="11" s="1"/>
  <c r="D9" i="12"/>
  <c r="E53" i="11"/>
  <c r="B36" i="11" l="1"/>
  <c r="B34" i="11" s="1"/>
  <c r="D30" i="11"/>
  <c r="B13" i="12"/>
  <c r="C39" i="11"/>
  <c r="C43" i="11"/>
  <c r="C38" i="11"/>
  <c r="G44" i="11"/>
  <c r="B11" i="12" l="1"/>
  <c r="B9" i="12" s="1"/>
  <c r="B12" i="10"/>
  <c r="C36" i="11"/>
  <c r="C34" i="11" s="1"/>
  <c r="E30" i="11"/>
  <c r="B10" i="10" l="1"/>
  <c r="C13" i="12" l="1"/>
  <c r="C12" i="10" l="1"/>
  <c r="G40" i="11"/>
  <c r="D34" i="11"/>
  <c r="C11" i="12"/>
  <c r="C10" i="10" s="1"/>
  <c r="C16" i="10" s="1"/>
  <c r="H13" i="12" l="1"/>
  <c r="G48" i="8" l="1"/>
  <c r="I48" i="8" l="1"/>
  <c r="I46" i="8"/>
  <c r="H46" i="8"/>
  <c r="E25" i="10"/>
  <c r="E23" i="10" s="1"/>
  <c r="H48" i="8"/>
  <c r="H41" i="8"/>
  <c r="G27" i="11" l="1"/>
  <c r="F26" i="11"/>
  <c r="G26" i="11" l="1"/>
  <c r="H26" i="11"/>
  <c r="G17" i="9" l="1"/>
  <c r="G11" i="9" s="1"/>
  <c r="H17" i="9" l="1"/>
  <c r="H15" i="9" l="1"/>
  <c r="F19" i="11"/>
  <c r="G19" i="11" l="1"/>
  <c r="H20" i="8" l="1"/>
  <c r="F17" i="11"/>
  <c r="G17" i="11" s="1"/>
  <c r="I36" i="8" l="1"/>
  <c r="H40" i="8" l="1"/>
  <c r="F24" i="11"/>
  <c r="G24" i="11" s="1"/>
  <c r="F22" i="11" l="1"/>
  <c r="G22" i="11" l="1"/>
  <c r="F30" i="11"/>
  <c r="H22" i="11"/>
  <c r="F16" i="11"/>
  <c r="I15" i="8"/>
  <c r="G16" i="11" l="1"/>
  <c r="I13" i="8"/>
  <c r="G15" i="11" l="1"/>
  <c r="G18" i="11"/>
  <c r="G12" i="11" l="1"/>
  <c r="G30" i="11" l="1"/>
  <c r="H30" i="11"/>
  <c r="G9" i="9" l="1"/>
  <c r="H11" i="9"/>
  <c r="H13" i="9"/>
  <c r="H9" i="9" l="1"/>
  <c r="D22" i="61" l="1"/>
  <c r="I40" i="12" l="1"/>
  <c r="K40" i="12"/>
  <c r="F23" i="12" l="1"/>
  <c r="J23" i="12" s="1"/>
  <c r="F25" i="12"/>
  <c r="J25" i="12" s="1"/>
  <c r="F24" i="12"/>
  <c r="J24" i="12" s="1"/>
  <c r="F26" i="12"/>
  <c r="J26" i="12" s="1"/>
  <c r="M25" i="15"/>
  <c r="M19" i="15"/>
  <c r="K29" i="15"/>
  <c r="M13" i="15"/>
  <c r="M29" i="15" l="1"/>
  <c r="L21" i="15"/>
  <c r="K25" i="15"/>
  <c r="K19" i="15"/>
  <c r="M17" i="15"/>
  <c r="M23" i="15"/>
  <c r="M27" i="15"/>
  <c r="K13" i="15"/>
  <c r="K23" i="15"/>
  <c r="K17" i="15"/>
  <c r="K27" i="15"/>
  <c r="M15" i="15"/>
  <c r="K21" i="15" l="1"/>
  <c r="M21" i="15"/>
  <c r="M11" i="15"/>
  <c r="K11" i="15"/>
  <c r="D14" i="61" l="1"/>
  <c r="D12" i="61" s="1"/>
  <c r="M9" i="15"/>
  <c r="D26" i="64" l="1"/>
  <c r="D30" i="64"/>
  <c r="K30" i="64" s="1"/>
  <c r="D38" i="64"/>
  <c r="K38" i="64" s="1"/>
  <c r="D41" i="64"/>
  <c r="D21" i="64" l="1"/>
  <c r="D33" i="64"/>
  <c r="D57" i="64" l="1"/>
  <c r="E9" i="63"/>
  <c r="F20" i="63"/>
  <c r="F16" i="64"/>
  <c r="F9" i="64" s="1"/>
  <c r="F57" i="64" s="1"/>
  <c r="H20" i="12"/>
  <c r="J20" i="63" l="1"/>
  <c r="K20" i="63"/>
  <c r="H11" i="12"/>
  <c r="H9" i="12" s="1"/>
  <c r="E15" i="12"/>
  <c r="E13" i="12" s="1"/>
  <c r="E11" i="12" s="1"/>
  <c r="I20" i="63"/>
  <c r="L16" i="64"/>
  <c r="E197" i="63"/>
  <c r="K138" i="63"/>
  <c r="I18" i="12"/>
  <c r="L26" i="64"/>
  <c r="K147" i="63" l="1"/>
  <c r="K121" i="63"/>
  <c r="L38" i="64" s="1"/>
  <c r="F10" i="63"/>
  <c r="G50" i="64"/>
  <c r="K120" i="63"/>
  <c r="L30" i="64"/>
  <c r="K141" i="63"/>
  <c r="L36" i="64"/>
  <c r="F41" i="11"/>
  <c r="G41" i="11" s="1"/>
  <c r="G12" i="64"/>
  <c r="K12" i="64" s="1"/>
  <c r="K123" i="63"/>
  <c r="K142" i="63"/>
  <c r="L56" i="64"/>
  <c r="L24" i="64"/>
  <c r="L50" i="64"/>
  <c r="F17" i="12"/>
  <c r="I17" i="12"/>
  <c r="L11" i="64"/>
  <c r="G27" i="64"/>
  <c r="K27" i="64" s="1"/>
  <c r="L15" i="64"/>
  <c r="K145" i="63"/>
  <c r="G42" i="64"/>
  <c r="K42" i="64" s="1"/>
  <c r="L42" i="64"/>
  <c r="K135" i="63"/>
  <c r="L39" i="64" s="1"/>
  <c r="K136" i="63"/>
  <c r="L35" i="64"/>
  <c r="G35" i="64"/>
  <c r="K35" i="64" s="1"/>
  <c r="L33" i="64"/>
  <c r="F39" i="11"/>
  <c r="L27" i="64"/>
  <c r="L28" i="64"/>
  <c r="G16" i="64"/>
  <c r="K16" i="64" s="1"/>
  <c r="F31" i="12"/>
  <c r="J31" i="12" s="1"/>
  <c r="F43" i="11"/>
  <c r="L13" i="64"/>
  <c r="G46" i="64"/>
  <c r="K46" i="64" s="1"/>
  <c r="L51" i="64"/>
  <c r="J18" i="12"/>
  <c r="G13" i="64"/>
  <c r="K13" i="64" s="1"/>
  <c r="L14" i="64"/>
  <c r="K17" i="64"/>
  <c r="G26" i="64"/>
  <c r="K26" i="64" s="1"/>
  <c r="L49" i="64"/>
  <c r="L46" i="64"/>
  <c r="K24" i="64"/>
  <c r="G22" i="64"/>
  <c r="L22" i="64"/>
  <c r="L37" i="64"/>
  <c r="G37" i="64"/>
  <c r="K37" i="64" s="1"/>
  <c r="K51" i="64"/>
  <c r="G14" i="64"/>
  <c r="K14" i="64" s="1"/>
  <c r="L43" i="64"/>
  <c r="G11" i="64"/>
  <c r="K11" i="64" s="1"/>
  <c r="G52" i="64"/>
  <c r="K52" i="64" s="1"/>
  <c r="L52" i="64"/>
  <c r="L12" i="64"/>
  <c r="L47" i="64"/>
  <c r="G47" i="64"/>
  <c r="K47" i="64" s="1"/>
  <c r="K148" i="63"/>
  <c r="K126" i="63"/>
  <c r="K124" i="63"/>
  <c r="G31" i="64"/>
  <c r="K31" i="64" s="1"/>
  <c r="G36" i="64"/>
  <c r="K36" i="64" s="1"/>
  <c r="F20" i="12"/>
  <c r="L45" i="64"/>
  <c r="G19" i="64"/>
  <c r="K19" i="64" s="1"/>
  <c r="G28" i="64"/>
  <c r="K28" i="64" s="1"/>
  <c r="L34" i="64"/>
  <c r="L23" i="64"/>
  <c r="L54" i="64"/>
  <c r="G55" i="64"/>
  <c r="K55" i="64" s="1"/>
  <c r="L55" i="64"/>
  <c r="G54" i="64"/>
  <c r="K54" i="64" s="1"/>
  <c r="G34" i="64"/>
  <c r="K144" i="63"/>
  <c r="L29" i="64"/>
  <c r="K118" i="63"/>
  <c r="K140" i="63"/>
  <c r="G15" i="64"/>
  <c r="K15" i="64" s="1"/>
  <c r="K119" i="63"/>
  <c r="K146" i="63"/>
  <c r="K139" i="63"/>
  <c r="K137" i="63"/>
  <c r="F9" i="63" l="1"/>
  <c r="J9" i="63" s="1"/>
  <c r="J10" i="63"/>
  <c r="G49" i="64"/>
  <c r="K22" i="64"/>
  <c r="K50" i="64"/>
  <c r="J17" i="12"/>
  <c r="K34" i="64"/>
  <c r="J20" i="12"/>
  <c r="F22" i="12"/>
  <c r="J22" i="12" s="1"/>
  <c r="J28" i="12"/>
  <c r="E14" i="10"/>
  <c r="F14" i="10" s="1"/>
  <c r="J29" i="64"/>
  <c r="I10" i="63"/>
  <c r="J16" i="64"/>
  <c r="J35" i="64"/>
  <c r="J39" i="64"/>
  <c r="J42" i="64"/>
  <c r="J50" i="64"/>
  <c r="J38" i="64"/>
  <c r="J12" i="64"/>
  <c r="K10" i="63"/>
  <c r="L10" i="64" s="1"/>
  <c r="K28" i="12"/>
  <c r="K17" i="12"/>
  <c r="J27" i="64"/>
  <c r="G10" i="64"/>
  <c r="G9" i="64" s="1"/>
  <c r="G39" i="11"/>
  <c r="J19" i="64"/>
  <c r="J31" i="64"/>
  <c r="J47" i="64"/>
  <c r="J52" i="64"/>
  <c r="J22" i="64"/>
  <c r="J17" i="64"/>
  <c r="K18" i="12"/>
  <c r="J46" i="64"/>
  <c r="G45" i="64"/>
  <c r="K45" i="64" s="1"/>
  <c r="J55" i="64"/>
  <c r="K20" i="12"/>
  <c r="I20" i="12"/>
  <c r="J23" i="64"/>
  <c r="J11" i="64"/>
  <c r="J14" i="64"/>
  <c r="J15" i="64"/>
  <c r="J34" i="64"/>
  <c r="J36" i="64"/>
  <c r="J51" i="64"/>
  <c r="J37" i="64"/>
  <c r="J24" i="64"/>
  <c r="J54" i="64"/>
  <c r="J28" i="64"/>
  <c r="J30" i="64"/>
  <c r="J26" i="64"/>
  <c r="J13" i="64"/>
  <c r="G43" i="11"/>
  <c r="I31" i="12"/>
  <c r="K31" i="12"/>
  <c r="K22" i="12" l="1"/>
  <c r="I22" i="12"/>
  <c r="I28" i="12" s="1"/>
  <c r="K9" i="64"/>
  <c r="K10" i="64"/>
  <c r="K49" i="64"/>
  <c r="J10" i="64"/>
  <c r="J45" i="64"/>
  <c r="J49" i="64"/>
  <c r="J9" i="64" l="1"/>
  <c r="C52" i="64" l="1"/>
  <c r="B22" i="12"/>
  <c r="B31" i="12"/>
  <c r="C54" i="64"/>
  <c r="C49" i="64" l="1"/>
  <c r="C57" i="64" s="1"/>
  <c r="J40" i="12" l="1"/>
  <c r="C48" i="11"/>
  <c r="C46" i="11" s="1"/>
  <c r="C53" i="11" s="1"/>
  <c r="D48" i="11" l="1"/>
  <c r="C20" i="10"/>
  <c r="C18" i="10" s="1"/>
  <c r="C35" i="12"/>
  <c r="D46" i="11"/>
  <c r="D53" i="11" s="1"/>
  <c r="C9" i="12" l="1"/>
  <c r="B46" i="11" l="1"/>
  <c r="B53" i="11" s="1"/>
  <c r="B18" i="10"/>
  <c r="B29" i="10" s="1"/>
  <c r="I149" i="63" l="1"/>
  <c r="G41" i="64"/>
  <c r="K149" i="63"/>
  <c r="L41" i="64" s="1"/>
  <c r="J41" i="64" l="1"/>
  <c r="K41" i="64"/>
  <c r="I143" i="63"/>
  <c r="K143" i="63"/>
  <c r="L40" i="64" s="1"/>
  <c r="G40" i="64"/>
  <c r="K40" i="64" s="1"/>
  <c r="J40" i="64" l="1"/>
  <c r="G33" i="64"/>
  <c r="K33" i="64" l="1"/>
  <c r="J33" i="64"/>
  <c r="H9" i="69" l="1"/>
  <c r="E39" i="12" l="1"/>
  <c r="E37" i="12" s="1"/>
  <c r="E35" i="12" s="1"/>
  <c r="E9" i="12" s="1"/>
  <c r="H52" i="69"/>
  <c r="M10" i="69"/>
  <c r="M9" i="69" s="1"/>
  <c r="M52" i="69" s="1"/>
  <c r="N10" i="69"/>
  <c r="F39" i="12"/>
  <c r="N9" i="69"/>
  <c r="N52" i="69" l="1"/>
  <c r="F20" i="10"/>
  <c r="J39" i="12"/>
  <c r="K39" i="12"/>
  <c r="I39" i="12"/>
  <c r="I37" i="12" l="1"/>
  <c r="F48" i="11"/>
  <c r="K37" i="12"/>
  <c r="J37" i="12"/>
  <c r="F35" i="12"/>
  <c r="I35" i="12" l="1"/>
  <c r="J35" i="12"/>
  <c r="K35" i="12"/>
  <c r="F18" i="10"/>
  <c r="E18" i="10"/>
  <c r="G48" i="11"/>
  <c r="F46" i="11"/>
  <c r="G46" i="11" l="1"/>
  <c r="H46" i="11"/>
  <c r="F55" i="63" l="1"/>
  <c r="K55" i="63" l="1"/>
  <c r="J55" i="63"/>
  <c r="G25" i="64"/>
  <c r="F16" i="12"/>
  <c r="F38" i="11"/>
  <c r="L21" i="64"/>
  <c r="I36" i="63"/>
  <c r="L25" i="64"/>
  <c r="I55" i="63"/>
  <c r="K25" i="64" l="1"/>
  <c r="J25" i="64"/>
  <c r="G38" i="11"/>
  <c r="K16" i="12"/>
  <c r="J16" i="12"/>
  <c r="I16" i="12"/>
  <c r="K21" i="64" l="1"/>
  <c r="J21" i="64"/>
  <c r="G57" i="64"/>
  <c r="J57" i="64" l="1"/>
  <c r="K57" i="64"/>
  <c r="F197" i="63"/>
  <c r="K197" i="63" s="1"/>
  <c r="F37" i="11"/>
  <c r="F36" i="11" s="1"/>
  <c r="F15" i="12"/>
  <c r="J15" i="12" s="1"/>
  <c r="I9" i="63"/>
  <c r="K9" i="63"/>
  <c r="L9" i="64" s="1"/>
  <c r="I197" i="63" l="1"/>
  <c r="J197" i="63"/>
  <c r="F13" i="12"/>
  <c r="J13" i="12" s="1"/>
  <c r="F34" i="11"/>
  <c r="F53" i="11" s="1"/>
  <c r="H36" i="11"/>
  <c r="G37" i="11"/>
  <c r="I15" i="12"/>
  <c r="L57" i="64"/>
  <c r="K15" i="12"/>
  <c r="G36" i="11"/>
  <c r="I13" i="12" l="1"/>
  <c r="F9" i="12"/>
  <c r="K9" i="12" s="1"/>
  <c r="E12" i="10"/>
  <c r="F12" i="10" s="1"/>
  <c r="K13" i="12"/>
  <c r="H34" i="11"/>
  <c r="G34" i="11"/>
  <c r="G53" i="11" s="1"/>
  <c r="F55" i="11"/>
  <c r="I9" i="12" l="1"/>
  <c r="J9" i="12"/>
  <c r="J11" i="12"/>
  <c r="E10" i="10"/>
  <c r="K11" i="12"/>
  <c r="I11" i="12"/>
  <c r="E16" i="10" l="1"/>
  <c r="E29" i="10" s="1"/>
  <c r="F10" i="10"/>
  <c r="T55" i="63"/>
</calcChain>
</file>

<file path=xl/sharedStrings.xml><?xml version="1.0" encoding="utf-8"?>
<sst xmlns="http://schemas.openxmlformats.org/spreadsheetml/2006/main" count="1201" uniqueCount="598">
  <si>
    <t>DETALLE</t>
  </si>
  <si>
    <t>VARIACION</t>
  </si>
  <si>
    <t>ASIGNADO</t>
  </si>
  <si>
    <t>ACUMULADO</t>
  </si>
  <si>
    <t>ABSOLUTA</t>
  </si>
  <si>
    <t>RELATIVA</t>
  </si>
  <si>
    <t xml:space="preserve"> </t>
  </si>
  <si>
    <t xml:space="preserve">            T  O  T   A   L...</t>
  </si>
  <si>
    <t xml:space="preserve"> I  Ingresos Corrientes</t>
  </si>
  <si>
    <t xml:space="preserve"> II  Ingreso de Capital</t>
  </si>
  <si>
    <t>MODIFICADO</t>
  </si>
  <si>
    <t>EJECUTADO</t>
  </si>
  <si>
    <t>T   O   T   A   L</t>
  </si>
  <si>
    <t>INGRESOS PROPIOS</t>
  </si>
  <si>
    <t>APORTE ESTATAL</t>
  </si>
  <si>
    <t>A LA FECHA</t>
  </si>
  <si>
    <t>ANUAL</t>
  </si>
  <si>
    <t>INGRESOS</t>
  </si>
  <si>
    <t>GASTOS</t>
  </si>
  <si>
    <t>Resultados Presupuestarios</t>
  </si>
  <si>
    <t xml:space="preserve">PRESUPUESTO </t>
  </si>
  <si>
    <t>TOTAL</t>
  </si>
  <si>
    <t>FUNCIONAMIENTO</t>
  </si>
  <si>
    <t>INVERSIONES</t>
  </si>
  <si>
    <t>PRESUPUESTO</t>
  </si>
  <si>
    <t>DIRECCION Y ADMON  GENERAL</t>
  </si>
  <si>
    <t>INV.POSTGRADO Y EXTENSION</t>
  </si>
  <si>
    <t>RECAUDACION</t>
  </si>
  <si>
    <t>MENSUAL</t>
  </si>
  <si>
    <t xml:space="preserve">       Gobierno Central.</t>
  </si>
  <si>
    <t xml:space="preserve">  </t>
  </si>
  <si>
    <t xml:space="preserve">  CODIFICACION PRESUPUESTARIA</t>
  </si>
  <si>
    <t>ACUMULADA</t>
  </si>
  <si>
    <t xml:space="preserve"> 1.2.1.4.99</t>
  </si>
  <si>
    <t>TRANSFERENCIAS CORRIENTES</t>
  </si>
  <si>
    <t>1.2.3.1.07</t>
  </si>
  <si>
    <t>TRANSFERENCIAS DE CAPITAL</t>
  </si>
  <si>
    <t>2.3.2.1.07</t>
  </si>
  <si>
    <t xml:space="preserve">        Saldo Inicial en Caja y Banco</t>
  </si>
  <si>
    <t xml:space="preserve">        Transferencias de Capital</t>
  </si>
  <si>
    <t xml:space="preserve">   A. Ingresos Tributarios</t>
  </si>
  <si>
    <t xml:space="preserve">   B. Ingresos No Tributarios</t>
  </si>
  <si>
    <t xml:space="preserve">       1.Renta de Activos.</t>
  </si>
  <si>
    <t xml:space="preserve">       3. Tasas y Derechos</t>
  </si>
  <si>
    <t xml:space="preserve">       4. Ingresos Varios</t>
  </si>
  <si>
    <t xml:space="preserve">   D.   Menos S. Final en Caja</t>
  </si>
  <si>
    <t xml:space="preserve">      Total Final en Caja</t>
  </si>
  <si>
    <t xml:space="preserve">           Total de Gastos </t>
  </si>
  <si>
    <t xml:space="preserve">         P R E S U P U E S T O</t>
  </si>
  <si>
    <t>PAGADO ACUMULADO</t>
  </si>
  <si>
    <t xml:space="preserve">                T   O   T    A    L</t>
  </si>
  <si>
    <t xml:space="preserve">          I.  Servicios Personales</t>
  </si>
  <si>
    <t xml:space="preserve">          3.  Materiales y Suministro</t>
  </si>
  <si>
    <t xml:space="preserve">               a. Gobierno Central</t>
  </si>
  <si>
    <t xml:space="preserve">               d. Municipios</t>
  </si>
  <si>
    <t xml:space="preserve">          1. Al sector privado.</t>
  </si>
  <si>
    <t xml:space="preserve">          1. Interna.</t>
  </si>
  <si>
    <t xml:space="preserve">          2. Externa.</t>
  </si>
  <si>
    <t>LEY</t>
  </si>
  <si>
    <t>AJUSTE</t>
  </si>
  <si>
    <t>0</t>
  </si>
  <si>
    <t>SERVICIOS PERSONALES</t>
  </si>
  <si>
    <t>000</t>
  </si>
  <si>
    <t>SUELDOS FIJOS</t>
  </si>
  <si>
    <t>001</t>
  </si>
  <si>
    <t>002</t>
  </si>
  <si>
    <t>SUELDO PERSONAL TRANS.</t>
  </si>
  <si>
    <t>003</t>
  </si>
  <si>
    <t>CONTINGENTE</t>
  </si>
  <si>
    <t>010</t>
  </si>
  <si>
    <t xml:space="preserve">SOBRESUELDOS </t>
  </si>
  <si>
    <t>030</t>
  </si>
  <si>
    <t>GASTOS DE REPRES.</t>
  </si>
  <si>
    <t>050</t>
  </si>
  <si>
    <t>XIII MES</t>
  </si>
  <si>
    <t>070</t>
  </si>
  <si>
    <t>CONTRIBUC. A LA S.S.</t>
  </si>
  <si>
    <t>080</t>
  </si>
  <si>
    <t>OTROS SERV. PERSONALES</t>
  </si>
  <si>
    <t>090</t>
  </si>
  <si>
    <t>CR.REC.POR S. PERSONAL</t>
  </si>
  <si>
    <t>1</t>
  </si>
  <si>
    <t>SERV. NO PERSONALES</t>
  </si>
  <si>
    <t>ALQUILERES</t>
  </si>
  <si>
    <t>EQUIPO DE OFICINA</t>
  </si>
  <si>
    <t>110</t>
  </si>
  <si>
    <t>SERVICIOS BASICOS</t>
  </si>
  <si>
    <t>120</t>
  </si>
  <si>
    <t>IMPRESOS Y ENCUADER.</t>
  </si>
  <si>
    <t>130</t>
  </si>
  <si>
    <t>INF.Y PUBLICIDAD</t>
  </si>
  <si>
    <t>140</t>
  </si>
  <si>
    <t>VIATICOS</t>
  </si>
  <si>
    <t>A PERSONAS</t>
  </si>
  <si>
    <t>150</t>
  </si>
  <si>
    <t>TRANSPORTE</t>
  </si>
  <si>
    <t>160</t>
  </si>
  <si>
    <t>S. COMERCIALES</t>
  </si>
  <si>
    <t>180</t>
  </si>
  <si>
    <t>MANTO Y REPARACION</t>
  </si>
  <si>
    <t>CR.REC.POR S. NO PERS.</t>
  </si>
  <si>
    <t>2</t>
  </si>
  <si>
    <t>MATER.Y SUMINISTROS</t>
  </si>
  <si>
    <t>200</t>
  </si>
  <si>
    <t>ALIMENTOS Y BEBIDAS</t>
  </si>
  <si>
    <t>210</t>
  </si>
  <si>
    <t>TEXTILES Y VESTUARIOS</t>
  </si>
  <si>
    <t>220</t>
  </si>
  <si>
    <t>COMBUSTIBLES Y LUB.</t>
  </si>
  <si>
    <t>230</t>
  </si>
  <si>
    <t>PROD. DE PAPEL</t>
  </si>
  <si>
    <t>240</t>
  </si>
  <si>
    <t>OTROS PROD. QUIMICOS</t>
  </si>
  <si>
    <t>250</t>
  </si>
  <si>
    <t>MAT. DE CONSTRUCCION</t>
  </si>
  <si>
    <t>260</t>
  </si>
  <si>
    <t>PRODUCTOS VARIOS</t>
  </si>
  <si>
    <t>270</t>
  </si>
  <si>
    <t>UTILES DE M. DIVERSOS</t>
  </si>
  <si>
    <t>280</t>
  </si>
  <si>
    <t>REPUESTOS</t>
  </si>
  <si>
    <t>CR.REC.POR MAT. Y SUM.</t>
  </si>
  <si>
    <t>3</t>
  </si>
  <si>
    <t>MAQUINARIA Y EQUIPO</t>
  </si>
  <si>
    <t>MAQ.Y EQ. DE PRODUCCION</t>
  </si>
  <si>
    <t>EQUIPO DE LABORATORIO</t>
  </si>
  <si>
    <t>MOBILIARIO DE OFICINA</t>
  </si>
  <si>
    <t>MAQ. Y EQUIPOS VARIOS</t>
  </si>
  <si>
    <t>EQUIPO DE COMPUTACION</t>
  </si>
  <si>
    <t>INV. FINANCIERAS</t>
  </si>
  <si>
    <t>COMPRA DE EXISTENCIA</t>
  </si>
  <si>
    <t>CR. REC. INVERSIONES FIN.</t>
  </si>
  <si>
    <t>6</t>
  </si>
  <si>
    <t>600</t>
  </si>
  <si>
    <t>610</t>
  </si>
  <si>
    <t>BECAS DE ESTUDIO</t>
  </si>
  <si>
    <t>660</t>
  </si>
  <si>
    <t>TRANSF. AL EXTERIOR</t>
  </si>
  <si>
    <t>TOTAL FUNCIONAMIENTO</t>
  </si>
  <si>
    <t>P</t>
  </si>
  <si>
    <t xml:space="preserve">       T   O  T   A     L</t>
  </si>
  <si>
    <t>DIRECCION SUPERIOR</t>
  </si>
  <si>
    <t>PLANIFICACION UNIVERSITARIA</t>
  </si>
  <si>
    <t>ADMINISTRACION GENERAL</t>
  </si>
  <si>
    <t>SECRETARIA GENERAL</t>
  </si>
  <si>
    <t>ADMON DE LA EDUC.SUPERIOR</t>
  </si>
  <si>
    <t>DOCENCIA CENTRAL</t>
  </si>
  <si>
    <t>DOCENCIA REGIONAL</t>
  </si>
  <si>
    <t xml:space="preserve">     </t>
  </si>
  <si>
    <t>CONSULTORIAS Y SERV</t>
  </si>
  <si>
    <t>004</t>
  </si>
  <si>
    <t>PERSONAL TRANSITORIO</t>
  </si>
  <si>
    <t>CONSTRUCCIONES POR CONTRATO</t>
  </si>
  <si>
    <t>EDIFICACIONES</t>
  </si>
  <si>
    <t>TOTAL INVERSION</t>
  </si>
  <si>
    <t>PAGADO</t>
  </si>
  <si>
    <t>BECAS DE ESTUDIOS</t>
  </si>
  <si>
    <t>EQUIIPO MEDICO, LABORATORIOS</t>
  </si>
  <si>
    <t>CONTRIBUCIÓN SEG. SOCIAL</t>
  </si>
  <si>
    <t xml:space="preserve">SALDO </t>
  </si>
  <si>
    <t>TRANSFERENCIAS CORR.</t>
  </si>
  <si>
    <t>PORCENTUAL</t>
  </si>
  <si>
    <t xml:space="preserve">   B. Transf. de Capital</t>
  </si>
  <si>
    <t>ABOLUTA</t>
  </si>
  <si>
    <t>O/G</t>
  </si>
  <si>
    <t>CTA.</t>
  </si>
  <si>
    <t>UNIVERSIDAD TECNOLÓGICA DE PANAMÁ</t>
  </si>
  <si>
    <t>DIRECCIÓN NACIONAL DE PRESUPUESTO</t>
  </si>
  <si>
    <t xml:space="preserve">CUADRO A-6A. EJECUCION PRESUPUESTARIA  DE FUNCIONAMIENTO </t>
  </si>
  <si>
    <t>CRÉDITO REC.  MATER.Y SUMIN.</t>
  </si>
  <si>
    <t xml:space="preserve">MATERIALES DE CONSTRUCCION </t>
  </si>
  <si>
    <t>MAQUINARIA Y EQ.  TRANSPORTE</t>
  </si>
  <si>
    <t>CRÉDITO REC. DE MAQ.Y EQUIPO</t>
  </si>
  <si>
    <t>TRANSF.CORRIENTES  INSTITUC.</t>
  </si>
  <si>
    <t>CRED. REC. POR TRANSF.</t>
  </si>
  <si>
    <t>PENSIÓN Y JUBILACIONES</t>
  </si>
  <si>
    <t>CONSULTORÍA</t>
  </si>
  <si>
    <t>CR.REC.  SERV. NO PERSONALES</t>
  </si>
  <si>
    <t xml:space="preserve">       2. Transf. Corrientes</t>
  </si>
  <si>
    <t xml:space="preserve">          2.  Serv. No Personales</t>
  </si>
  <si>
    <t xml:space="preserve">               b. Ent. Descentral.</t>
  </si>
  <si>
    <t xml:space="preserve">               c. Empresas Pùblicas</t>
  </si>
  <si>
    <t xml:space="preserve">          I. Obras y Construcciones</t>
  </si>
  <si>
    <t xml:space="preserve">          I. Conces. de Prèstamos</t>
  </si>
  <si>
    <t xml:space="preserve">          2. Adquisiciòn de Valores</t>
  </si>
  <si>
    <t xml:space="preserve">          3. Compra de Existencia</t>
  </si>
  <si>
    <t xml:space="preserve">          4. Adquis. de Inmuebles</t>
  </si>
  <si>
    <t xml:space="preserve">          5. Otras. (Proy. Peles)</t>
  </si>
  <si>
    <t xml:space="preserve">          2. Al sector Público.</t>
  </si>
  <si>
    <t xml:space="preserve">          2. Maquinaria y Equipo.</t>
  </si>
  <si>
    <t xml:space="preserve">          3. Investig. Y Transf. de Tec.</t>
  </si>
  <si>
    <t>CODIFICACIÓN</t>
  </si>
  <si>
    <t>1.95.1.2.1</t>
  </si>
  <si>
    <t>1.95.1.2</t>
  </si>
  <si>
    <t>1.95.1.2.1.4.99</t>
  </si>
  <si>
    <t>1.95.1.2.3</t>
  </si>
  <si>
    <t xml:space="preserve"> 1.95.1.2.3.1</t>
  </si>
  <si>
    <t>1.95.2.3.1.07</t>
  </si>
  <si>
    <t>1.95.1.2.4</t>
  </si>
  <si>
    <t>1.95.1.2.4.1.26</t>
  </si>
  <si>
    <t>1.95.1.2.4.1.99</t>
  </si>
  <si>
    <t>1.95.1.2.4.1.24</t>
  </si>
  <si>
    <t>1.95.1.2.6</t>
  </si>
  <si>
    <t>1.95.2</t>
  </si>
  <si>
    <t>1.95.2.3</t>
  </si>
  <si>
    <t>1.95.2.3.2</t>
  </si>
  <si>
    <t>1.95.2.3.2.1</t>
  </si>
  <si>
    <t>1.95.2.3.2.1.07</t>
  </si>
  <si>
    <t>1.95.2.4</t>
  </si>
  <si>
    <t>1.95.1</t>
  </si>
  <si>
    <t xml:space="preserve">    1.  No Tributarios</t>
  </si>
  <si>
    <t xml:space="preserve">            2.1. Disponible  Libre en Bco.</t>
  </si>
  <si>
    <t>1.95.1.2.1.4</t>
  </si>
  <si>
    <t>INFORMACIÓN Y PUBLICIDAD</t>
  </si>
  <si>
    <t>PRESUPUESTOS</t>
  </si>
  <si>
    <t xml:space="preserve">  EJECUCION DE INGRESOS SEGÚN OBJETO</t>
  </si>
  <si>
    <t xml:space="preserve">  FINANCIAMIENTO PRESUPUESTARIO DE INGRESOS Y GASTOS</t>
  </si>
  <si>
    <t xml:space="preserve">  FLUJO PRESUPUESTARIO DE INGRESOS Y GASTOS</t>
  </si>
  <si>
    <t xml:space="preserve"> EJECUCION PRESUPUESTARIA  DE FUNCIONAMIENTO </t>
  </si>
  <si>
    <t>Fuente: Dirección Nacional de Presupuesto.</t>
  </si>
  <si>
    <t>CRÉDITO REC. R CONSTRUCCIONES</t>
  </si>
  <si>
    <t xml:space="preserve">  BALANCE PRESUPUESTARIO ACUMULADO DE GASTO</t>
  </si>
  <si>
    <t xml:space="preserve">    1.3. Tasa y Derechos</t>
  </si>
  <si>
    <t xml:space="preserve">    1.4. Ingresos Varios</t>
  </si>
  <si>
    <r>
      <t xml:space="preserve">    </t>
    </r>
    <r>
      <rPr>
        <b/>
        <sz val="10.5"/>
        <rFont val="Arial"/>
        <family val="2"/>
      </rPr>
      <t xml:space="preserve">2. </t>
    </r>
    <r>
      <rPr>
        <sz val="10.5"/>
        <rFont val="Arial"/>
        <family val="2"/>
      </rPr>
      <t>Saldo en Caja y Banco</t>
    </r>
  </si>
  <si>
    <t xml:space="preserve">        Inversión Financiera</t>
  </si>
  <si>
    <t xml:space="preserve">       Gastos  de Operación ( 0-1-2-3-4-9 )</t>
  </si>
  <si>
    <t>I.  Ingresos Corrientes</t>
  </si>
  <si>
    <t xml:space="preserve">       Interés  de la Deuda ( 8 )</t>
  </si>
  <si>
    <t xml:space="preserve">       Transferencias Corrientes  (6)</t>
  </si>
  <si>
    <t xml:space="preserve">   C. Saldo en Caja Corriente</t>
  </si>
  <si>
    <t>II. Ingreso de Capital</t>
  </si>
  <si>
    <t xml:space="preserve">   A. Saldo Inicial en Caja y Bco.</t>
  </si>
  <si>
    <t xml:space="preserve">   B. Recursos del Crédito</t>
  </si>
  <si>
    <t xml:space="preserve">   C. Otros Rec. de Capital</t>
  </si>
  <si>
    <t xml:space="preserve">       1. Transf. de Capital</t>
  </si>
  <si>
    <t>I. Gastos Corrientes</t>
  </si>
  <si>
    <t xml:space="preserve">   A. Operaciòn</t>
  </si>
  <si>
    <t xml:space="preserve">       1.  Servicios Personales</t>
  </si>
  <si>
    <t xml:space="preserve">       2.  Serv. No Personales</t>
  </si>
  <si>
    <t xml:space="preserve">       3.  Materiales y Suministro</t>
  </si>
  <si>
    <t xml:space="preserve">       4.  Maquinaria y Equipo</t>
  </si>
  <si>
    <t xml:space="preserve">   B. Transf. Corrientes</t>
  </si>
  <si>
    <t xml:space="preserve">   C. Intereses de la Deuda</t>
  </si>
  <si>
    <t>II. Gastos de Capital</t>
  </si>
  <si>
    <t xml:space="preserve">   A.  Inversiones Fìsicas</t>
  </si>
  <si>
    <t xml:space="preserve">   B.  Inversiones Financieras</t>
  </si>
  <si>
    <t xml:space="preserve">   C.  Transf. de Capital</t>
  </si>
  <si>
    <t xml:space="preserve">   D.  Amortización de la Deuda</t>
  </si>
  <si>
    <t xml:space="preserve">          2.  Transferencia al Exterior</t>
  </si>
  <si>
    <t xml:space="preserve">              a. Gobierno Central</t>
  </si>
  <si>
    <t xml:space="preserve">              b. Entidades   Descent.ral. </t>
  </si>
  <si>
    <t>I  Gastos Corrientes</t>
  </si>
  <si>
    <t>II  Gastos DE CAPITAL</t>
  </si>
  <si>
    <t xml:space="preserve">     A. Operación</t>
  </si>
  <si>
    <t xml:space="preserve">     B. Transferencias</t>
  </si>
  <si>
    <t xml:space="preserve">     A.  Inversiones Físicas</t>
  </si>
  <si>
    <t xml:space="preserve">     B.  Inversiones Financieras</t>
  </si>
  <si>
    <t xml:space="preserve">     C.  Transferencia de Capital.</t>
  </si>
  <si>
    <t xml:space="preserve">  EJECUCION PRESUPUESTARIA DE FUNCIONAMIENTO SEGÚN ESTRUCTURA PROGRAMATICA  </t>
  </si>
  <si>
    <t>TRANSFERECIAS CORRIENTES</t>
  </si>
  <si>
    <t>P R E S U P U E S T O</t>
  </si>
  <si>
    <t>Ingresos Corrientes</t>
  </si>
  <si>
    <t>Ingresos de Capital</t>
  </si>
  <si>
    <t>EGRESOS</t>
  </si>
  <si>
    <t>Dirección y Administración General</t>
  </si>
  <si>
    <t>Educación Superior Tecnológica</t>
  </si>
  <si>
    <t>Investigación, Post Grado y Extensión</t>
  </si>
  <si>
    <t>Construcciones Educativas</t>
  </si>
  <si>
    <t>Mobiliario, Libros y Equipos Educ.</t>
  </si>
  <si>
    <t>Transferencia de Tecnología</t>
  </si>
  <si>
    <t>SALDO A LA FECHA</t>
  </si>
  <si>
    <t xml:space="preserve">    1.2.  Transferencias Corrientes</t>
  </si>
  <si>
    <t xml:space="preserve">    1. Otros Ingresos de Capital</t>
  </si>
  <si>
    <t xml:space="preserve">     2. Saldo en Caja y Banco</t>
  </si>
  <si>
    <t xml:space="preserve">            2.1.1 Disponible Libre en Bco.</t>
  </si>
  <si>
    <t xml:space="preserve">            2.1.1.1 Disponible Libre en Bco.</t>
  </si>
  <si>
    <t xml:space="preserve">            2.1.1.1.1 Saldo en Caja</t>
  </si>
  <si>
    <t xml:space="preserve">            1.1  Transferencias de Capital</t>
  </si>
  <si>
    <t xml:space="preserve">            1.1.1  Gobierno Central</t>
  </si>
  <si>
    <t xml:space="preserve">            1.1.1.1 Ministerio de Educación</t>
  </si>
  <si>
    <t xml:space="preserve">            3.3. Otros  -Biblioteca</t>
  </si>
  <si>
    <t xml:space="preserve"> 1.2.4.1.24</t>
  </si>
  <si>
    <t xml:space="preserve"> 1.2.4.1.99</t>
  </si>
  <si>
    <t xml:space="preserve"> 1.2.4.2.26</t>
  </si>
  <si>
    <t>EDUC. SUPERIOR TECNOLÓGICA</t>
  </si>
  <si>
    <t>UNIVERSIDAD TECNOLÓGICA DE PANAMA</t>
  </si>
  <si>
    <t xml:space="preserve">  VENTA DE SERVICIOS</t>
  </si>
  <si>
    <t xml:space="preserve">  OTROS SER. AUTOGESTION</t>
  </si>
  <si>
    <t xml:space="preserve">  MATRICULA-DERECHOS</t>
  </si>
  <si>
    <t xml:space="preserve">  OTROS - BIBLIOTECA</t>
  </si>
  <si>
    <t xml:space="preserve">  TASAS</t>
  </si>
  <si>
    <t xml:space="preserve">  INGRESOS VARIOS</t>
  </si>
  <si>
    <t xml:space="preserve">  SALDO EN CAJA  (CORRIENTE)</t>
  </si>
  <si>
    <t xml:space="preserve">  SALDO EN CAJA (CAPITAL)  </t>
  </si>
  <si>
    <t xml:space="preserve">  APORTE LIBRE</t>
  </si>
  <si>
    <t xml:space="preserve">  I.D.A.A.N.</t>
  </si>
  <si>
    <t xml:space="preserve">  CONTRIBUCION A LA S.S.</t>
  </si>
  <si>
    <t xml:space="preserve"> I.  Ingresos Corrientes</t>
  </si>
  <si>
    <t xml:space="preserve"> II. Gastos Corrientes</t>
  </si>
  <si>
    <t xml:space="preserve"> III. Ahorro  en Cta Corriente ( I-II )</t>
  </si>
  <si>
    <t xml:space="preserve"> IV. Gasto  de Capital</t>
  </si>
  <si>
    <t xml:space="preserve"> V. Ingresos de Capital ( 2 )</t>
  </si>
  <si>
    <t>0       SERVICIOS PERSONALES</t>
  </si>
  <si>
    <t xml:space="preserve"> 000   SUELDOS</t>
  </si>
  <si>
    <t xml:space="preserve">  001  SUELDOS FIJOS</t>
  </si>
  <si>
    <t xml:space="preserve">  002  SUELDO DE PERSONAL TRANSITORIO</t>
  </si>
  <si>
    <t xml:space="preserve">  003  SUELDO DE PERSONAL CONTINGENTE</t>
  </si>
  <si>
    <t xml:space="preserve"> 010   SOBRESUELDOS</t>
  </si>
  <si>
    <t xml:space="preserve">  011  SOBRESUELDOS POR ANTIGUEDAD</t>
  </si>
  <si>
    <t xml:space="preserve">  013  SOBRESUELDOS POR JEFATURAS</t>
  </si>
  <si>
    <t xml:space="preserve">  019  OTROS SOBRESUELDOS</t>
  </si>
  <si>
    <t xml:space="preserve"> 030   GASTOS DE REPRESENTACION FIJOS</t>
  </si>
  <si>
    <t xml:space="preserve">  030  GASTOS DE REPRESENTACION FIJOS</t>
  </si>
  <si>
    <t xml:space="preserve"> 050   DECIMOTERCER MES</t>
  </si>
  <si>
    <t xml:space="preserve">  050  DECIMOTERCER MES</t>
  </si>
  <si>
    <t xml:space="preserve"> 070   CONTRIBUCIONES A LA SEGURIDAD SOCIAL</t>
  </si>
  <si>
    <t xml:space="preserve">  071  CUOTA PATRONAL DEL SEGURO SOCIAL</t>
  </si>
  <si>
    <t xml:space="preserve">  072  CUOTA PATRONAL DE SEGURO EDUCATIVO</t>
  </si>
  <si>
    <t xml:space="preserve">  073  CUOTA PATRONAL DE RIESGOS PROFESIONALES</t>
  </si>
  <si>
    <t xml:space="preserve">  074  CUOTA PATRONAL FONDO COMPLEMENTARIO</t>
  </si>
  <si>
    <t xml:space="preserve"> 080   OTROS SERVICIOS PERSONALES</t>
  </si>
  <si>
    <t xml:space="preserve">  081  GRATIFICACIÒN O AGUINALDO</t>
  </si>
  <si>
    <t xml:space="preserve"> 090   CRED. REC. POR SERVICIOS PERSONALES</t>
  </si>
  <si>
    <t xml:space="preserve">  091  CRED. REC. POR SUELDOS</t>
  </si>
  <si>
    <t xml:space="preserve">  092  CRED. REC. POR SOBRESUELDOS</t>
  </si>
  <si>
    <t xml:space="preserve">  096  CRED. REC. POR DECIMOTERCER MES</t>
  </si>
  <si>
    <t xml:space="preserve">  098  CRED. REC. POR OTROS SERVICIOS ESPECIALES</t>
  </si>
  <si>
    <t>1       SERVICIOS NO PERSONALES</t>
  </si>
  <si>
    <t xml:space="preserve"> 100   ALQUILERES</t>
  </si>
  <si>
    <t xml:space="preserve">  101  ALQUILER DE EDIFICIOS Y LOCALES</t>
  </si>
  <si>
    <t xml:space="preserve">  102  ALQUILER DE EQUIPO ELECTRONICO</t>
  </si>
  <si>
    <t xml:space="preserve">  103  ALQUILER DE EQUIPO DE OFICINA</t>
  </si>
  <si>
    <t xml:space="preserve">  109  OTROS ALQUILERES</t>
  </si>
  <si>
    <t xml:space="preserve"> 110   SERVICIOS BASICOS</t>
  </si>
  <si>
    <t xml:space="preserve">  111  AGUA</t>
  </si>
  <si>
    <t xml:space="preserve">  112  ASEO</t>
  </si>
  <si>
    <t xml:space="preserve">  113  CORREO</t>
  </si>
  <si>
    <t xml:space="preserve">  114  ENERGIA ELECTRICA</t>
  </si>
  <si>
    <t xml:space="preserve">  115  TELECOMUNICACIONES</t>
  </si>
  <si>
    <t xml:space="preserve">  116  SERVICIOS DE TRANSMISION DE DATOS</t>
  </si>
  <si>
    <t xml:space="preserve">  117  SERVICIO DE TELEFONÌA CELULAR</t>
  </si>
  <si>
    <t xml:space="preserve">  119  OTROS SERVICIOS BASICOS</t>
  </si>
  <si>
    <t xml:space="preserve"> 120   IMPRESION, ENCUADERNACION Y OTROS</t>
  </si>
  <si>
    <t xml:space="preserve">  120  IMPRESION, ENCUADERNACION Y OTROS</t>
  </si>
  <si>
    <t xml:space="preserve"> 130   INFORMACION Y PUBLICIDAD</t>
  </si>
  <si>
    <t xml:space="preserve">  131  ANUNCIOS Y AVISOS</t>
  </si>
  <si>
    <t xml:space="preserve">  132  PROMOCION Y PUBLICIDAD</t>
  </si>
  <si>
    <t xml:space="preserve"> 140   VIATICOS</t>
  </si>
  <si>
    <t xml:space="preserve">  141  VIATICOS DENTRO DEL PAIS</t>
  </si>
  <si>
    <t xml:space="preserve">  142  VIATICOS EN EL EXTERIOR</t>
  </si>
  <si>
    <t xml:space="preserve">  143  VIATICOS A OTRAS PERSONAS</t>
  </si>
  <si>
    <t xml:space="preserve"> 150   TRANSPORTE DE PERSONAS Y BIENES</t>
  </si>
  <si>
    <t xml:space="preserve">  153  TRANS. DE OTRAS PERSONAS</t>
  </si>
  <si>
    <t xml:space="preserve">  154  TRANSPORTE DE BIENES</t>
  </si>
  <si>
    <t xml:space="preserve"> 160   SERVICIOS COMERCIALES Y FINANCIEROS</t>
  </si>
  <si>
    <t xml:space="preserve">  162  COMISIONES Y GASTOS BANCARIOS</t>
  </si>
  <si>
    <t xml:space="preserve">  164  GASTOS DE SEGUROS</t>
  </si>
  <si>
    <t xml:space="preserve">  165  SERVICIOS COMERCIALES</t>
  </si>
  <si>
    <t xml:space="preserve">  169  OTROS SERVICIOS COMERCIALES Y FINANCIEROS</t>
  </si>
  <si>
    <t xml:space="preserve"> 170   CONSULTORIAS Y SERVICIOS ESPECIALES</t>
  </si>
  <si>
    <t xml:space="preserve">  172  SERVICIOS ESPECIALES</t>
  </si>
  <si>
    <t xml:space="preserve"> 180   MANTENIMIENTO Y REPARACION</t>
  </si>
  <si>
    <t xml:space="preserve">  185  MANTENIMIENTO DE EQUIPO DE COMPUTACION</t>
  </si>
  <si>
    <t xml:space="preserve">  189  OTROS MANTENIMIENTOS Y REPARACIONES</t>
  </si>
  <si>
    <t xml:space="preserve"> 190   CRED. REC. POR SERVICIOS NO PERSONALES</t>
  </si>
  <si>
    <t xml:space="preserve">  191  CRED. REC. POR ALQUILERES</t>
  </si>
  <si>
    <t xml:space="preserve">  192  CRED. REC. POR SERVICIOS BASICOS</t>
  </si>
  <si>
    <t xml:space="preserve">  195  CRED. REC. POR VIATICOS</t>
  </si>
  <si>
    <t xml:space="preserve">  198  CRED. REC. POR CONSULTORIAS</t>
  </si>
  <si>
    <t xml:space="preserve">  199  CRED. REC. POR MANTENIMIENTO Y REPARACION</t>
  </si>
  <si>
    <t>2       MATERIALES Y SUMINISTROS</t>
  </si>
  <si>
    <t xml:space="preserve"> 200   ALIMENTOS Y BEBIDAS</t>
  </si>
  <si>
    <t xml:space="preserve">  201  ALIMENTOS PARA CONSUMO HUMANO</t>
  </si>
  <si>
    <t xml:space="preserve">  203  BEBIDAS</t>
  </si>
  <si>
    <t xml:space="preserve"> 210   TEXTILES Y VESTUARIO</t>
  </si>
  <si>
    <t xml:space="preserve">  211  ACABADO TEXTIL</t>
  </si>
  <si>
    <t xml:space="preserve">  212  CALZADOS</t>
  </si>
  <si>
    <t xml:space="preserve">  213  HILADOS Y TELAS</t>
  </si>
  <si>
    <t xml:space="preserve">  214  PRENDAS DE VESTIR</t>
  </si>
  <si>
    <t xml:space="preserve">  219  OTROS TEXTILES Y VESTUARIOS</t>
  </si>
  <si>
    <t xml:space="preserve"> 220   COMBUSTIBLES Y LUBRICANTES</t>
  </si>
  <si>
    <t xml:space="preserve">  221  DIESEL</t>
  </si>
  <si>
    <t xml:space="preserve">  222  GAS</t>
  </si>
  <si>
    <t xml:space="preserve">  223  GASOLINA</t>
  </si>
  <si>
    <t xml:space="preserve">  224  LUBRICANTES</t>
  </si>
  <si>
    <t xml:space="preserve">  229  OTROS COMBUSTIBLES</t>
  </si>
  <si>
    <t xml:space="preserve"> 230   PRODUCTOS DE PAPEL Y CARTON</t>
  </si>
  <si>
    <t xml:space="preserve">  231  IMPRESOS</t>
  </si>
  <si>
    <t xml:space="preserve">  232  PAPELERIA</t>
  </si>
  <si>
    <t xml:space="preserve">  239  OTROS PRODUCTOS DE PAPEL Y CARTON</t>
  </si>
  <si>
    <t xml:space="preserve"> 240   PRODUCTOS QUIMICOS Y CONEXOS</t>
  </si>
  <si>
    <t xml:space="preserve">  241  ABONOS Y FERTILIZANTES</t>
  </si>
  <si>
    <t xml:space="preserve">  242  INSECTICIDAS, FUMIGANTES Y OTROS</t>
  </si>
  <si>
    <t xml:space="preserve">  243  PINTURAS, COLORANTES Y TINTES</t>
  </si>
  <si>
    <t xml:space="preserve">  244  PRODUCTOS MEDICINALES Y FARMACEUTICOS</t>
  </si>
  <si>
    <t xml:space="preserve">  249  OTROS PRODUCTOS QUIMICOS</t>
  </si>
  <si>
    <t xml:space="preserve">  252  CEMENTO</t>
  </si>
  <si>
    <t xml:space="preserve">  253  MADERAS</t>
  </si>
  <si>
    <t xml:space="preserve">  254  MATERIAL DE PLOMERIA</t>
  </si>
  <si>
    <t xml:space="preserve">  255  MATERIAL ELECTRICO</t>
  </si>
  <si>
    <t xml:space="preserve">  256  MATERIAL METALICO</t>
  </si>
  <si>
    <t xml:space="preserve">  257  PIEDRA Y ARENA</t>
  </si>
  <si>
    <t xml:space="preserve">  259  OTROS MATERIALES</t>
  </si>
  <si>
    <t xml:space="preserve"> 260   PRODUCTOS VARIOS</t>
  </si>
  <si>
    <t xml:space="preserve">  261  ARTICULOS PARA RECEPCION</t>
  </si>
  <si>
    <t xml:space="preserve">  262  HERRAMIENTAS E INSTRUMENTOS</t>
  </si>
  <si>
    <t xml:space="preserve">  263  MATERIALES Y EQUIPO DE SEGURIDAD PUBLICA</t>
  </si>
  <si>
    <t xml:space="preserve">  265  MATERIALES Y SUMINISTROS DE COMPUTACION</t>
  </si>
  <si>
    <t xml:space="preserve">  269  OTROS PRODUCTOS VARIOS</t>
  </si>
  <si>
    <t xml:space="preserve"> 270   UTILES Y MATERIALES DIVERSOS</t>
  </si>
  <si>
    <t xml:space="preserve">  271  UTILES DE COCINA Y COMEDOR</t>
  </si>
  <si>
    <t xml:space="preserve">  272  UTILES DEPORTIVOS Y RECREATIVOS</t>
  </si>
  <si>
    <t xml:space="preserve">  273  UTILES DE ASEO Y LIMPIEZA</t>
  </si>
  <si>
    <t xml:space="preserve">  274  UTILES DE LABORATORIO</t>
  </si>
  <si>
    <t xml:space="preserve">  275  UTILES Y MATERIALES DE OFICINA</t>
  </si>
  <si>
    <t xml:space="preserve">  277  INSTRUMENTOS MEDICOS Y QUIRURGICOS</t>
  </si>
  <si>
    <t xml:space="preserve">  278  ARTICULOS DE PROTESIS Y REHABILITACION</t>
  </si>
  <si>
    <t xml:space="preserve">  279  OTROS UTILES Y MATERIALES</t>
  </si>
  <si>
    <t xml:space="preserve"> 280   REPUESTOS</t>
  </si>
  <si>
    <t xml:space="preserve">  280  REPUESTOS</t>
  </si>
  <si>
    <t xml:space="preserve"> 290   CRED. REC. POR MATERIALES Y SUMINISTROS</t>
  </si>
  <si>
    <t xml:space="preserve">  291  CRED. REC. POR ALIMENTOS Y BEBIDAS</t>
  </si>
  <si>
    <t xml:space="preserve">  292  CRED. REC. POR TEXTILES Y VESTUARIOS</t>
  </si>
  <si>
    <t xml:space="preserve">  293  CRED. REC. POR COMBUSTIBLES Y LUBRICANTES</t>
  </si>
  <si>
    <t xml:space="preserve">  297  CRED. REC. POR PRODUCTOS VARIOS</t>
  </si>
  <si>
    <t xml:space="preserve">  298  CRED. REC. POR UTILES Y MATERIALES DIVERSOS</t>
  </si>
  <si>
    <t xml:space="preserve">  299  CRED. REC. POR REPUESTOS</t>
  </si>
  <si>
    <t>4       INVERSION FINANCIERA</t>
  </si>
  <si>
    <t xml:space="preserve"> 430   COMPRA DE EXISTENCIAS</t>
  </si>
  <si>
    <t xml:space="preserve">  439  OTRAS EXISTENCIAS</t>
  </si>
  <si>
    <t xml:space="preserve"> 490   CRED. REC. POR INVERSIONES FINANCIERAS</t>
  </si>
  <si>
    <t xml:space="preserve">  494  CRED. REC. POR COMPRA DE EXISTENCIAS</t>
  </si>
  <si>
    <t>6       TRANSFERENCIAS CORRIENTES</t>
  </si>
  <si>
    <t xml:space="preserve"> 600   PENSIONES Y JUBILACIONES</t>
  </si>
  <si>
    <t xml:space="preserve">  609  OTRAS PENSIONES Y JUBILACIONES</t>
  </si>
  <si>
    <t xml:space="preserve"> 610   TRANSFERENCIAS CORRIENTES A PERSONAS</t>
  </si>
  <si>
    <t xml:space="preserve">  611  DONATIVOS A PERSONAS</t>
  </si>
  <si>
    <t xml:space="preserve">  612  INDEMNIZACIONES LABORALES</t>
  </si>
  <si>
    <t xml:space="preserve">  614  BONIFICACION POR ANTIGUEDAD</t>
  </si>
  <si>
    <t xml:space="preserve">  619  OTRAS TRANSFERENCIAS</t>
  </si>
  <si>
    <t xml:space="preserve"> 620   BECAS DE ESTUDIOS</t>
  </si>
  <si>
    <t xml:space="preserve"> 660   TRANSFERENCIAS AL EXTERIOR</t>
  </si>
  <si>
    <t xml:space="preserve">  662  CUOTAS A ORGANISMOS CENTROAMERICANOS</t>
  </si>
  <si>
    <t xml:space="preserve">  663  CUOTAS A ORGANISMOS INTERAMERICANOS</t>
  </si>
  <si>
    <t xml:space="preserve">  664  CUOTAS A ORGANISMOS MUNDIALES</t>
  </si>
  <si>
    <t xml:space="preserve">  693  CRED. REC. POR BECAS DE ESTUDIO</t>
  </si>
  <si>
    <t xml:space="preserve">  697  CRED. REC. POR TRANSFERENCIAS AL EXTERIOR</t>
  </si>
  <si>
    <t>COMBUSTIBLE Y LUBRICANTE</t>
  </si>
  <si>
    <t xml:space="preserve">   BALANCE PRESUPUESTARIO ACUMULADO DE INGRESOS</t>
  </si>
  <si>
    <t>RECAUDACIÓN</t>
  </si>
  <si>
    <t xml:space="preserve"> 250   MATERIALES PARA CONSTRUCCION Y MANTO.</t>
  </si>
  <si>
    <t xml:space="preserve">  152  TRANS. DE PERSONAS PARA EL EXTERIOR</t>
  </si>
  <si>
    <t xml:space="preserve">  183  MANT. Y REPARACION DE MOB.Y EQ. DE OFICINA</t>
  </si>
  <si>
    <t xml:space="preserve">  196  CRED. REC. POR TRANSPORTE DE PERSONAS </t>
  </si>
  <si>
    <t>TRANSPORTE DE PERSONAS</t>
  </si>
  <si>
    <t xml:space="preserve">  099  CRED. REC. POR CONTRIB. A LA SEG. SOCIAL</t>
  </si>
  <si>
    <t xml:space="preserve">  094  CRED. REC. POR GASTOS DE REPRES. FIJOS</t>
  </si>
  <si>
    <t xml:space="preserve">  151  TRANS. DE PERSONAS Y BIENES DENTRO  PAIS</t>
  </si>
  <si>
    <t xml:space="preserve">  182  MANT. Y REPARACION DE MAQUINARIA, OTROS EQ.</t>
  </si>
  <si>
    <t xml:space="preserve">  197  CRED. REC. POR SERVICIOS COMERC Y FINANC.</t>
  </si>
  <si>
    <t xml:space="preserve">  294  CRED. REC. POR PRODUCTOS PAPEL Y CARTON</t>
  </si>
  <si>
    <t xml:space="preserve">  295  CRED. REC. PRODUCTOS QUIMICOS CONEXOS</t>
  </si>
  <si>
    <t xml:space="preserve">  296  CRED. REC. POR MATERIALES CONSTRUCCION</t>
  </si>
  <si>
    <t xml:space="preserve"> 690   CRED. REC. POR TRANSF. CORRIENTES</t>
  </si>
  <si>
    <t xml:space="preserve">  104  ALQUILER DE EQUIPO DE PRODUCCIÓN</t>
  </si>
  <si>
    <t xml:space="preserve">  105  ALQUILER DE EQUIPO DE TRANSPORTE</t>
  </si>
  <si>
    <t xml:space="preserve">  163    GASTOS JUDICIALES</t>
  </si>
  <si>
    <t xml:space="preserve">  171    CONSULTORÍAS</t>
  </si>
  <si>
    <t xml:space="preserve">  181  MANT. Y REPARACION DE EDIFICIOS</t>
  </si>
  <si>
    <t xml:space="preserve">  184  MANT. Y REPARACION DE OBRAS</t>
  </si>
  <si>
    <t xml:space="preserve"> 622   BECAS UNIVERSITARIAS</t>
  </si>
  <si>
    <t xml:space="preserve"> 624   ADIESTRAMIENTO Y ESTUDIOS</t>
  </si>
  <si>
    <t xml:space="preserve"> 629   OTRAS BECAS</t>
  </si>
  <si>
    <t xml:space="preserve"> 640   TRANSFERENCIAS CORR. A  INSTIT. PÚBLICAS</t>
  </si>
  <si>
    <t xml:space="preserve">          4.  Inversiones Directas</t>
  </si>
  <si>
    <t>LEY                  1</t>
  </si>
  <si>
    <t>}</t>
  </si>
  <si>
    <t>DECIMOTERCER MES</t>
  </si>
  <si>
    <t>IMPRESIÓN,ENCUADERNACIÓN Y OTROS</t>
  </si>
  <si>
    <t>PRODUCTOS DE PAPEL Y CARTÓN</t>
  </si>
  <si>
    <t xml:space="preserve">        Inversiòn Física  </t>
  </si>
  <si>
    <t xml:space="preserve">        Recursos del Crédito</t>
  </si>
  <si>
    <t xml:space="preserve"> VI. Resultado Presupuestario (III -IV + V)</t>
  </si>
  <si>
    <t xml:space="preserve">       5.  Inversiones Financieras</t>
  </si>
  <si>
    <t xml:space="preserve">MODIFICADO             2       </t>
  </si>
  <si>
    <t xml:space="preserve"> 641   TRANSFERENCIAS CORR. A  GNO. CENTRAL</t>
  </si>
  <si>
    <t>SERVICIOS COMERCIALES</t>
  </si>
  <si>
    <t xml:space="preserve">              c. Empresas Públicas</t>
  </si>
  <si>
    <t xml:space="preserve">  194  CRED. REC. POR INFORMACIÓN Y PUBLICIDAD</t>
  </si>
  <si>
    <t xml:space="preserve">  193  CRED. REC. POR IMPRESIÓN,ENCUADERNACIÓN </t>
  </si>
  <si>
    <t xml:space="preserve">  669  OTRAS TRANSFERENCIAS AL EXTERIOR</t>
  </si>
  <si>
    <t xml:space="preserve">MENSUAL            </t>
  </si>
  <si>
    <t>DEVENGADO</t>
  </si>
  <si>
    <t>INSTALACIONES LÍNEAS ELÉCTRICAS</t>
  </si>
  <si>
    <t xml:space="preserve">EJECUCIÓN PRESUPUESTARIA DE INVERSIONES </t>
  </si>
  <si>
    <t>PROGRAMAS-PROYECTOS</t>
  </si>
  <si>
    <t>PROGRAMA DE CONSTRUCCIONES</t>
  </si>
  <si>
    <t>CONSTRUCCION II FASE DEL PROYECTO DEL CAMPUS CENTRAL</t>
  </si>
  <si>
    <t>FORTALECIMIENTO  DE LA CIENCIA, TECNOLOGIA E INNOVACIÓN</t>
  </si>
  <si>
    <t>MANTENIMIENTO PREVENTIVO Y CORRECTIVO DE LA INFRAESTRUCTURA FISICA Y PATRIMONIAL DE LA UTP A NIVEL NACIONAL.</t>
  </si>
  <si>
    <t>MANTENIMIENTO DEL TECHO DEL EDIFICIO DEL TALLER METAL MECÁNICA EN COCLÉ</t>
  </si>
  <si>
    <t>REPOSICIÓN DE TECHO DE LOS EDIFICIOS DE AULAS ADM EN COCLÉ</t>
  </si>
  <si>
    <t>CONSTRUCCIÓN DE AULAS DE PANAMA OESTE</t>
  </si>
  <si>
    <t>CONST. DE EDIF.DE FACILIDADES ESTUDIANTILES Y CAFETERÍA EN COLÓN</t>
  </si>
  <si>
    <t>REPARACIÓN D EDIFICIO 70 Y DEL TALLER METAL MECÁNICA DE COLÓN</t>
  </si>
  <si>
    <t>FORTALECIMIENTO DE LA SEDE REGIONAL</t>
  </si>
  <si>
    <t>PROGRAMA DE MOBILIARIO</t>
  </si>
  <si>
    <t>IMPLEMENTACIÓN DE BASE DE DATOS BIBLIOGRÁFICOS Y COLECCIONES</t>
  </si>
  <si>
    <t>MEJORAMIENTO LABORATORIOS FACULTADES Y CENTROS REGIONALES</t>
  </si>
  <si>
    <t>EQUIP. DE LOS LAB. DE COMPUTO DE LA FAC. ING. SISTEMAS DEL C.REG. AZUERO</t>
  </si>
  <si>
    <t>EQUIP DE LABORATORIO DE SUELOS Y ENSAYOS DE MATERIALES DEL C.REG DE AZUERO</t>
  </si>
  <si>
    <t>MEJORAMIENTO DE LA INFRAESTRUCTURA TECNOLÓGICA DE LA UTP</t>
  </si>
  <si>
    <t>IMPLEMENTACION DE LA MOVILIDAD ELÉCTRICA</t>
  </si>
  <si>
    <t>MEJORAMIENTO DEL LABORATORIO DE LA FAC. DE ING. MECANICA</t>
  </si>
  <si>
    <t>MEJORAMIENTO DEL CENTRO DE DATOS DE LA UTP</t>
  </si>
  <si>
    <t>EQUIP. DEL NÚCLEO DE SERVICIOS ESPECIALIZADOS Y TRANSFERENCIAS EN CIENCIAS TECNOLOGÍA DEL C. REG. DE VERAGUAS</t>
  </si>
  <si>
    <t>EQUIP. DEL LABORATORIO DE SUELOS Y MATERIALES DEL C. REG. DE COCLÉ</t>
  </si>
  <si>
    <t>FORTALECIMIENTO DEL SISTEMA ELÉCTRICO DEL C. REG. DE COCLÉ</t>
  </si>
  <si>
    <t>EQUIP. DEL LABORATORIO ACADÉMICO DEL C. REG. DE BOCAS DEL TORO</t>
  </si>
  <si>
    <t>HABILITACIÓN DEL LABORATORIO DE ANÁLISIS INDUSTRIALES Y CIENCIAS AMBIENTALES</t>
  </si>
  <si>
    <t>HABILITACIÓN DE LABORATORIOS DE DOCENCIA PARA EL CITT</t>
  </si>
  <si>
    <t>DESARROLLO DE LA PLATAFORMA E-VIRTUAL DE PROGRAMA DE POST GRADO</t>
  </si>
  <si>
    <t>HABILITACIÓN DEL LABORATORIO DE ENSAYO DE EFICIENCIA ENERGÉTICA PARA CERTIFICACIÓN DE SISTEMAS DE AIRE ACONDICIONADO EN PANAMÁ</t>
  </si>
  <si>
    <t>IMPLEMENTACIÓN DE UN TÚNEL DE VIENTO DE TIPO ABIERTO EN SISTEMA DE ADQUISICIÓN DE DATOS LDA PARA ESTUDIOS ESTRUCTURALES DE MECÁNICA DE FLUIDOS Y TÉRMICOS EN PMÁ.</t>
  </si>
  <si>
    <t>EQUIP. DE AULAS DE DIBUJO LINEAL Y GEOMETRÍA DESCRIPTIVA DEL C. REG. DE CHIRIQUÍ</t>
  </si>
  <si>
    <t>IMPLEMENTACIÓN DE UN SISTEMA DE ENERGÍA RENOVABLE PARA LA ALIMENTACIÓN DE LAS LUMINARIAS DEL EDIF. DE LA FIE DEL C.REG. DE CHIRIQUÍ</t>
  </si>
  <si>
    <t>EQUIP. DEL LABORATORIO DE ARQUITECTURA, REDES Y SISTEMAS OPERATIVOS COMP. (LARSO) DEL C. REG. DE PMÁ. OESTE</t>
  </si>
  <si>
    <t>EQUIP. DEL LABORATORIO DE TOPOGRAFÍA DEL C. REG. DE PMÁ OESTE</t>
  </si>
  <si>
    <t>INVESTIGACION Y TRANSFERENCIA DE TECNOLOGÍA</t>
  </si>
  <si>
    <t>DESARROLLO DE CONSULTORIA PARA PROYECTOS DE ESTADO</t>
  </si>
  <si>
    <t>FORTALECIMIENTO DE LA GESTIÓN PARA LA GENERACIÓN Y PRESENTACIÓN DE PATENTES TECNOLÓGICAS</t>
  </si>
  <si>
    <t>DESARROLLO DEL CENTRO DE ESTUDIOS MULTIDISCIPLINARIO EN CIENCIAS, INGENIERÍA Y TECNOLOGÍA-AIP (CEMCIT-AIP)</t>
  </si>
  <si>
    <t>DESARROLLO DEL PLAN DE FORMACIÓN PARA DOCENTE E INVESTIGADORES</t>
  </si>
  <si>
    <t>DESARROLLO DEL PROGRAMA INSTITUCIONAL DE INVESTIGACIÓN POST GRADO Y EXTENSIÓN (PIIPE)</t>
  </si>
  <si>
    <t>DESARROLLO DEL PROGRAMA DE MAESTRÍA EN AGRONEGOCIOS</t>
  </si>
  <si>
    <t>DESARROLLO E IMPLEMENTACIÓN DE TECNOLOGÍA ESPACIAL EN LA LOGÍSTICA Y LA AGRICULTURA NACIONAL (DITELAN)</t>
  </si>
  <si>
    <t>DESARROLLO DEL HUB DE FORMACÓN PARA LA TRANSFORMACIÓN DIGITAL E INDUSTRIA 4.0</t>
  </si>
  <si>
    <t>HABILITACIÓN DE INFRAESTRUCTURA Y EQUIP. DE LABORATORIOS PARA EL IMPULSO DE LA INVESTIGACIÓN E INNOVACIÓN.</t>
  </si>
  <si>
    <t>HABILITACIÓN DEL CENTRO NACIONAL DE SUPERCOMPUTACIÓN PARA INVESTIGACIÓN DE DIFERENTES FENÓMENOS Y ESCALAS (IBEROGUN)-UTP.</t>
  </si>
  <si>
    <t>FUENTE: DIRECCIÓN NACIONAL DE PRESUPUESTO</t>
  </si>
  <si>
    <r>
      <t xml:space="preserve">       </t>
    </r>
    <r>
      <rPr>
        <b/>
        <sz val="9"/>
        <rFont val="Arial"/>
        <family val="2"/>
      </rPr>
      <t>D.  Amort. de la Deuda.</t>
    </r>
  </si>
  <si>
    <t xml:space="preserve">PAGADO  </t>
  </si>
  <si>
    <t xml:space="preserve">          I.  Al Sector Público</t>
  </si>
  <si>
    <t>COMPROMISO</t>
  </si>
  <si>
    <t>TRANSF. CORRIENT.A INST.PUB.</t>
  </si>
  <si>
    <t>% COMP.&amp; ASIGNADO</t>
  </si>
  <si>
    <t xml:space="preserve">           1.1  Renta de Activos</t>
  </si>
  <si>
    <t xml:space="preserve">           1.1.1 Ing. por Vtas. de Servicios</t>
  </si>
  <si>
    <t xml:space="preserve">           1.1.1.1 Lab. y C. Especializados.</t>
  </si>
  <si>
    <t xml:space="preserve">           2. 1  Gobierno Central</t>
  </si>
  <si>
    <t xml:space="preserve">           2.1.1  Ministerio de Educación.</t>
  </si>
  <si>
    <t xml:space="preserve">           3.1 Tasas por Servicios</t>
  </si>
  <si>
    <t xml:space="preserve">           3.2. Derechos</t>
  </si>
  <si>
    <t xml:space="preserve">           4.1. Otros Ing. Varios</t>
  </si>
  <si>
    <t xml:space="preserve">           2.1 Disponible Libre en Caja</t>
  </si>
  <si>
    <t>1.95.1.2.1.4.12</t>
  </si>
  <si>
    <t>1.95.1.2.6.1.99</t>
  </si>
  <si>
    <t>1.95.1.4.1.2.01</t>
  </si>
  <si>
    <t>1.95.1.4.1</t>
  </si>
  <si>
    <t>1.95.2.4.1</t>
  </si>
  <si>
    <t>1.95.2.4.1.2</t>
  </si>
  <si>
    <t>1.95.2.4.1.2.01</t>
  </si>
  <si>
    <t xml:space="preserve"> 1.2.1.4.12</t>
  </si>
  <si>
    <t xml:space="preserve"> 1.2.6.1.99</t>
  </si>
  <si>
    <t xml:space="preserve"> 1.4.1.2.01</t>
  </si>
  <si>
    <t xml:space="preserve"> 2.4.1.2.01</t>
  </si>
  <si>
    <t xml:space="preserve">          3.  Cred.Rec. Por Transf. Corrientes</t>
  </si>
  <si>
    <t>|</t>
  </si>
  <si>
    <t>CONTENCIÓN</t>
  </si>
  <si>
    <t>SALDO ANUAL CONTENCIÓN</t>
  </si>
  <si>
    <t>MODIFICADO contención</t>
  </si>
  <si>
    <t xml:space="preserve">           1.1.1.2 Otros Servicios-Autogestión</t>
  </si>
  <si>
    <t>TRASLADOS</t>
  </si>
  <si>
    <t>UNIVERSIDAD TECNOLOGICA DE PANAMÁ</t>
  </si>
  <si>
    <t>RESUMEN DEL PRESUPUESTO AL MES DE OCTUBRE  2024</t>
  </si>
  <si>
    <t>CRÉDITO REC. T. CORRIENTES</t>
  </si>
  <si>
    <t>EJECUCIÓN PRESUPUESTARIA DE INVERSIONES</t>
  </si>
  <si>
    <t xml:space="preserve"> OBJETO DE GASTO: AL  30 DE DICIEMBRE DE 2024 (En Balboas)</t>
  </si>
  <si>
    <t xml:space="preserve">   SALDO A LA FECHA              7=3-4</t>
  </si>
  <si>
    <t xml:space="preserve"> NIVEL DE CUENTA:AL 30 DE DICIEMBRE DE 2024 (En Balboas)</t>
  </si>
  <si>
    <t xml:space="preserve">   AL 30 DE DICIEMBRE DE 2024 (En Balboas)</t>
  </si>
  <si>
    <t>AL 30 DE DICIEMBRE DE 2024 (En Balboas)</t>
  </si>
  <si>
    <t>AL 30 DE DICIEMBRE DE 2024 (Miles de Balboas)</t>
  </si>
  <si>
    <t>A NIVEL DE CUENTAS AL 30 DICIEMBRE 2024 (En Balboas)</t>
  </si>
  <si>
    <t>POR PROGRAMA  AL 30 DE DICIEMBRE DE 2024</t>
  </si>
  <si>
    <t>AL 30 DE DICIEMBRE DE  2024 (En Balboas)</t>
  </si>
  <si>
    <t xml:space="preserve">ASIGNADO        </t>
  </si>
  <si>
    <t>COMPROMISO ACUMULADO     3</t>
  </si>
  <si>
    <t xml:space="preserve">DEVENGADO ACUMULADO                      4    </t>
  </si>
  <si>
    <t xml:space="preserve">PAGADO ACUMULADO                      5    </t>
  </si>
  <si>
    <t xml:space="preserve">  SALDO ANUAL                  6=2-3                    </t>
  </si>
  <si>
    <t xml:space="preserve"> EJEC. PORC.   8=2/3</t>
  </si>
  <si>
    <t>SALDO ANUAL</t>
  </si>
  <si>
    <t>SA LDO</t>
  </si>
  <si>
    <t>6=2-3</t>
  </si>
  <si>
    <t>7=3/2</t>
  </si>
  <si>
    <t>% COMP.&amp;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</si>
</sst>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* #,##0.00_);_(* \(#,##0.00\);_(* &quot;-&quot;??_);_(@_)"/>
    <numFmt numFmtId="165" formatCode="[$€]#,##0.00\ ;[$€]\(#,##0.00\);[$€]\-#\ ;@\ "/>
    <numFmt numFmtId="166" formatCode="#,##0\ ;\(#,##0\)"/>
    <numFmt numFmtId="167" formatCode="0.0"/>
    <numFmt numFmtId="168" formatCode="&quot; B/.&quot;#,##0.00\ ;&quot; B/.(&quot;#,##0.00\);&quot; B/.-&quot;#\ ;@\ "/>
    <numFmt numFmtId="170" formatCode="#,##0.0"/>
    <numFmt numFmtId="171" formatCode="0.00\ "/>
    <numFmt numFmtId="172" formatCode="#,##0.0\ ;\(#,##0.0\)"/>
    <numFmt numFmtId="173" formatCode="0.00\ ;[Red]\-0.00\ "/>
    <numFmt numFmtId="174" formatCode="#,##0.0_);[Red]\(#,##0.0\)"/>
    <numFmt numFmtId="175" formatCode="#,##0.0\ ;\(#,###\)"/>
    <numFmt numFmtId="176" formatCode="#,##0.00000000000000"/>
    <numFmt numFmtId="177" formatCode="#,##0.0000000000000"/>
    <numFmt numFmtId="178" formatCode="#,##0.000"/>
    <numFmt numFmtId="179" formatCode="_([$B/.-180A]\ * #,##0.00_);_([$B/.-180A]\ * \(#,##0.00\);_([$B/.-180A]\ * &quot;-&quot;??_);_(@_)"/>
  </numFmts>
  <fonts count="63"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sz val="9"/>
      <color indexed="1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color rgb="FF000099"/>
      <name val="Arial"/>
      <family val="2"/>
    </font>
    <font>
      <b/>
      <sz val="8"/>
      <color rgb="FF0000FF"/>
      <name val="Arial"/>
      <family val="2"/>
    </font>
    <font>
      <b/>
      <sz val="10"/>
      <color rgb="FF062948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8"/>
      <color rgb="FF002060"/>
      <name val="Arial"/>
      <family val="2"/>
    </font>
    <font>
      <b/>
      <i/>
      <sz val="10"/>
      <color rgb="FF002060"/>
      <name val="Arial"/>
      <family val="2"/>
    </font>
    <font>
      <b/>
      <sz val="8"/>
      <color rgb="FF002060"/>
      <name val="Arial"/>
      <family val="2"/>
    </font>
    <font>
      <sz val="9"/>
      <color rgb="FF002060"/>
      <name val="Arial"/>
      <family val="2"/>
    </font>
    <font>
      <b/>
      <sz val="11"/>
      <color rgb="FF002060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3" tint="-0.499984740745262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name val="Arial Black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.5"/>
      <color rgb="FF002060"/>
      <name val="Arial Black"/>
      <family val="2"/>
    </font>
    <font>
      <sz val="10.5"/>
      <color rgb="FF062948"/>
      <name val="Arial Black"/>
      <family val="2"/>
    </font>
    <font>
      <sz val="10.5"/>
      <name val="Arial Black"/>
      <family val="2"/>
    </font>
    <font>
      <sz val="10.5"/>
      <color theme="4" tint="-0.499984740745262"/>
      <name val="Arial Black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rgb="FF062948"/>
      <name val="Arial"/>
      <family val="2"/>
    </font>
    <font>
      <sz val="10.5"/>
      <color rgb="FF002060"/>
      <name val="Arial"/>
      <family val="2"/>
    </font>
    <font>
      <b/>
      <sz val="10.5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name val="Arial Black"/>
      <family val="2"/>
    </font>
    <font>
      <sz val="11"/>
      <name val="Arial"/>
      <family val="2"/>
    </font>
    <font>
      <b/>
      <i/>
      <sz val="10"/>
      <name val="Arial"/>
      <family val="2"/>
    </font>
    <font>
      <i/>
      <sz val="10.5"/>
      <name val="Arial Black"/>
      <family val="2"/>
    </font>
    <font>
      <sz val="9"/>
      <name val="Arial Black"/>
      <family val="2"/>
    </font>
    <font>
      <b/>
      <sz val="11"/>
      <name val="Arial Unicode MS"/>
      <family val="2"/>
    </font>
    <font>
      <i/>
      <sz val="11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color rgb="FFFF0000"/>
      <name val="Arial"/>
      <family val="2"/>
    </font>
    <font>
      <sz val="11"/>
      <color rgb="FF002060"/>
      <name val="Arial"/>
      <family val="2"/>
    </font>
    <font>
      <b/>
      <sz val="11"/>
      <color rgb="FFFF0000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sz val="11"/>
      <color theme="1"/>
      <name val="Calibri"/>
      <family val="2"/>
      <scheme val="minor"/>
    </font>
    <font>
      <b/>
      <sz val="9"/>
      <name val="Arial Unicode MS"/>
      <family val="2"/>
    </font>
    <font>
      <i/>
      <sz val="9"/>
      <name val="Arial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b/>
      <sz val="10.5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181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 style="thin">
        <color theme="3" tint="-0.499984740745262"/>
      </right>
      <top/>
      <bottom/>
      <diagonal/>
    </border>
    <border>
      <left style="thin">
        <color rgb="FF000066"/>
      </left>
      <right style="thin">
        <color rgb="FF000066"/>
      </right>
      <top/>
      <bottom/>
      <diagonal/>
    </border>
    <border>
      <left style="thin">
        <color rgb="FF000066"/>
      </left>
      <right/>
      <top/>
      <bottom/>
      <diagonal/>
    </border>
    <border>
      <left style="thin">
        <color rgb="FF000066"/>
      </left>
      <right style="thin">
        <color rgb="FF000066"/>
      </right>
      <top/>
      <bottom style="medium">
        <color rgb="FF000066"/>
      </bottom>
      <diagonal/>
    </border>
    <border>
      <left style="thin">
        <color rgb="FF000066"/>
      </left>
      <right/>
      <top/>
      <bottom style="medium">
        <color rgb="FF000066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theme="3" tint="-0.499984740745262"/>
      </bottom>
      <diagonal/>
    </border>
    <border>
      <left style="thin">
        <color rgb="FF000066"/>
      </left>
      <right style="thin">
        <color rgb="FF000066"/>
      </right>
      <top/>
      <bottom style="medium">
        <color theme="3" tint="-0.499984740745262"/>
      </bottom>
      <diagonal/>
    </border>
    <border>
      <left style="thin">
        <color rgb="FF000066"/>
      </left>
      <right/>
      <top style="thin">
        <color theme="3" tint="-0.499984740745262"/>
      </top>
      <bottom style="medium">
        <color theme="3" tint="-0.499984740745262"/>
      </bottom>
      <diagonal/>
    </border>
    <border>
      <left/>
      <right style="thin">
        <color rgb="FF000066"/>
      </right>
      <top/>
      <bottom/>
      <diagonal/>
    </border>
    <border>
      <left/>
      <right/>
      <top style="thin">
        <color theme="3" tint="-0.499984740745262"/>
      </top>
      <bottom/>
      <diagonal/>
    </border>
    <border>
      <left style="thin">
        <color rgb="FF000066"/>
      </left>
      <right/>
      <top style="medium">
        <color theme="3" tint="-0.49998474074526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3" tint="-0.499984740745262"/>
      </right>
      <top style="medium">
        <color theme="3" tint="-0.499984740745262"/>
      </top>
      <bottom/>
      <diagonal/>
    </border>
    <border>
      <left/>
      <right/>
      <top/>
      <bottom style="medium">
        <color theme="3" tint="-0.499984740745262"/>
      </bottom>
      <diagonal/>
    </border>
    <border>
      <left/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theme="3" tint="-0.499984740745262"/>
      </left>
      <right/>
      <top/>
      <bottom style="thick">
        <color theme="3" tint="-0.499984740745262"/>
      </bottom>
      <diagonal/>
    </border>
    <border>
      <left style="thin">
        <color indexed="64"/>
      </left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3" tint="-0.499984740745262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/>
      <bottom style="thin">
        <color auto="1"/>
      </bottom>
      <diagonal/>
    </border>
    <border>
      <left/>
      <right style="thin">
        <color rgb="FF002060"/>
      </right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18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/>
      <bottom style="thin">
        <color auto="1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auto="1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/>
      <right/>
      <top style="thin">
        <color theme="3" tint="-0.499984740745262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rgb="FF000066"/>
      </right>
      <top/>
      <bottom style="medium">
        <color theme="3" tint="-0.499984740745262"/>
      </bottom>
      <diagonal/>
    </border>
    <border>
      <left/>
      <right style="thin">
        <color rgb="FF000066"/>
      </right>
      <top/>
      <bottom style="medium">
        <color rgb="FF000066"/>
      </bottom>
      <diagonal/>
    </border>
    <border>
      <left/>
      <right style="thin">
        <color rgb="FF002060"/>
      </right>
      <top style="thin">
        <color rgb="FF002060"/>
      </top>
      <bottom style="thin">
        <color indexed="62"/>
      </bottom>
      <diagonal/>
    </border>
    <border>
      <left/>
      <right style="thin">
        <color rgb="FF002060"/>
      </right>
      <top style="thin">
        <color indexed="62"/>
      </top>
      <bottom style="thin">
        <color indexed="62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18"/>
      </bottom>
      <diagonal/>
    </border>
    <border>
      <left/>
      <right style="thin">
        <color theme="3" tint="-0.499984740745262"/>
      </right>
      <top/>
      <bottom style="medium">
        <color rgb="FF002060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medium">
        <color rgb="FF002060"/>
      </bottom>
      <diagonal/>
    </border>
    <border>
      <left style="thin">
        <color theme="3" tint="-0.499984740745262"/>
      </left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 style="thin">
        <color auto="1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indexed="64"/>
      </bottom>
      <diagonal/>
    </border>
    <border>
      <left/>
      <right/>
      <top style="medium">
        <color theme="3" tint="-0.499984740745262"/>
      </top>
      <bottom style="thin">
        <color indexed="64"/>
      </bottom>
      <diagonal/>
    </border>
    <border>
      <left/>
      <right style="thin">
        <color rgb="FF000066"/>
      </right>
      <top style="medium">
        <color theme="3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theme="3" tint="-0.499984740745262"/>
      </bottom>
      <diagonal/>
    </border>
    <border>
      <left/>
      <right/>
      <top style="thin">
        <color auto="1"/>
      </top>
      <bottom style="thin">
        <color theme="3" tint="-0.499984740745262"/>
      </bottom>
      <diagonal/>
    </border>
    <border>
      <left/>
      <right style="thin">
        <color rgb="FF002060"/>
      </right>
      <top style="thin">
        <color auto="1"/>
      </top>
      <bottom style="thin">
        <color theme="3" tint="-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2"/>
      </bottom>
      <diagonal/>
    </border>
    <border>
      <left/>
      <right style="thin">
        <color auto="1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 style="thin">
        <color indexed="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/>
      <diagonal/>
    </border>
    <border>
      <left/>
      <right style="thin">
        <color auto="1"/>
      </right>
      <top style="thin">
        <color rgb="FF000066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66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2060"/>
      </left>
      <right/>
      <top/>
      <bottom style="thin">
        <color auto="1"/>
      </bottom>
      <diagonal/>
    </border>
    <border>
      <left/>
      <right/>
      <top style="thick">
        <color theme="3" tint="-0.499984740745262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rgb="FF002060"/>
      </right>
      <top/>
      <bottom/>
      <diagonal/>
    </border>
    <border>
      <left style="thin">
        <color auto="1"/>
      </left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 tint="-0.499984740745262"/>
      </right>
      <top style="thin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auto="1"/>
      </top>
      <bottom style="thin">
        <color auto="1"/>
      </bottom>
      <diagonal/>
    </border>
    <border>
      <left/>
      <right style="thin">
        <color rgb="FF000066"/>
      </right>
      <top style="thin">
        <color indexed="64"/>
      </top>
      <bottom style="thin">
        <color auto="1"/>
      </bottom>
      <diagonal/>
    </border>
    <border>
      <left style="thin">
        <color theme="3" tint="-0.499984740745262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3" tint="-0.499984740745262"/>
      </left>
      <right/>
      <top style="medium">
        <color theme="3" tint="-0.499984740745262"/>
      </top>
      <bottom style="thin">
        <color theme="3" tint="-0.499984740745262"/>
      </bottom>
      <diagonal/>
    </border>
    <border>
      <left/>
      <right/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1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/>
      <top style="thin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2060"/>
      </top>
      <bottom/>
      <diagonal/>
    </border>
    <border>
      <left style="thin">
        <color rgb="FF002060"/>
      </left>
      <right/>
      <top style="thin">
        <color auto="1"/>
      </top>
      <bottom style="thin">
        <color indexed="64"/>
      </bottom>
      <diagonal/>
    </border>
    <border>
      <left/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18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rgb="FF002060"/>
      </left>
      <right style="thin">
        <color auto="1"/>
      </right>
      <top style="thin">
        <color auto="1"/>
      </top>
      <bottom/>
      <diagonal/>
    </border>
    <border>
      <left style="thin">
        <color theme="3" tint="-0.499984740745262"/>
      </left>
      <right style="thin">
        <color auto="1"/>
      </right>
      <top style="medium">
        <color theme="3" tint="-0.499984740745262"/>
      </top>
      <bottom/>
      <diagonal/>
    </border>
    <border>
      <left style="thin">
        <color theme="3" tint="-0.499984740745262"/>
      </left>
      <right style="thin">
        <color auto="1"/>
      </right>
      <top/>
      <bottom style="thin">
        <color theme="3" tint="-0.499984740745262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2060"/>
      </top>
      <bottom style="thin">
        <color rgb="FF002060"/>
      </bottom>
      <diagonal/>
    </border>
    <border>
      <left style="thin">
        <color auto="1"/>
      </left>
      <right/>
      <top/>
      <bottom style="thin">
        <color rgb="FF002060"/>
      </bottom>
      <diagonal/>
    </border>
  </borders>
  <cellStyleXfs count="10">
    <xf numFmtId="0" fontId="0" fillId="0" borderId="0"/>
    <xf numFmtId="165" fontId="8" fillId="0" borderId="0" applyFill="0" applyBorder="0" applyAlignment="0" applyProtection="0"/>
    <xf numFmtId="168" fontId="8" fillId="0" borderId="0" applyFill="0" applyBorder="0" applyAlignment="0" applyProtection="0"/>
    <xf numFmtId="0" fontId="8" fillId="0" borderId="0"/>
    <xf numFmtId="0" fontId="57" fillId="0" borderId="0"/>
    <xf numFmtId="0" fontId="57" fillId="0" borderId="0"/>
    <xf numFmtId="0" fontId="57" fillId="0" borderId="0"/>
    <xf numFmtId="0" fontId="8" fillId="0" borderId="0">
      <alignment wrapText="1"/>
    </xf>
    <xf numFmtId="0" fontId="57" fillId="0" borderId="0"/>
    <xf numFmtId="164" fontId="8" fillId="0" borderId="0" applyFont="0" applyFill="0" applyBorder="0" applyAlignment="0" applyProtection="0"/>
  </cellStyleXfs>
  <cellXfs count="697">
    <xf numFmtId="0" fontId="0" fillId="0" borderId="0" xfId="0"/>
    <xf numFmtId="3" fontId="0" fillId="0" borderId="0" xfId="0" applyNumberFormat="1"/>
    <xf numFmtId="0" fontId="3" fillId="0" borderId="0" xfId="0" applyFont="1"/>
    <xf numFmtId="0" fontId="6" fillId="0" borderId="0" xfId="0" applyFont="1"/>
    <xf numFmtId="0" fontId="0" fillId="3" borderId="0" xfId="0" applyFill="1"/>
    <xf numFmtId="1" fontId="0" fillId="0" borderId="0" xfId="0" applyNumberFormat="1"/>
    <xf numFmtId="0" fontId="12" fillId="0" borderId="0" xfId="0" applyFont="1"/>
    <xf numFmtId="49" fontId="15" fillId="0" borderId="0" xfId="0" applyNumberFormat="1" applyFont="1"/>
    <xf numFmtId="3" fontId="16" fillId="0" borderId="0" xfId="0" applyNumberFormat="1" applyFont="1"/>
    <xf numFmtId="37" fontId="16" fillId="0" borderId="0" xfId="0" applyNumberFormat="1" applyFont="1" applyAlignment="1">
      <alignment horizontal="right"/>
    </xf>
    <xf numFmtId="0" fontId="14" fillId="0" borderId="0" xfId="0" applyFont="1"/>
    <xf numFmtId="0" fontId="17" fillId="0" borderId="0" xfId="0" applyFont="1"/>
    <xf numFmtId="0" fontId="13" fillId="0" borderId="0" xfId="0" applyFont="1"/>
    <xf numFmtId="3" fontId="17" fillId="0" borderId="0" xfId="0" applyNumberFormat="1" applyFont="1"/>
    <xf numFmtId="0" fontId="12" fillId="0" borderId="0" xfId="0" applyFont="1" applyAlignment="1">
      <alignment horizontal="center"/>
    </xf>
    <xf numFmtId="3" fontId="12" fillId="0" borderId="0" xfId="0" applyNumberFormat="1" applyFont="1"/>
    <xf numFmtId="3" fontId="5" fillId="0" borderId="0" xfId="0" applyNumberFormat="1" applyFont="1"/>
    <xf numFmtId="0" fontId="11" fillId="0" borderId="0" xfId="0" applyFont="1"/>
    <xf numFmtId="3" fontId="22" fillId="0" borderId="0" xfId="0" applyNumberFormat="1" applyFont="1" applyAlignment="1">
      <alignment horizontal="left"/>
    </xf>
    <xf numFmtId="4" fontId="0" fillId="0" borderId="0" xfId="0" applyNumberFormat="1"/>
    <xf numFmtId="0" fontId="20" fillId="0" borderId="0" xfId="0" applyFont="1"/>
    <xf numFmtId="4" fontId="20" fillId="0" borderId="0" xfId="0" applyNumberFormat="1" applyFont="1"/>
    <xf numFmtId="0" fontId="21" fillId="0" borderId="0" xfId="0" applyFont="1" applyAlignment="1">
      <alignment horizontal="center"/>
    </xf>
    <xf numFmtId="0" fontId="21" fillId="0" borderId="0" xfId="0" applyFont="1"/>
    <xf numFmtId="167" fontId="0" fillId="0" borderId="0" xfId="0" applyNumberFormat="1"/>
    <xf numFmtId="0" fontId="10" fillId="5" borderId="0" xfId="0" applyFont="1" applyFill="1" applyAlignment="1">
      <alignment horizontal="center"/>
    </xf>
    <xf numFmtId="3" fontId="9" fillId="0" borderId="0" xfId="0" applyNumberFormat="1" applyFont="1"/>
    <xf numFmtId="0" fontId="25" fillId="0" borderId="0" xfId="0" applyFont="1"/>
    <xf numFmtId="4" fontId="26" fillId="0" borderId="0" xfId="0" applyNumberFormat="1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/>
    </xf>
    <xf numFmtId="4" fontId="29" fillId="0" borderId="0" xfId="0" applyNumberFormat="1" applyFont="1" applyAlignment="1">
      <alignment vertical="center"/>
    </xf>
    <xf numFmtId="3" fontId="3" fillId="0" borderId="0" xfId="0" applyNumberFormat="1" applyFont="1"/>
    <xf numFmtId="176" fontId="0" fillId="0" borderId="0" xfId="0" applyNumberFormat="1"/>
    <xf numFmtId="177" fontId="0" fillId="0" borderId="0" xfId="0" applyNumberFormat="1"/>
    <xf numFmtId="0" fontId="32" fillId="0" borderId="0" xfId="0" applyFont="1"/>
    <xf numFmtId="0" fontId="33" fillId="0" borderId="0" xfId="0" applyFont="1"/>
    <xf numFmtId="3" fontId="23" fillId="0" borderId="0" xfId="0" applyNumberFormat="1" applyFont="1"/>
    <xf numFmtId="3" fontId="34" fillId="0" borderId="0" xfId="0" applyNumberFormat="1" applyFont="1"/>
    <xf numFmtId="3" fontId="37" fillId="0" borderId="0" xfId="0" applyNumberFormat="1" applyFont="1"/>
    <xf numFmtId="3" fontId="31" fillId="0" borderId="0" xfId="0" applyNumberFormat="1" applyFont="1"/>
    <xf numFmtId="3" fontId="38" fillId="0" borderId="0" xfId="0" applyNumberFormat="1" applyFont="1"/>
    <xf numFmtId="3" fontId="36" fillId="0" borderId="0" xfId="0" applyNumberFormat="1" applyFont="1"/>
    <xf numFmtId="0" fontId="0" fillId="0" borderId="0" xfId="0" applyAlignment="1">
      <alignment horizontal="center"/>
    </xf>
    <xf numFmtId="170" fontId="19" fillId="0" borderId="0" xfId="0" applyNumberFormat="1" applyFont="1"/>
    <xf numFmtId="0" fontId="34" fillId="0" borderId="0" xfId="0" applyFont="1"/>
    <xf numFmtId="0" fontId="40" fillId="0" borderId="37" xfId="0" applyFont="1" applyBorder="1" applyAlignment="1">
      <alignment horizontal="left"/>
    </xf>
    <xf numFmtId="37" fontId="30" fillId="0" borderId="14" xfId="0" applyNumberFormat="1" applyFont="1" applyBorder="1"/>
    <xf numFmtId="167" fontId="30" fillId="0" borderId="15" xfId="0" applyNumberFormat="1" applyFont="1" applyBorder="1"/>
    <xf numFmtId="0" fontId="30" fillId="0" borderId="58" xfId="0" applyFont="1" applyBorder="1"/>
    <xf numFmtId="0" fontId="30" fillId="0" borderId="14" xfId="0" applyFont="1" applyBorder="1" applyAlignment="1">
      <alignment horizontal="center"/>
    </xf>
    <xf numFmtId="3" fontId="30" fillId="0" borderId="14" xfId="0" applyNumberFormat="1" applyFont="1" applyBorder="1"/>
    <xf numFmtId="0" fontId="3" fillId="0" borderId="22" xfId="0" applyFont="1" applyBorder="1"/>
    <xf numFmtId="0" fontId="40" fillId="0" borderId="62" xfId="0" applyFont="1" applyBorder="1" applyAlignment="1">
      <alignment horizontal="left"/>
    </xf>
    <xf numFmtId="3" fontId="39" fillId="0" borderId="14" xfId="0" applyNumberFormat="1" applyFont="1" applyBorder="1"/>
    <xf numFmtId="0" fontId="24" fillId="0" borderId="0" xfId="0" applyFont="1"/>
    <xf numFmtId="0" fontId="2" fillId="0" borderId="0" xfId="0" applyFont="1"/>
    <xf numFmtId="3" fontId="1" fillId="0" borderId="3" xfId="0" applyNumberFormat="1" applyFont="1" applyBorder="1"/>
    <xf numFmtId="0" fontId="34" fillId="0" borderId="7" xfId="0" applyFont="1" applyBorder="1"/>
    <xf numFmtId="3" fontId="2" fillId="0" borderId="3" xfId="0" applyNumberFormat="1" applyFont="1" applyBorder="1"/>
    <xf numFmtId="3" fontId="0" fillId="0" borderId="9" xfId="0" applyNumberFormat="1" applyBorder="1"/>
    <xf numFmtId="3" fontId="37" fillId="0" borderId="9" xfId="0" applyNumberFormat="1" applyFont="1" applyBorder="1" applyAlignment="1">
      <alignment horizontal="right"/>
    </xf>
    <xf numFmtId="3" fontId="0" fillId="0" borderId="9" xfId="0" applyNumberFormat="1" applyBorder="1" applyAlignment="1">
      <alignment horizontal="right"/>
    </xf>
    <xf numFmtId="170" fontId="2" fillId="0" borderId="5" xfId="0" applyNumberFormat="1" applyFont="1" applyBorder="1" applyAlignment="1">
      <alignment horizontal="center"/>
    </xf>
    <xf numFmtId="0" fontId="35" fillId="0" borderId="0" xfId="0" applyFont="1"/>
    <xf numFmtId="0" fontId="6" fillId="0" borderId="37" xfId="0" applyFont="1" applyBorder="1"/>
    <xf numFmtId="3" fontId="0" fillId="0" borderId="10" xfId="0" applyNumberFormat="1" applyBorder="1"/>
    <xf numFmtId="3" fontId="0" fillId="0" borderId="37" xfId="0" applyNumberFormat="1" applyBorder="1"/>
    <xf numFmtId="0" fontId="0" fillId="0" borderId="10" xfId="0" applyBorder="1"/>
    <xf numFmtId="0" fontId="36" fillId="0" borderId="37" xfId="0" applyFont="1" applyBorder="1"/>
    <xf numFmtId="3" fontId="36" fillId="2" borderId="9" xfId="0" applyNumberFormat="1" applyFont="1" applyFill="1" applyBorder="1"/>
    <xf numFmtId="166" fontId="36" fillId="2" borderId="9" xfId="0" applyNumberFormat="1" applyFont="1" applyFill="1" applyBorder="1"/>
    <xf numFmtId="167" fontId="36" fillId="0" borderId="10" xfId="0" applyNumberFormat="1" applyFont="1" applyBorder="1" applyAlignment="1">
      <alignment horizontal="center"/>
    </xf>
    <xf numFmtId="3" fontId="36" fillId="0" borderId="9" xfId="0" applyNumberFormat="1" applyFont="1" applyBorder="1"/>
    <xf numFmtId="0" fontId="36" fillId="0" borderId="10" xfId="0" applyFont="1" applyBorder="1" applyAlignment="1">
      <alignment horizontal="center"/>
    </xf>
    <xf numFmtId="0" fontId="36" fillId="0" borderId="37" xfId="0" applyFont="1" applyBorder="1" applyAlignment="1">
      <alignment horizontal="left"/>
    </xf>
    <xf numFmtId="0" fontId="37" fillId="0" borderId="37" xfId="0" applyFont="1" applyBorder="1" applyAlignment="1">
      <alignment horizontal="left"/>
    </xf>
    <xf numFmtId="0" fontId="37" fillId="0" borderId="9" xfId="0" applyFont="1" applyBorder="1"/>
    <xf numFmtId="3" fontId="37" fillId="0" borderId="9" xfId="0" applyNumberFormat="1" applyFont="1" applyBorder="1"/>
    <xf numFmtId="166" fontId="37" fillId="2" borderId="9" xfId="0" applyNumberFormat="1" applyFont="1" applyFill="1" applyBorder="1"/>
    <xf numFmtId="167" fontId="37" fillId="0" borderId="10" xfId="0" applyNumberFormat="1" applyFont="1" applyBorder="1" applyAlignment="1">
      <alignment horizontal="center"/>
    </xf>
    <xf numFmtId="0" fontId="37" fillId="0" borderId="37" xfId="0" applyFont="1" applyBorder="1"/>
    <xf numFmtId="168" fontId="36" fillId="0" borderId="37" xfId="2" applyFont="1" applyFill="1" applyBorder="1" applyAlignment="1" applyProtection="1"/>
    <xf numFmtId="3" fontId="37" fillId="0" borderId="45" xfId="0" applyNumberFormat="1" applyFont="1" applyBorder="1"/>
    <xf numFmtId="167" fontId="37" fillId="0" borderId="46" xfId="0" applyNumberFormat="1" applyFont="1" applyBorder="1" applyAlignment="1">
      <alignment horizontal="center"/>
    </xf>
    <xf numFmtId="37" fontId="37" fillId="0" borderId="9" xfId="0" applyNumberFormat="1" applyFont="1" applyBorder="1"/>
    <xf numFmtId="0" fontId="37" fillId="0" borderId="38" xfId="0" applyFont="1" applyBorder="1"/>
    <xf numFmtId="0" fontId="37" fillId="0" borderId="74" xfId="0" applyFont="1" applyBorder="1"/>
    <xf numFmtId="0" fontId="37" fillId="0" borderId="45" xfId="0" applyFont="1" applyBorder="1"/>
    <xf numFmtId="37" fontId="37" fillId="0" borderId="45" xfId="0" applyNumberFormat="1" applyFont="1" applyBorder="1"/>
    <xf numFmtId="0" fontId="37" fillId="0" borderId="46" xfId="0" applyFont="1" applyBorder="1"/>
    <xf numFmtId="0" fontId="37" fillId="0" borderId="35" xfId="0" applyFont="1" applyBorder="1"/>
    <xf numFmtId="0" fontId="37" fillId="0" borderId="0" xfId="0" applyFont="1"/>
    <xf numFmtId="3" fontId="37" fillId="0" borderId="35" xfId="0" applyNumberFormat="1" applyFont="1" applyBorder="1"/>
    <xf numFmtId="37" fontId="37" fillId="0" borderId="35" xfId="0" applyNumberFormat="1" applyFont="1" applyBorder="1"/>
    <xf numFmtId="0" fontId="23" fillId="0" borderId="0" xfId="0" applyFont="1"/>
    <xf numFmtId="37" fontId="0" fillId="0" borderId="0" xfId="0" applyNumberFormat="1"/>
    <xf numFmtId="0" fontId="19" fillId="0" borderId="0" xfId="0" applyFont="1"/>
    <xf numFmtId="0" fontId="44" fillId="0" borderId="0" xfId="0" applyFont="1"/>
    <xf numFmtId="0" fontId="43" fillId="0" borderId="0" xfId="0" applyFont="1"/>
    <xf numFmtId="0" fontId="0" fillId="0" borderId="25" xfId="0" applyBorder="1"/>
    <xf numFmtId="0" fontId="34" fillId="0" borderId="19" xfId="0" applyFont="1" applyBorder="1" applyAlignment="1">
      <alignment horizontal="center"/>
    </xf>
    <xf numFmtId="0" fontId="34" fillId="0" borderId="12" xfId="0" applyFont="1" applyBorder="1"/>
    <xf numFmtId="0" fontId="34" fillId="0" borderId="12" xfId="0" applyFont="1" applyBorder="1" applyAlignment="1">
      <alignment horizontal="left"/>
    </xf>
    <xf numFmtId="0" fontId="34" fillId="0" borderId="12" xfId="0" applyFont="1" applyBorder="1" applyAlignment="1">
      <alignment horizontal="center"/>
    </xf>
    <xf numFmtId="0" fontId="0" fillId="0" borderId="21" xfId="0" applyBorder="1"/>
    <xf numFmtId="0" fontId="36" fillId="0" borderId="19" xfId="0" applyFont="1" applyBorder="1" applyAlignment="1">
      <alignment horizontal="center"/>
    </xf>
    <xf numFmtId="0" fontId="36" fillId="0" borderId="12" xfId="0" applyFont="1" applyBorder="1"/>
    <xf numFmtId="3" fontId="36" fillId="0" borderId="12" xfId="0" applyNumberFormat="1" applyFont="1" applyBorder="1"/>
    <xf numFmtId="166" fontId="36" fillId="0" borderId="12" xfId="0" applyNumberFormat="1" applyFont="1" applyBorder="1"/>
    <xf numFmtId="167" fontId="36" fillId="0" borderId="13" xfId="0" applyNumberFormat="1" applyFont="1" applyBorder="1"/>
    <xf numFmtId="0" fontId="32" fillId="0" borderId="19" xfId="0" applyFont="1" applyBorder="1" applyAlignment="1">
      <alignment horizontal="left"/>
    </xf>
    <xf numFmtId="0" fontId="32" fillId="0" borderId="12" xfId="0" applyFont="1" applyBorder="1"/>
    <xf numFmtId="3" fontId="32" fillId="0" borderId="12" xfId="0" applyNumberFormat="1" applyFont="1" applyBorder="1"/>
    <xf numFmtId="166" fontId="32" fillId="0" borderId="12" xfId="0" applyNumberFormat="1" applyFont="1" applyBorder="1"/>
    <xf numFmtId="0" fontId="37" fillId="0" borderId="19" xfId="0" applyFont="1" applyBorder="1" applyAlignment="1">
      <alignment horizontal="left"/>
    </xf>
    <xf numFmtId="0" fontId="37" fillId="0" borderId="12" xfId="0" applyFont="1" applyBorder="1" applyAlignment="1">
      <alignment horizontal="center"/>
    </xf>
    <xf numFmtId="3" fontId="37" fillId="0" borderId="12" xfId="0" applyNumberFormat="1" applyFont="1" applyBorder="1"/>
    <xf numFmtId="166" fontId="37" fillId="0" borderId="12" xfId="0" applyNumberFormat="1" applyFont="1" applyBorder="1" applyAlignment="1">
      <alignment horizontal="right"/>
    </xf>
    <xf numFmtId="167" fontId="37" fillId="0" borderId="13" xfId="0" applyNumberFormat="1" applyFont="1" applyBorder="1"/>
    <xf numFmtId="0" fontId="37" fillId="0" borderId="19" xfId="0" applyFont="1" applyBorder="1"/>
    <xf numFmtId="166" fontId="37" fillId="0" borderId="12" xfId="0" applyNumberFormat="1" applyFont="1" applyBorder="1"/>
    <xf numFmtId="0" fontId="32" fillId="0" borderId="19" xfId="0" applyFont="1" applyBorder="1"/>
    <xf numFmtId="0" fontId="32" fillId="0" borderId="12" xfId="0" applyFont="1" applyBorder="1" applyAlignment="1">
      <alignment horizontal="center"/>
    </xf>
    <xf numFmtId="166" fontId="32" fillId="0" borderId="12" xfId="0" applyNumberFormat="1" applyFont="1" applyBorder="1" applyAlignment="1">
      <alignment horizontal="right"/>
    </xf>
    <xf numFmtId="0" fontId="36" fillId="0" borderId="12" xfId="0" applyFont="1" applyBorder="1" applyAlignment="1">
      <alignment horizontal="center"/>
    </xf>
    <xf numFmtId="166" fontId="36" fillId="0" borderId="12" xfId="0" applyNumberFormat="1" applyFont="1" applyBorder="1" applyAlignment="1">
      <alignment horizontal="right"/>
    </xf>
    <xf numFmtId="0" fontId="36" fillId="0" borderId="19" xfId="0" applyFont="1" applyBorder="1" applyAlignment="1">
      <alignment horizontal="center" vertical="center" wrapText="1"/>
    </xf>
    <xf numFmtId="3" fontId="32" fillId="4" borderId="12" xfId="0" applyNumberFormat="1" applyFont="1" applyFill="1" applyBorder="1"/>
    <xf numFmtId="37" fontId="32" fillId="0" borderId="12" xfId="0" applyNumberFormat="1" applyFont="1" applyBorder="1"/>
    <xf numFmtId="3" fontId="36" fillId="4" borderId="9" xfId="0" applyNumberFormat="1" applyFont="1" applyFill="1" applyBorder="1"/>
    <xf numFmtId="170" fontId="36" fillId="4" borderId="10" xfId="0" applyNumberFormat="1" applyFont="1" applyFill="1" applyBorder="1"/>
    <xf numFmtId="170" fontId="36" fillId="0" borderId="10" xfId="0" applyNumberFormat="1" applyFont="1" applyBorder="1"/>
    <xf numFmtId="0" fontId="36" fillId="4" borderId="37" xfId="0" applyFont="1" applyFill="1" applyBorder="1" applyAlignment="1">
      <alignment horizontal="left"/>
    </xf>
    <xf numFmtId="0" fontId="32" fillId="4" borderId="37" xfId="0" applyFont="1" applyFill="1" applyBorder="1" applyAlignment="1">
      <alignment horizontal="left"/>
    </xf>
    <xf numFmtId="3" fontId="32" fillId="4" borderId="9" xfId="0" applyNumberFormat="1" applyFont="1" applyFill="1" applyBorder="1"/>
    <xf numFmtId="170" fontId="32" fillId="4" borderId="10" xfId="0" applyNumberFormat="1" applyFont="1" applyFill="1" applyBorder="1"/>
    <xf numFmtId="0" fontId="37" fillId="4" borderId="37" xfId="0" applyFont="1" applyFill="1" applyBorder="1"/>
    <xf numFmtId="3" fontId="37" fillId="4" borderId="9" xfId="0" applyNumberFormat="1" applyFont="1" applyFill="1" applyBorder="1"/>
    <xf numFmtId="170" fontId="37" fillId="4" borderId="10" xfId="0" applyNumberFormat="1" applyFont="1" applyFill="1" applyBorder="1"/>
    <xf numFmtId="0" fontId="37" fillId="4" borderId="37" xfId="0" applyFont="1" applyFill="1" applyBorder="1" applyAlignment="1">
      <alignment horizontal="left"/>
    </xf>
    <xf numFmtId="3" fontId="36" fillId="4" borderId="9" xfId="0" applyNumberFormat="1" applyFont="1" applyFill="1" applyBorder="1" applyAlignment="1">
      <alignment horizontal="right"/>
    </xf>
    <xf numFmtId="0" fontId="45" fillId="4" borderId="37" xfId="0" applyFont="1" applyFill="1" applyBorder="1" applyAlignment="1">
      <alignment horizontal="left"/>
    </xf>
    <xf numFmtId="3" fontId="32" fillId="6" borderId="9" xfId="0" applyNumberFormat="1" applyFont="1" applyFill="1" applyBorder="1"/>
    <xf numFmtId="0" fontId="36" fillId="4" borderId="62" xfId="0" applyFont="1" applyFill="1" applyBorder="1" applyAlignment="1">
      <alignment horizontal="left"/>
    </xf>
    <xf numFmtId="170" fontId="32" fillId="4" borderId="31" xfId="0" applyNumberFormat="1" applyFont="1" applyFill="1" applyBorder="1"/>
    <xf numFmtId="0" fontId="34" fillId="4" borderId="0" xfId="0" applyFont="1" applyFill="1"/>
    <xf numFmtId="0" fontId="6" fillId="4" borderId="0" xfId="0" applyFont="1" applyFill="1"/>
    <xf numFmtId="0" fontId="0" fillId="0" borderId="22" xfId="0" applyBorder="1"/>
    <xf numFmtId="0" fontId="46" fillId="5" borderId="37" xfId="0" applyFont="1" applyFill="1" applyBorder="1" applyAlignment="1">
      <alignment horizontal="center" vertical="center" wrapText="1"/>
    </xf>
    <xf numFmtId="0" fontId="46" fillId="5" borderId="9" xfId="0" applyFont="1" applyFill="1" applyBorder="1" applyAlignment="1">
      <alignment horizontal="center" vertical="center" wrapText="1"/>
    </xf>
    <xf numFmtId="0" fontId="46" fillId="4" borderId="9" xfId="0" applyFont="1" applyFill="1" applyBorder="1" applyAlignment="1">
      <alignment horizontal="center" vertical="center" wrapText="1"/>
    </xf>
    <xf numFmtId="0" fontId="46" fillId="4" borderId="9" xfId="0" applyFont="1" applyFill="1" applyBorder="1"/>
    <xf numFmtId="0" fontId="46" fillId="4" borderId="9" xfId="0" applyFont="1" applyFill="1" applyBorder="1" applyAlignment="1">
      <alignment horizontal="center"/>
    </xf>
    <xf numFmtId="0" fontId="46" fillId="4" borderId="10" xfId="0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/>
    </xf>
    <xf numFmtId="0" fontId="32" fillId="0" borderId="9" xfId="0" applyFont="1" applyBorder="1"/>
    <xf numFmtId="0" fontId="32" fillId="0" borderId="10" xfId="0" applyFont="1" applyBorder="1" applyAlignment="1">
      <alignment horizontal="center"/>
    </xf>
    <xf numFmtId="0" fontId="36" fillId="0" borderId="9" xfId="0" applyFont="1" applyBorder="1"/>
    <xf numFmtId="170" fontId="36" fillId="0" borderId="9" xfId="0" applyNumberFormat="1" applyFont="1" applyBorder="1"/>
    <xf numFmtId="172" fontId="36" fillId="0" borderId="9" xfId="0" applyNumberFormat="1" applyFont="1" applyBorder="1"/>
    <xf numFmtId="0" fontId="32" fillId="0" borderId="37" xfId="0" applyFont="1" applyBorder="1"/>
    <xf numFmtId="170" fontId="32" fillId="0" borderId="9" xfId="0" applyNumberFormat="1" applyFont="1" applyBorder="1"/>
    <xf numFmtId="167" fontId="32" fillId="0" borderId="10" xfId="0" applyNumberFormat="1" applyFont="1" applyBorder="1" applyAlignment="1">
      <alignment horizontal="center"/>
    </xf>
    <xf numFmtId="170" fontId="37" fillId="0" borderId="9" xfId="0" applyNumberFormat="1" applyFont="1" applyBorder="1"/>
    <xf numFmtId="172" fontId="37" fillId="0" borderId="9" xfId="0" applyNumberFormat="1" applyFont="1" applyBorder="1"/>
    <xf numFmtId="172" fontId="32" fillId="0" borderId="9" xfId="0" applyNumberFormat="1" applyFont="1" applyBorder="1"/>
    <xf numFmtId="0" fontId="37" fillId="0" borderId="9" xfId="0" applyFont="1" applyBorder="1" applyAlignment="1">
      <alignment horizontal="center"/>
    </xf>
    <xf numFmtId="0" fontId="37" fillId="0" borderId="40" xfId="0" applyFont="1" applyBorder="1" applyAlignment="1">
      <alignment horizontal="center"/>
    </xf>
    <xf numFmtId="174" fontId="37" fillId="0" borderId="40" xfId="0" applyNumberFormat="1" applyFont="1" applyBorder="1"/>
    <xf numFmtId="170" fontId="37" fillId="0" borderId="40" xfId="0" applyNumberFormat="1" applyFont="1" applyBorder="1"/>
    <xf numFmtId="172" fontId="35" fillId="0" borderId="40" xfId="0" applyNumberFormat="1" applyFont="1" applyBorder="1"/>
    <xf numFmtId="167" fontId="37" fillId="0" borderId="31" xfId="0" applyNumberFormat="1" applyFont="1" applyBorder="1" applyAlignment="1">
      <alignment horizontal="center"/>
    </xf>
    <xf numFmtId="0" fontId="6" fillId="0" borderId="63" xfId="0" applyFont="1" applyBorder="1"/>
    <xf numFmtId="2" fontId="6" fillId="0" borderId="63" xfId="0" applyNumberFormat="1" applyFont="1" applyBorder="1"/>
    <xf numFmtId="170" fontId="6" fillId="0" borderId="0" xfId="0" applyNumberFormat="1" applyFont="1"/>
    <xf numFmtId="0" fontId="0" fillId="0" borderId="63" xfId="0" applyBorder="1" applyAlignment="1">
      <alignment horizontal="center"/>
    </xf>
    <xf numFmtId="49" fontId="0" fillId="0" borderId="0" xfId="0" applyNumberFormat="1"/>
    <xf numFmtId="2" fontId="19" fillId="0" borderId="0" xfId="0" applyNumberFormat="1" applyFont="1"/>
    <xf numFmtId="0" fontId="36" fillId="0" borderId="7" xfId="0" applyFont="1" applyBorder="1"/>
    <xf numFmtId="0" fontId="36" fillId="0" borderId="3" xfId="0" applyFont="1" applyBorder="1"/>
    <xf numFmtId="3" fontId="36" fillId="0" borderId="3" xfId="0" applyNumberFormat="1" applyFont="1" applyBorder="1"/>
    <xf numFmtId="170" fontId="36" fillId="0" borderId="5" xfId="0" applyNumberFormat="1" applyFont="1" applyBorder="1" applyAlignment="1">
      <alignment horizontal="center"/>
    </xf>
    <xf numFmtId="0" fontId="45" fillId="0" borderId="3" xfId="0" applyFont="1" applyBorder="1"/>
    <xf numFmtId="3" fontId="32" fillId="0" borderId="3" xfId="0" applyNumberFormat="1" applyFont="1" applyBorder="1"/>
    <xf numFmtId="170" fontId="32" fillId="0" borderId="5" xfId="0" applyNumberFormat="1" applyFont="1" applyBorder="1" applyAlignment="1">
      <alignment horizontal="center"/>
    </xf>
    <xf numFmtId="0" fontId="47" fillId="0" borderId="3" xfId="0" applyFont="1" applyBorder="1"/>
    <xf numFmtId="170" fontId="1" fillId="0" borderId="5" xfId="0" applyNumberFormat="1" applyFont="1" applyBorder="1" applyAlignment="1">
      <alignment horizontal="center"/>
    </xf>
    <xf numFmtId="0" fontId="43" fillId="0" borderId="3" xfId="0" applyFont="1" applyBorder="1"/>
    <xf numFmtId="0" fontId="48" fillId="0" borderId="3" xfId="0" applyFont="1" applyBorder="1"/>
    <xf numFmtId="0" fontId="19" fillId="0" borderId="66" xfId="0" applyFont="1" applyBorder="1"/>
    <xf numFmtId="3" fontId="2" fillId="0" borderId="66" xfId="0" applyNumberFormat="1" applyFont="1" applyBorder="1"/>
    <xf numFmtId="3" fontId="1" fillId="0" borderId="66" xfId="0" applyNumberFormat="1" applyFont="1" applyBorder="1"/>
    <xf numFmtId="170" fontId="2" fillId="0" borderId="67" xfId="0" applyNumberFormat="1" applyFont="1" applyBorder="1" applyAlignment="1">
      <alignment horizontal="center"/>
    </xf>
    <xf numFmtId="0" fontId="0" fillId="0" borderId="68" xfId="0" applyBorder="1" applyAlignment="1">
      <alignment horizontal="center"/>
    </xf>
    <xf numFmtId="3" fontId="0" fillId="0" borderId="3" xfId="0" applyNumberFormat="1" applyBorder="1"/>
    <xf numFmtId="3" fontId="42" fillId="0" borderId="9" xfId="0" applyNumberFormat="1" applyFont="1" applyBorder="1"/>
    <xf numFmtId="3" fontId="19" fillId="0" borderId="0" xfId="0" applyNumberFormat="1" applyFont="1"/>
    <xf numFmtId="0" fontId="23" fillId="5" borderId="7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0" fillId="0" borderId="7" xfId="0" applyFont="1" applyBorder="1" applyAlignment="1">
      <alignment horizontal="center"/>
    </xf>
    <xf numFmtId="0" fontId="34" fillId="0" borderId="3" xfId="0" applyFont="1" applyBorder="1" applyAlignment="1">
      <alignment horizontal="center" vertical="center"/>
    </xf>
    <xf numFmtId="0" fontId="23" fillId="0" borderId="3" xfId="0" applyFont="1" applyBorder="1"/>
    <xf numFmtId="3" fontId="0" fillId="0" borderId="3" xfId="0" applyNumberFormat="1" applyBorder="1" applyAlignment="1">
      <alignment horizontal="right"/>
    </xf>
    <xf numFmtId="0" fontId="0" fillId="0" borderId="7" xfId="0" applyBorder="1" applyAlignment="1">
      <alignment horizontal="right"/>
    </xf>
    <xf numFmtId="0" fontId="23" fillId="0" borderId="3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49" fontId="0" fillId="0" borderId="7" xfId="0" applyNumberFormat="1" applyBorder="1" applyAlignment="1">
      <alignment horizontal="right"/>
    </xf>
    <xf numFmtId="49" fontId="6" fillId="0" borderId="7" xfId="0" applyNumberFormat="1" applyFont="1" applyBorder="1" applyAlignment="1">
      <alignment horizontal="right"/>
    </xf>
    <xf numFmtId="49" fontId="50" fillId="0" borderId="7" xfId="0" applyNumberFormat="1" applyFont="1" applyBorder="1" applyAlignment="1">
      <alignment horizontal="center"/>
    </xf>
    <xf numFmtId="49" fontId="6" fillId="0" borderId="26" xfId="0" applyNumberFormat="1" applyFont="1" applyBorder="1" applyAlignment="1">
      <alignment horizontal="right"/>
    </xf>
    <xf numFmtId="0" fontId="23" fillId="0" borderId="27" xfId="0" applyFont="1" applyBorder="1"/>
    <xf numFmtId="3" fontId="0" fillId="0" borderId="27" xfId="0" applyNumberFormat="1" applyBorder="1"/>
    <xf numFmtId="3" fontId="0" fillId="0" borderId="30" xfId="0" applyNumberFormat="1" applyBorder="1"/>
    <xf numFmtId="0" fontId="0" fillId="0" borderId="28" xfId="0" applyBorder="1"/>
    <xf numFmtId="3" fontId="2" fillId="0" borderId="0" xfId="0" applyNumberFormat="1" applyFont="1"/>
    <xf numFmtId="178" fontId="0" fillId="0" borderId="0" xfId="0" applyNumberFormat="1"/>
    <xf numFmtId="0" fontId="35" fillId="0" borderId="62" xfId="0" applyFont="1" applyBorder="1" applyAlignment="1">
      <alignment horizontal="center" vertical="center"/>
    </xf>
    <xf numFmtId="0" fontId="23" fillId="5" borderId="94" xfId="0" applyFont="1" applyFill="1" applyBorder="1" applyAlignment="1">
      <alignment horizontal="center" vertical="center"/>
    </xf>
    <xf numFmtId="0" fontId="23" fillId="5" borderId="92" xfId="0" applyFont="1" applyFill="1" applyBorder="1" applyAlignment="1">
      <alignment horizontal="center" vertical="center"/>
    </xf>
    <xf numFmtId="0" fontId="23" fillId="5" borderId="92" xfId="0" applyFont="1" applyFill="1" applyBorder="1" applyAlignment="1">
      <alignment horizontal="center"/>
    </xf>
    <xf numFmtId="3" fontId="23" fillId="5" borderId="92" xfId="0" applyNumberFormat="1" applyFont="1" applyFill="1" applyBorder="1" applyAlignment="1">
      <alignment horizontal="center"/>
    </xf>
    <xf numFmtId="3" fontId="23" fillId="5" borderId="92" xfId="0" applyNumberFormat="1" applyFont="1" applyFill="1" applyBorder="1" applyAlignment="1">
      <alignment horizontal="center" vertical="center" wrapText="1"/>
    </xf>
    <xf numFmtId="0" fontId="23" fillId="5" borderId="92" xfId="0" applyFont="1" applyFill="1" applyBorder="1" applyAlignment="1">
      <alignment horizontal="center" vertical="center" wrapText="1"/>
    </xf>
    <xf numFmtId="173" fontId="23" fillId="5" borderId="92" xfId="0" applyNumberFormat="1" applyFont="1" applyFill="1" applyBorder="1" applyAlignment="1">
      <alignment horizontal="center"/>
    </xf>
    <xf numFmtId="49" fontId="23" fillId="5" borderId="33" xfId="0" applyNumberFormat="1" applyFont="1" applyFill="1" applyBorder="1" applyAlignment="1">
      <alignment horizontal="center" vertical="center" wrapText="1"/>
    </xf>
    <xf numFmtId="3" fontId="6" fillId="0" borderId="96" xfId="0" applyNumberFormat="1" applyFont="1" applyBorder="1" applyAlignment="1">
      <alignment vertical="center"/>
    </xf>
    <xf numFmtId="3" fontId="0" fillId="0" borderId="91" xfId="0" applyNumberFormat="1" applyBorder="1" applyAlignment="1">
      <alignment horizontal="left"/>
    </xf>
    <xf numFmtId="3" fontId="0" fillId="0" borderId="23" xfId="0" applyNumberFormat="1" applyBorder="1"/>
    <xf numFmtId="170" fontId="0" fillId="0" borderId="33" xfId="0" applyNumberFormat="1" applyBorder="1"/>
    <xf numFmtId="3" fontId="0" fillId="0" borderId="91" xfId="0" applyNumberFormat="1" applyBorder="1"/>
    <xf numFmtId="3" fontId="0" fillId="0" borderId="91" xfId="0" applyNumberFormat="1" applyBorder="1" applyAlignment="1">
      <alignment horizontal="left" vertical="center" wrapText="1"/>
    </xf>
    <xf numFmtId="0" fontId="0" fillId="0" borderId="91" xfId="0" applyBorder="1"/>
    <xf numFmtId="0" fontId="0" fillId="0" borderId="92" xfId="0" applyBorder="1"/>
    <xf numFmtId="0" fontId="0" fillId="0" borderId="23" xfId="0" applyBorder="1"/>
    <xf numFmtId="0" fontId="0" fillId="0" borderId="33" xfId="0" applyBorder="1"/>
    <xf numFmtId="3" fontId="0" fillId="0" borderId="100" xfId="0" applyNumberFormat="1" applyBorder="1" applyAlignment="1">
      <alignment horizontal="left"/>
    </xf>
    <xf numFmtId="0" fontId="8" fillId="0" borderId="91" xfId="0" applyFont="1" applyBorder="1"/>
    <xf numFmtId="0" fontId="8" fillId="0" borderId="0" xfId="0" applyFont="1" applyAlignment="1">
      <alignment horizontal="left"/>
    </xf>
    <xf numFmtId="0" fontId="8" fillId="0" borderId="23" xfId="0" applyFont="1" applyBorder="1" applyAlignment="1">
      <alignment horizontal="left"/>
    </xf>
    <xf numFmtId="0" fontId="8" fillId="0" borderId="0" xfId="0" applyFont="1"/>
    <xf numFmtId="0" fontId="35" fillId="0" borderId="91" xfId="0" applyFont="1" applyBorder="1" applyAlignment="1">
      <alignment horizontal="center" vertical="center"/>
    </xf>
    <xf numFmtId="3" fontId="51" fillId="0" borderId="0" xfId="0" applyNumberFormat="1" applyFont="1" applyAlignment="1">
      <alignment horizontal="right" vertical="center"/>
    </xf>
    <xf numFmtId="3" fontId="51" fillId="0" borderId="23" xfId="0" applyNumberFormat="1" applyFont="1" applyBorder="1" applyAlignment="1">
      <alignment horizontal="right" vertical="center"/>
    </xf>
    <xf numFmtId="0" fontId="25" fillId="0" borderId="91" xfId="0" applyFont="1" applyBorder="1"/>
    <xf numFmtId="3" fontId="25" fillId="0" borderId="0" xfId="0" applyNumberFormat="1" applyFont="1" applyAlignment="1">
      <alignment horizontal="left"/>
    </xf>
    <xf numFmtId="3" fontId="25" fillId="0" borderId="23" xfId="0" applyNumberFormat="1" applyFont="1" applyBorder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23" xfId="0" applyNumberFormat="1" applyFont="1" applyBorder="1" applyAlignment="1">
      <alignment horizontal="right"/>
    </xf>
    <xf numFmtId="3" fontId="25" fillId="0" borderId="0" xfId="0" applyNumberFormat="1" applyFont="1" applyAlignment="1">
      <alignment horizontal="right"/>
    </xf>
    <xf numFmtId="3" fontId="25" fillId="0" borderId="23" xfId="0" applyNumberFormat="1" applyFont="1" applyBorder="1" applyAlignment="1">
      <alignment horizontal="right"/>
    </xf>
    <xf numFmtId="3" fontId="35" fillId="0" borderId="0" xfId="0" applyNumberFormat="1" applyFont="1" applyAlignment="1">
      <alignment horizontal="right" vertical="center"/>
    </xf>
    <xf numFmtId="3" fontId="35" fillId="0" borderId="23" xfId="0" applyNumberFormat="1" applyFont="1" applyBorder="1" applyAlignment="1">
      <alignment horizontal="right" vertical="center"/>
    </xf>
    <xf numFmtId="0" fontId="6" fillId="0" borderId="91" xfId="0" applyFont="1" applyBorder="1" applyAlignment="1">
      <alignment horizontal="center" vertical="center"/>
    </xf>
    <xf numFmtId="3" fontId="49" fillId="0" borderId="0" xfId="0" applyNumberFormat="1" applyFont="1" applyAlignment="1">
      <alignment horizontal="right" vertical="center"/>
    </xf>
    <xf numFmtId="3" fontId="49" fillId="0" borderId="23" xfId="0" applyNumberFormat="1" applyFont="1" applyBorder="1" applyAlignment="1">
      <alignment horizontal="right" vertical="center"/>
    </xf>
    <xf numFmtId="3" fontId="8" fillId="0" borderId="0" xfId="0" applyNumberFormat="1" applyFont="1"/>
    <xf numFmtId="3" fontId="8" fillId="0" borderId="23" xfId="0" applyNumberFormat="1" applyFont="1" applyBorder="1"/>
    <xf numFmtId="0" fontId="25" fillId="0" borderId="90" xfId="0" applyFont="1" applyBorder="1"/>
    <xf numFmtId="0" fontId="25" fillId="0" borderId="69" xfId="0" applyFont="1" applyBorder="1"/>
    <xf numFmtId="0" fontId="25" fillId="0" borderId="93" xfId="0" applyFont="1" applyBorder="1"/>
    <xf numFmtId="3" fontId="25" fillId="0" borderId="69" xfId="0" applyNumberFormat="1" applyFont="1" applyBorder="1"/>
    <xf numFmtId="0" fontId="25" fillId="0" borderId="35" xfId="0" applyFont="1" applyBorder="1"/>
    <xf numFmtId="0" fontId="35" fillId="0" borderId="37" xfId="0" applyFont="1" applyBorder="1" applyAlignment="1">
      <alignment horizontal="center" vertical="center"/>
    </xf>
    <xf numFmtId="3" fontId="0" fillId="0" borderId="0" xfId="0" applyNumberFormat="1" applyAlignment="1">
      <alignment horizontal="right"/>
    </xf>
    <xf numFmtId="0" fontId="6" fillId="0" borderId="105" xfId="0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left"/>
    </xf>
    <xf numFmtId="3" fontId="25" fillId="0" borderId="10" xfId="0" applyNumberFormat="1" applyFont="1" applyBorder="1"/>
    <xf numFmtId="3" fontId="42" fillId="0" borderId="37" xfId="0" applyNumberFormat="1" applyFont="1" applyBorder="1"/>
    <xf numFmtId="3" fontId="6" fillId="0" borderId="110" xfId="0" applyNumberFormat="1" applyFont="1" applyBorder="1"/>
    <xf numFmtId="3" fontId="0" fillId="0" borderId="110" xfId="0" applyNumberFormat="1" applyBorder="1"/>
    <xf numFmtId="3" fontId="0" fillId="0" borderId="112" xfId="0" applyNumberFormat="1" applyBorder="1"/>
    <xf numFmtId="3" fontId="42" fillId="0" borderId="112" xfId="0" applyNumberFormat="1" applyFont="1" applyBorder="1"/>
    <xf numFmtId="3" fontId="42" fillId="0" borderId="110" xfId="0" applyNumberFormat="1" applyFont="1" applyBorder="1"/>
    <xf numFmtId="3" fontId="25" fillId="0" borderId="0" xfId="0" applyNumberFormat="1" applyFont="1"/>
    <xf numFmtId="0" fontId="36" fillId="0" borderId="19" xfId="0" applyFont="1" applyBorder="1" applyAlignment="1">
      <alignment horizontal="center" vertical="center"/>
    </xf>
    <xf numFmtId="3" fontId="4" fillId="0" borderId="0" xfId="0" applyNumberFormat="1" applyFont="1"/>
    <xf numFmtId="179" fontId="41" fillId="0" borderId="0" xfId="0" applyNumberFormat="1" applyFont="1" applyAlignment="1">
      <alignment horizontal="center"/>
    </xf>
    <xf numFmtId="3" fontId="24" fillId="0" borderId="0" xfId="0" applyNumberFormat="1" applyFont="1"/>
    <xf numFmtId="3" fontId="41" fillId="0" borderId="0" xfId="0" applyNumberFormat="1" applyFont="1" applyAlignment="1">
      <alignment horizontal="center"/>
    </xf>
    <xf numFmtId="3" fontId="35" fillId="0" borderId="0" xfId="0" applyNumberFormat="1" applyFont="1" applyAlignment="1">
      <alignment horizontal="left"/>
    </xf>
    <xf numFmtId="3" fontId="35" fillId="0" borderId="0" xfId="0" applyNumberFormat="1" applyFont="1"/>
    <xf numFmtId="3" fontId="43" fillId="0" borderId="0" xfId="0" applyNumberFormat="1" applyFont="1" applyAlignment="1">
      <alignment horizontal="left"/>
    </xf>
    <xf numFmtId="4" fontId="18" fillId="0" borderId="0" xfId="0" applyNumberFormat="1" applyFont="1" applyAlignment="1">
      <alignment vertical="center"/>
    </xf>
    <xf numFmtId="0" fontId="53" fillId="0" borderId="0" xfId="0" applyFont="1"/>
    <xf numFmtId="3" fontId="43" fillId="0" borderId="0" xfId="0" applyNumberFormat="1" applyFont="1"/>
    <xf numFmtId="0" fontId="54" fillId="0" borderId="0" xfId="0" applyFont="1"/>
    <xf numFmtId="4" fontId="43" fillId="0" borderId="0" xfId="0" applyNumberFormat="1" applyFont="1"/>
    <xf numFmtId="0" fontId="52" fillId="0" borderId="0" xfId="0" applyFont="1"/>
    <xf numFmtId="3" fontId="35" fillId="0" borderId="0" xfId="0" applyNumberFormat="1" applyFont="1" applyAlignment="1">
      <alignment horizontal="left" vertical="center"/>
    </xf>
    <xf numFmtId="3" fontId="35" fillId="0" borderId="0" xfId="0" applyNumberFormat="1" applyFont="1" applyAlignment="1">
      <alignment vertical="center"/>
    </xf>
    <xf numFmtId="3" fontId="53" fillId="0" borderId="0" xfId="0" applyNumberFormat="1" applyFont="1"/>
    <xf numFmtId="3" fontId="35" fillId="0" borderId="0" xfId="0" applyNumberFormat="1" applyFont="1" applyAlignment="1">
      <alignment vertical="center" wrapText="1"/>
    </xf>
    <xf numFmtId="0" fontId="35" fillId="0" borderId="0" xfId="0" applyFont="1" applyAlignment="1">
      <alignment horizontal="center" vertical="center"/>
    </xf>
    <xf numFmtId="3" fontId="8" fillId="0" borderId="105" xfId="0" applyNumberFormat="1" applyFont="1" applyBorder="1" applyAlignment="1">
      <alignment horizontal="right"/>
    </xf>
    <xf numFmtId="3" fontId="36" fillId="0" borderId="0" xfId="0" applyNumberFormat="1" applyFont="1" applyAlignment="1">
      <alignment horizontal="left"/>
    </xf>
    <xf numFmtId="4" fontId="37" fillId="0" borderId="0" xfId="0" applyNumberFormat="1" applyFont="1"/>
    <xf numFmtId="170" fontId="37" fillId="0" borderId="0" xfId="0" applyNumberFormat="1" applyFont="1" applyAlignment="1">
      <alignment horizontal="center" vertical="center"/>
    </xf>
    <xf numFmtId="3" fontId="25" fillId="0" borderId="9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3" fontId="6" fillId="0" borderId="91" xfId="0" applyNumberFormat="1" applyFont="1" applyBorder="1" applyAlignment="1">
      <alignment horizontal="left"/>
    </xf>
    <xf numFmtId="170" fontId="6" fillId="0" borderId="122" xfId="0" applyNumberFormat="1" applyFont="1" applyBorder="1"/>
    <xf numFmtId="0" fontId="34" fillId="0" borderId="114" xfId="0" applyFont="1" applyBorder="1" applyAlignment="1">
      <alignment vertical="center"/>
    </xf>
    <xf numFmtId="0" fontId="34" fillId="0" borderId="35" xfId="0" applyFont="1" applyBorder="1"/>
    <xf numFmtId="0" fontId="34" fillId="0" borderId="114" xfId="0" applyFont="1" applyBorder="1" applyAlignment="1">
      <alignment horizontal="center" vertical="center"/>
    </xf>
    <xf numFmtId="0" fontId="23" fillId="5" borderId="128" xfId="0" applyFont="1" applyFill="1" applyBorder="1" applyAlignment="1">
      <alignment horizontal="center"/>
    </xf>
    <xf numFmtId="0" fontId="34" fillId="7" borderId="49" xfId="0" applyFont="1" applyFill="1" applyBorder="1" applyAlignment="1">
      <alignment horizontal="center" vertical="center" wrapText="1"/>
    </xf>
    <xf numFmtId="0" fontId="34" fillId="7" borderId="71" xfId="0" applyFont="1" applyFill="1" applyBorder="1" applyAlignment="1">
      <alignment horizontal="center" vertical="center"/>
    </xf>
    <xf numFmtId="0" fontId="34" fillId="7" borderId="52" xfId="0" applyFont="1" applyFill="1" applyBorder="1" applyAlignment="1">
      <alignment horizontal="center" vertical="center"/>
    </xf>
    <xf numFmtId="0" fontId="34" fillId="7" borderId="53" xfId="0" applyFont="1" applyFill="1" applyBorder="1" applyAlignment="1">
      <alignment horizontal="center" vertical="center"/>
    </xf>
    <xf numFmtId="0" fontId="34" fillId="7" borderId="51" xfId="0" applyFont="1" applyFill="1" applyBorder="1" applyAlignment="1">
      <alignment horizontal="center" vertical="center"/>
    </xf>
    <xf numFmtId="0" fontId="34" fillId="7" borderId="72" xfId="0" applyFont="1" applyFill="1" applyBorder="1" applyAlignment="1">
      <alignment horizontal="center" vertical="center"/>
    </xf>
    <xf numFmtId="0" fontId="34" fillId="7" borderId="50" xfId="0" applyFont="1" applyFill="1" applyBorder="1" applyAlignment="1">
      <alignment horizontal="center" vertical="center" wrapText="1"/>
    </xf>
    <xf numFmtId="0" fontId="34" fillId="7" borderId="17" xfId="0" applyFont="1" applyFill="1" applyBorder="1" applyAlignment="1">
      <alignment horizontal="center" vertical="center" wrapText="1"/>
    </xf>
    <xf numFmtId="0" fontId="34" fillId="7" borderId="17" xfId="0" applyFont="1" applyFill="1" applyBorder="1" applyAlignment="1">
      <alignment horizontal="center" vertical="center"/>
    </xf>
    <xf numFmtId="0" fontId="34" fillId="7" borderId="18" xfId="0" applyFont="1" applyFill="1" applyBorder="1" applyAlignment="1">
      <alignment horizontal="center" vertical="center"/>
    </xf>
    <xf numFmtId="0" fontId="34" fillId="7" borderId="61" xfId="0" applyFont="1" applyFill="1" applyBorder="1" applyAlignment="1">
      <alignment horizontal="center" vertical="center"/>
    </xf>
    <xf numFmtId="0" fontId="34" fillId="7" borderId="42" xfId="0" applyFont="1" applyFill="1" applyBorder="1" applyAlignment="1">
      <alignment horizontal="center" vertical="center" wrapText="1"/>
    </xf>
    <xf numFmtId="0" fontId="34" fillId="7" borderId="42" xfId="0" applyFont="1" applyFill="1" applyBorder="1" applyAlignment="1">
      <alignment horizontal="center" vertical="center"/>
    </xf>
    <xf numFmtId="0" fontId="34" fillId="7" borderId="43" xfId="0" applyFont="1" applyFill="1" applyBorder="1" applyAlignment="1">
      <alignment horizontal="center"/>
    </xf>
    <xf numFmtId="0" fontId="34" fillId="7" borderId="126" xfId="0" applyFont="1" applyFill="1" applyBorder="1" applyAlignment="1">
      <alignment horizontal="center" vertical="center" wrapText="1"/>
    </xf>
    <xf numFmtId="0" fontId="34" fillId="7" borderId="61" xfId="0" applyFont="1" applyFill="1" applyBorder="1" applyAlignment="1">
      <alignment horizontal="center" vertical="center" wrapText="1"/>
    </xf>
    <xf numFmtId="0" fontId="34" fillId="7" borderId="61" xfId="0" applyFont="1" applyFill="1" applyBorder="1" applyAlignment="1">
      <alignment horizontal="center"/>
    </xf>
    <xf numFmtId="3" fontId="55" fillId="0" borderId="0" xfId="0" applyNumberFormat="1" applyFont="1"/>
    <xf numFmtId="3" fontId="56" fillId="0" borderId="0" xfId="0" applyNumberFormat="1" applyFont="1"/>
    <xf numFmtId="3" fontId="55" fillId="0" borderId="0" xfId="0" applyNumberFormat="1" applyFont="1" applyAlignment="1">
      <alignment vertical="center"/>
    </xf>
    <xf numFmtId="0" fontId="34" fillId="7" borderId="127" xfId="0" applyFont="1" applyFill="1" applyBorder="1" applyAlignment="1">
      <alignment horizontal="center" vertical="center"/>
    </xf>
    <xf numFmtId="3" fontId="34" fillId="7" borderId="93" xfId="0" applyNumberFormat="1" applyFont="1" applyFill="1" applyBorder="1" applyAlignment="1">
      <alignment horizontal="center" vertical="center"/>
    </xf>
    <xf numFmtId="3" fontId="34" fillId="7" borderId="109" xfId="0" applyNumberFormat="1" applyFont="1" applyFill="1" applyBorder="1" applyAlignment="1">
      <alignment horizontal="center" vertical="center" wrapText="1"/>
    </xf>
    <xf numFmtId="173" fontId="34" fillId="7" borderId="93" xfId="0" applyNumberFormat="1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34" fillId="7" borderId="29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 wrapText="1"/>
    </xf>
    <xf numFmtId="0" fontId="6" fillId="8" borderId="81" xfId="0" applyFont="1" applyFill="1" applyBorder="1" applyAlignment="1">
      <alignment horizontal="center" vertical="center"/>
    </xf>
    <xf numFmtId="0" fontId="6" fillId="8" borderId="73" xfId="0" applyFont="1" applyFill="1" applyBorder="1" applyAlignment="1">
      <alignment horizontal="center" vertical="center"/>
    </xf>
    <xf numFmtId="3" fontId="0" fillId="0" borderId="92" xfId="0" applyNumberFormat="1" applyBorder="1"/>
    <xf numFmtId="3" fontId="0" fillId="0" borderId="124" xfId="0" applyNumberFormat="1" applyBorder="1" applyAlignment="1">
      <alignment horizontal="left"/>
    </xf>
    <xf numFmtId="0" fontId="34" fillId="5" borderId="7" xfId="0" applyFont="1" applyFill="1" applyBorder="1" applyAlignment="1">
      <alignment horizontal="center" vertical="center" wrapText="1"/>
    </xf>
    <xf numFmtId="0" fontId="34" fillId="5" borderId="3" xfId="0" applyFont="1" applyFill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center"/>
    </xf>
    <xf numFmtId="0" fontId="34" fillId="4" borderId="5" xfId="0" applyFont="1" applyFill="1" applyBorder="1" applyAlignment="1">
      <alignment horizontal="center"/>
    </xf>
    <xf numFmtId="0" fontId="36" fillId="0" borderId="7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34" fillId="8" borderId="113" xfId="0" applyFont="1" applyFill="1" applyBorder="1" applyAlignment="1">
      <alignment horizontal="center" vertical="center" wrapText="1"/>
    </xf>
    <xf numFmtId="3" fontId="34" fillId="0" borderId="113" xfId="0" applyNumberFormat="1" applyFont="1" applyBorder="1" applyAlignment="1">
      <alignment vertical="center"/>
    </xf>
    <xf numFmtId="3" fontId="34" fillId="0" borderId="125" xfId="0" applyNumberFormat="1" applyFont="1" applyBorder="1" applyAlignment="1">
      <alignment vertical="center"/>
    </xf>
    <xf numFmtId="170" fontId="34" fillId="0" borderId="122" xfId="0" applyNumberFormat="1" applyFont="1" applyBorder="1" applyAlignment="1">
      <alignment horizontal="center" vertical="center"/>
    </xf>
    <xf numFmtId="3" fontId="23" fillId="0" borderId="23" xfId="0" applyNumberFormat="1" applyFont="1" applyBorder="1"/>
    <xf numFmtId="170" fontId="23" fillId="0" borderId="33" xfId="0" applyNumberFormat="1" applyFont="1" applyBorder="1" applyAlignment="1">
      <alignment horizontal="center" vertical="center"/>
    </xf>
    <xf numFmtId="3" fontId="34" fillId="0" borderId="23" xfId="0" applyNumberFormat="1" applyFont="1" applyBorder="1"/>
    <xf numFmtId="170" fontId="34" fillId="0" borderId="33" xfId="0" applyNumberFormat="1" applyFont="1" applyBorder="1" applyAlignment="1">
      <alignment horizontal="center" vertical="center"/>
    </xf>
    <xf numFmtId="3" fontId="34" fillId="0" borderId="82" xfId="0" applyNumberFormat="1" applyFont="1" applyBorder="1"/>
    <xf numFmtId="170" fontId="34" fillId="0" borderId="118" xfId="0" applyNumberFormat="1" applyFont="1" applyBorder="1" applyAlignment="1">
      <alignment horizontal="center" vertical="center"/>
    </xf>
    <xf numFmtId="3" fontId="42" fillId="0" borderId="23" xfId="0" applyNumberFormat="1" applyFont="1" applyBorder="1"/>
    <xf numFmtId="0" fontId="1" fillId="7" borderId="12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64" xfId="0" applyFont="1" applyFill="1" applyBorder="1" applyAlignment="1">
      <alignment horizontal="center" vertical="center"/>
    </xf>
    <xf numFmtId="0" fontId="1" fillId="7" borderId="139" xfId="0" applyFont="1" applyFill="1" applyBorder="1" applyAlignment="1">
      <alignment horizontal="center" vertical="center"/>
    </xf>
    <xf numFmtId="3" fontId="49" fillId="0" borderId="3" xfId="0" applyNumberFormat="1" applyFont="1" applyBorder="1" applyAlignment="1">
      <alignment horizontal="right" vertical="center"/>
    </xf>
    <xf numFmtId="3" fontId="34" fillId="0" borderId="3" xfId="0" applyNumberFormat="1" applyFont="1" applyBorder="1"/>
    <xf numFmtId="170" fontId="34" fillId="0" borderId="5" xfId="0" applyNumberFormat="1" applyFont="1" applyBorder="1" applyAlignment="1">
      <alignment horizontal="center"/>
    </xf>
    <xf numFmtId="3" fontId="6" fillId="0" borderId="3" xfId="0" applyNumberFormat="1" applyFont="1" applyBorder="1"/>
    <xf numFmtId="170" fontId="6" fillId="0" borderId="5" xfId="0" applyNumberFormat="1" applyFont="1" applyBorder="1" applyAlignment="1">
      <alignment horizontal="center"/>
    </xf>
    <xf numFmtId="3" fontId="23" fillId="0" borderId="3" xfId="0" applyNumberFormat="1" applyFont="1" applyBorder="1"/>
    <xf numFmtId="170" fontId="23" fillId="0" borderId="5" xfId="0" applyNumberFormat="1" applyFont="1" applyBorder="1" applyAlignment="1">
      <alignment horizontal="center"/>
    </xf>
    <xf numFmtId="0" fontId="23" fillId="0" borderId="7" xfId="0" applyFont="1" applyBorder="1"/>
    <xf numFmtId="0" fontId="46" fillId="0" borderId="7" xfId="0" applyFont="1" applyBorder="1"/>
    <xf numFmtId="0" fontId="58" fillId="0" borderId="7" xfId="0" applyFont="1" applyBorder="1"/>
    <xf numFmtId="0" fontId="59" fillId="0" borderId="7" xfId="0" applyFont="1" applyBorder="1"/>
    <xf numFmtId="0" fontId="34" fillId="0" borderId="65" xfId="0" applyFont="1" applyBorder="1"/>
    <xf numFmtId="0" fontId="6" fillId="0" borderId="7" xfId="0" applyFont="1" applyBorder="1"/>
    <xf numFmtId="0" fontId="6" fillId="0" borderId="3" xfId="0" applyFont="1" applyBorder="1"/>
    <xf numFmtId="170" fontId="49" fillId="0" borderId="5" xfId="0" applyNumberFormat="1" applyFont="1" applyBorder="1" applyAlignment="1">
      <alignment horizontal="center" vertical="center"/>
    </xf>
    <xf numFmtId="0" fontId="34" fillId="7" borderId="143" xfId="0" applyFont="1" applyFill="1" applyBorder="1" applyAlignment="1">
      <alignment horizontal="center" vertical="center" wrapText="1"/>
    </xf>
    <xf numFmtId="170" fontId="37" fillId="4" borderId="9" xfId="0" applyNumberFormat="1" applyFont="1" applyFill="1" applyBorder="1"/>
    <xf numFmtId="0" fontId="19" fillId="0" borderId="0" xfId="0" applyFont="1" applyAlignment="1">
      <alignment horizontal="center"/>
    </xf>
    <xf numFmtId="0" fontId="60" fillId="0" borderId="0" xfId="0" applyFont="1"/>
    <xf numFmtId="0" fontId="1" fillId="8" borderId="125" xfId="0" applyFont="1" applyFill="1" applyBorder="1" applyAlignment="1">
      <alignment horizontal="center" vertical="center" wrapText="1"/>
    </xf>
    <xf numFmtId="0" fontId="1" fillId="8" borderId="117" xfId="0" applyFont="1" applyFill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/>
    </xf>
    <xf numFmtId="0" fontId="2" fillId="0" borderId="124" xfId="0" applyFont="1" applyBorder="1" applyAlignment="1">
      <alignment vertical="center"/>
    </xf>
    <xf numFmtId="3" fontId="23" fillId="0" borderId="12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120" xfId="0" applyFont="1" applyBorder="1" applyAlignment="1">
      <alignment horizontal="center" vertical="center"/>
    </xf>
    <xf numFmtId="3" fontId="34" fillId="4" borderId="131" xfId="0" applyNumberFormat="1" applyFont="1" applyFill="1" applyBorder="1" applyAlignment="1">
      <alignment vertical="center"/>
    </xf>
    <xf numFmtId="3" fontId="23" fillId="4" borderId="3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3" fontId="23" fillId="4" borderId="23" xfId="0" applyNumberFormat="1" applyFont="1" applyFill="1" applyBorder="1" applyAlignment="1">
      <alignment vertical="center"/>
    </xf>
    <xf numFmtId="3" fontId="34" fillId="0" borderId="125" xfId="0" applyNumberFormat="1" applyFont="1" applyBorder="1" applyAlignment="1">
      <alignment horizontal="right" vertical="center"/>
    </xf>
    <xf numFmtId="0" fontId="34" fillId="7" borderId="93" xfId="0" applyFont="1" applyFill="1" applyBorder="1" applyAlignment="1">
      <alignment horizontal="center" vertical="center"/>
    </xf>
    <xf numFmtId="3" fontId="34" fillId="7" borderId="127" xfId="0" applyNumberFormat="1" applyFont="1" applyFill="1" applyBorder="1" applyAlignment="1">
      <alignment horizontal="center" vertical="center"/>
    </xf>
    <xf numFmtId="3" fontId="23" fillId="5" borderId="147" xfId="0" applyNumberFormat="1" applyFont="1" applyFill="1" applyBorder="1" applyAlignment="1">
      <alignment horizontal="center"/>
    </xf>
    <xf numFmtId="3" fontId="6" fillId="0" borderId="148" xfId="0" applyNumberFormat="1" applyFont="1" applyBorder="1" applyAlignment="1">
      <alignment vertical="center"/>
    </xf>
    <xf numFmtId="0" fontId="0" fillId="0" borderId="147" xfId="0" applyBorder="1"/>
    <xf numFmtId="3" fontId="34" fillId="0" borderId="96" xfId="0" applyNumberFormat="1" applyFont="1" applyBorder="1" applyAlignment="1">
      <alignment horizontal="left" vertical="center"/>
    </xf>
    <xf numFmtId="3" fontId="34" fillId="0" borderId="23" xfId="0" applyNumberFormat="1" applyFont="1" applyBorder="1" applyAlignment="1">
      <alignment horizontal="left"/>
    </xf>
    <xf numFmtId="3" fontId="23" fillId="0" borderId="23" xfId="0" applyNumberFormat="1" applyFont="1" applyBorder="1" applyAlignment="1">
      <alignment horizontal="left"/>
    </xf>
    <xf numFmtId="3" fontId="34" fillId="0" borderId="98" xfId="0" applyNumberFormat="1" applyFont="1" applyBorder="1" applyAlignment="1">
      <alignment horizontal="left" vertical="center"/>
    </xf>
    <xf numFmtId="3" fontId="23" fillId="0" borderId="23" xfId="0" applyNumberFormat="1" applyFont="1" applyBorder="1" applyAlignment="1">
      <alignment vertical="center" wrapText="1"/>
    </xf>
    <xf numFmtId="3" fontId="34" fillId="0" borderId="96" xfId="0" applyNumberFormat="1" applyFont="1" applyBorder="1" applyAlignment="1">
      <alignment vertical="center"/>
    </xf>
    <xf numFmtId="3" fontId="23" fillId="0" borderId="99" xfId="0" applyNumberFormat="1" applyFont="1" applyBorder="1"/>
    <xf numFmtId="0" fontId="23" fillId="0" borderId="92" xfId="0" applyFont="1" applyBorder="1"/>
    <xf numFmtId="3" fontId="34" fillId="0" borderId="97" xfId="0" applyNumberFormat="1" applyFont="1" applyBorder="1" applyAlignment="1">
      <alignment horizontal="left" vertical="center"/>
    </xf>
    <xf numFmtId="3" fontId="34" fillId="0" borderId="98" xfId="0" applyNumberFormat="1" applyFont="1" applyBorder="1" applyAlignment="1">
      <alignment vertical="center"/>
    </xf>
    <xf numFmtId="170" fontId="34" fillId="0" borderId="122" xfId="0" applyNumberFormat="1" applyFont="1" applyBorder="1" applyAlignment="1">
      <alignment vertical="center"/>
    </xf>
    <xf numFmtId="3" fontId="34" fillId="0" borderId="95" xfId="0" applyNumberFormat="1" applyFont="1" applyBorder="1" applyAlignment="1">
      <alignment horizontal="left" vertical="center"/>
    </xf>
    <xf numFmtId="170" fontId="34" fillId="0" borderId="33" xfId="0" applyNumberFormat="1" applyFont="1" applyBorder="1"/>
    <xf numFmtId="3" fontId="34" fillId="0" borderId="148" xfId="0" applyNumberFormat="1" applyFont="1" applyBorder="1" applyAlignment="1">
      <alignment vertical="center"/>
    </xf>
    <xf numFmtId="3" fontId="34" fillId="0" borderId="101" xfId="0" applyNumberFormat="1" applyFont="1" applyBorder="1" applyAlignment="1">
      <alignment horizontal="center" vertical="center"/>
    </xf>
    <xf numFmtId="3" fontId="34" fillId="0" borderId="101" xfId="0" applyNumberFormat="1" applyFont="1" applyBorder="1" applyAlignment="1">
      <alignment vertical="center"/>
    </xf>
    <xf numFmtId="0" fontId="1" fillId="7" borderId="104" xfId="0" applyFont="1" applyFill="1" applyBorder="1" applyAlignment="1">
      <alignment horizontal="center" vertical="center"/>
    </xf>
    <xf numFmtId="0" fontId="34" fillId="4" borderId="7" xfId="0" applyFont="1" applyFill="1" applyBorder="1" applyAlignment="1">
      <alignment horizontal="center"/>
    </xf>
    <xf numFmtId="3" fontId="49" fillId="0" borderId="7" xfId="0" applyNumberFormat="1" applyFont="1" applyBorder="1" applyAlignment="1">
      <alignment horizontal="right" vertical="center"/>
    </xf>
    <xf numFmtId="3" fontId="36" fillId="0" borderId="7" xfId="0" applyNumberFormat="1" applyFont="1" applyBorder="1"/>
    <xf numFmtId="3" fontId="6" fillId="0" borderId="7" xfId="0" applyNumberFormat="1" applyFont="1" applyBorder="1"/>
    <xf numFmtId="3" fontId="23" fillId="0" borderId="7" xfId="0" applyNumberFormat="1" applyFont="1" applyBorder="1"/>
    <xf numFmtId="3" fontId="34" fillId="0" borderId="7" xfId="0" applyNumberFormat="1" applyFont="1" applyBorder="1"/>
    <xf numFmtId="3" fontId="6" fillId="0" borderId="7" xfId="0" applyNumberFormat="1" applyFont="1" applyBorder="1" applyAlignment="1">
      <alignment horizontal="center"/>
    </xf>
    <xf numFmtId="3" fontId="32" fillId="0" borderId="7" xfId="0" applyNumberFormat="1" applyFont="1" applyBorder="1"/>
    <xf numFmtId="3" fontId="1" fillId="0" borderId="7" xfId="0" applyNumberFormat="1" applyFont="1" applyBorder="1"/>
    <xf numFmtId="3" fontId="2" fillId="0" borderId="7" xfId="0" applyNumberFormat="1" applyFont="1" applyBorder="1"/>
    <xf numFmtId="3" fontId="2" fillId="0" borderId="65" xfId="0" applyNumberFormat="1" applyFont="1" applyBorder="1"/>
    <xf numFmtId="0" fontId="2" fillId="4" borderId="5" xfId="0" applyFont="1" applyFill="1" applyBorder="1" applyAlignment="1">
      <alignment horizontal="center" vertical="center"/>
    </xf>
    <xf numFmtId="3" fontId="6" fillId="0" borderId="5" xfId="0" applyNumberFormat="1" applyFont="1" applyBorder="1" applyAlignment="1">
      <alignment horizontal="right" vertical="center"/>
    </xf>
    <xf numFmtId="3" fontId="0" fillId="0" borderId="5" xfId="0" applyNumberFormat="1" applyBorder="1"/>
    <xf numFmtId="3" fontId="6" fillId="0" borderId="5" xfId="0" applyNumberFormat="1" applyFont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0" fillId="0" borderId="7" xfId="0" applyNumberFormat="1" applyBorder="1"/>
    <xf numFmtId="0" fontId="34" fillId="7" borderId="157" xfId="0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/>
    </xf>
    <xf numFmtId="0" fontId="1" fillId="8" borderId="156" xfId="0" applyFont="1" applyFill="1" applyBorder="1" applyAlignment="1">
      <alignment horizontal="center" vertical="center" wrapText="1"/>
    </xf>
    <xf numFmtId="4" fontId="35" fillId="0" borderId="0" xfId="0" applyNumberFormat="1" applyFont="1"/>
    <xf numFmtId="0" fontId="23" fillId="0" borderId="124" xfId="0" applyFont="1" applyBorder="1"/>
    <xf numFmtId="37" fontId="0" fillId="0" borderId="23" xfId="0" applyNumberFormat="1" applyBorder="1"/>
    <xf numFmtId="2" fontId="2" fillId="0" borderId="0" xfId="0" applyNumberFormat="1" applyFont="1"/>
    <xf numFmtId="4" fontId="0" fillId="0" borderId="27" xfId="0" applyNumberFormat="1" applyBorder="1"/>
    <xf numFmtId="4" fontId="34" fillId="0" borderId="23" xfId="0" applyNumberFormat="1" applyFont="1" applyBorder="1"/>
    <xf numFmtId="4" fontId="23" fillId="0" borderId="23" xfId="0" applyNumberFormat="1" applyFont="1" applyBorder="1"/>
    <xf numFmtId="4" fontId="3" fillId="0" borderId="0" xfId="0" applyNumberFormat="1" applyFont="1"/>
    <xf numFmtId="3" fontId="6" fillId="0" borderId="3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vertical="center"/>
    </xf>
    <xf numFmtId="3" fontId="0" fillId="0" borderId="11" xfId="0" applyNumberFormat="1" applyBorder="1"/>
    <xf numFmtId="3" fontId="0" fillId="0" borderId="5" xfId="0" applyNumberFormat="1" applyBorder="1" applyAlignment="1">
      <alignment horizontal="center"/>
    </xf>
    <xf numFmtId="3" fontId="23" fillId="9" borderId="19" xfId="0" applyNumberFormat="1" applyFont="1" applyFill="1" applyBorder="1" applyAlignment="1">
      <alignment vertical="center"/>
    </xf>
    <xf numFmtId="3" fontId="34" fillId="9" borderId="131" xfId="0" applyNumberFormat="1" applyFont="1" applyFill="1" applyBorder="1" applyAlignment="1">
      <alignment vertical="center"/>
    </xf>
    <xf numFmtId="3" fontId="34" fillId="9" borderId="125" xfId="0" applyNumberFormat="1" applyFont="1" applyFill="1" applyBorder="1" applyAlignment="1">
      <alignment vertical="center"/>
    </xf>
    <xf numFmtId="3" fontId="23" fillId="9" borderId="0" xfId="0" applyNumberFormat="1" applyFont="1" applyFill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9" borderId="124" xfId="0" applyNumberFormat="1" applyFont="1" applyFill="1" applyBorder="1" applyAlignment="1">
      <alignment vertical="center"/>
    </xf>
    <xf numFmtId="170" fontId="6" fillId="0" borderId="5" xfId="0" applyNumberFormat="1" applyFont="1" applyBorder="1" applyAlignment="1">
      <alignment horizontal="right" vertical="center"/>
    </xf>
    <xf numFmtId="170" fontId="6" fillId="0" borderId="5" xfId="0" applyNumberFormat="1" applyFont="1" applyBorder="1" applyAlignment="1">
      <alignment vertical="center"/>
    </xf>
    <xf numFmtId="170" fontId="0" fillId="0" borderId="5" xfId="0" applyNumberFormat="1" applyBorder="1"/>
    <xf numFmtId="170" fontId="0" fillId="0" borderId="5" xfId="0" applyNumberFormat="1" applyBorder="1" applyAlignment="1">
      <alignment horizontal="right"/>
    </xf>
    <xf numFmtId="4" fontId="34" fillId="0" borderId="113" xfId="0" applyNumberFormat="1" applyFont="1" applyBorder="1" applyAlignment="1">
      <alignment vertical="center"/>
    </xf>
    <xf numFmtId="3" fontId="23" fillId="9" borderId="19" xfId="9" applyNumberFormat="1" applyFont="1" applyFill="1" applyBorder="1" applyAlignment="1">
      <alignment vertical="center"/>
    </xf>
    <xf numFmtId="3" fontId="49" fillId="0" borderId="3" xfId="0" applyNumberFormat="1" applyFont="1" applyBorder="1" applyAlignment="1">
      <alignment vertical="center"/>
    </xf>
    <xf numFmtId="3" fontId="0" fillId="0" borderId="3" xfId="0" applyNumberFormat="1" applyBorder="1" applyAlignment="1">
      <alignment horizontal="center"/>
    </xf>
    <xf numFmtId="3" fontId="34" fillId="10" borderId="156" xfId="0" applyNumberFormat="1" applyFont="1" applyFill="1" applyBorder="1" applyAlignment="1">
      <alignment horizontal="right" vertical="center"/>
    </xf>
    <xf numFmtId="3" fontId="34" fillId="0" borderId="163" xfId="0" applyNumberFormat="1" applyFont="1" applyBorder="1" applyAlignment="1">
      <alignment vertical="center"/>
    </xf>
    <xf numFmtId="3" fontId="23" fillId="0" borderId="5" xfId="0" applyNumberFormat="1" applyFont="1" applyBorder="1" applyAlignment="1">
      <alignment vertical="center"/>
    </xf>
    <xf numFmtId="3" fontId="34" fillId="4" borderId="164" xfId="0" applyNumberFormat="1" applyFont="1" applyFill="1" applyBorder="1" applyAlignment="1">
      <alignment vertical="center"/>
    </xf>
    <xf numFmtId="3" fontId="23" fillId="4" borderId="5" xfId="0" applyNumberFormat="1" applyFont="1" applyFill="1" applyBorder="1" applyAlignment="1">
      <alignment vertical="center"/>
    </xf>
    <xf numFmtId="3" fontId="23" fillId="0" borderId="161" xfId="0" applyNumberFormat="1" applyFont="1" applyBorder="1" applyAlignment="1">
      <alignment vertical="center"/>
    </xf>
    <xf numFmtId="3" fontId="23" fillId="0" borderId="33" xfId="0" applyNumberFormat="1" applyFont="1" applyBorder="1" applyAlignment="1">
      <alignment vertical="center"/>
    </xf>
    <xf numFmtId="3" fontId="23" fillId="4" borderId="33" xfId="0" applyNumberFormat="1" applyFont="1" applyFill="1" applyBorder="1" applyAlignment="1">
      <alignment vertical="center"/>
    </xf>
    <xf numFmtId="3" fontId="34" fillId="0" borderId="163" xfId="0" applyNumberFormat="1" applyFont="1" applyBorder="1" applyAlignment="1">
      <alignment horizontal="right" vertical="center"/>
    </xf>
    <xf numFmtId="3" fontId="34" fillId="9" borderId="159" xfId="0" applyNumberFormat="1" applyFont="1" applyFill="1" applyBorder="1" applyAlignment="1">
      <alignment vertical="center"/>
    </xf>
    <xf numFmtId="3" fontId="34" fillId="9" borderId="155" xfId="0" applyNumberFormat="1" applyFont="1" applyFill="1" applyBorder="1" applyAlignment="1">
      <alignment vertical="center"/>
    </xf>
    <xf numFmtId="3" fontId="23" fillId="9" borderId="165" xfId="0" applyNumberFormat="1" applyFont="1" applyFill="1" applyBorder="1" applyAlignment="1">
      <alignment vertical="center"/>
    </xf>
    <xf numFmtId="3" fontId="34" fillId="9" borderId="159" xfId="0" applyNumberFormat="1" applyFont="1" applyFill="1" applyBorder="1" applyAlignment="1">
      <alignment horizontal="right" vertical="center"/>
    </xf>
    <xf numFmtId="3" fontId="34" fillId="10" borderId="156" xfId="0" applyNumberFormat="1" applyFont="1" applyFill="1" applyBorder="1" applyAlignment="1">
      <alignment vertical="center"/>
    </xf>
    <xf numFmtId="3" fontId="23" fillId="10" borderId="23" xfId="0" applyNumberFormat="1" applyFont="1" applyFill="1" applyBorder="1" applyAlignment="1">
      <alignment vertical="center"/>
    </xf>
    <xf numFmtId="4" fontId="4" fillId="0" borderId="0" xfId="0" applyNumberFormat="1" applyFont="1"/>
    <xf numFmtId="4" fontId="24" fillId="0" borderId="0" xfId="0" applyNumberFormat="1" applyFont="1"/>
    <xf numFmtId="3" fontId="37" fillId="2" borderId="9" xfId="0" applyNumberFormat="1" applyFont="1" applyFill="1" applyBorder="1"/>
    <xf numFmtId="3" fontId="36" fillId="0" borderId="9" xfId="0" applyNumberFormat="1" applyFont="1" applyBorder="1" applyAlignment="1">
      <alignment horizontal="right"/>
    </xf>
    <xf numFmtId="3" fontId="37" fillId="4" borderId="9" xfId="0" applyNumberFormat="1" applyFont="1" applyFill="1" applyBorder="1" applyAlignment="1">
      <alignment horizontal="left"/>
    </xf>
    <xf numFmtId="3" fontId="36" fillId="4" borderId="9" xfId="0" applyNumberFormat="1" applyFont="1" applyFill="1" applyBorder="1" applyAlignment="1">
      <alignment horizontal="left"/>
    </xf>
    <xf numFmtId="3" fontId="45" fillId="4" borderId="9" xfId="0" applyNumberFormat="1" applyFont="1" applyFill="1" applyBorder="1" applyAlignment="1">
      <alignment horizontal="left"/>
    </xf>
    <xf numFmtId="3" fontId="36" fillId="4" borderId="40" xfId="0" applyNumberFormat="1" applyFont="1" applyFill="1" applyBorder="1" applyAlignment="1">
      <alignment horizontal="right"/>
    </xf>
    <xf numFmtId="3" fontId="36" fillId="4" borderId="40" xfId="0" applyNumberFormat="1" applyFont="1" applyFill="1" applyBorder="1"/>
    <xf numFmtId="3" fontId="34" fillId="4" borderId="125" xfId="0" applyNumberFormat="1" applyFont="1" applyFill="1" applyBorder="1" applyAlignment="1">
      <alignment vertical="center"/>
    </xf>
    <xf numFmtId="3" fontId="23" fillId="4" borderId="0" xfId="0" applyNumberFormat="1" applyFont="1" applyFill="1" applyAlignment="1">
      <alignment vertical="center"/>
    </xf>
    <xf numFmtId="3" fontId="23" fillId="4" borderId="82" xfId="0" applyNumberFormat="1" applyFont="1" applyFill="1" applyBorder="1" applyAlignment="1">
      <alignment vertical="center"/>
    </xf>
    <xf numFmtId="3" fontId="34" fillId="4" borderId="125" xfId="0" applyNumberFormat="1" applyFont="1" applyFill="1" applyBorder="1" applyAlignment="1">
      <alignment horizontal="right" vertical="center"/>
    </xf>
    <xf numFmtId="3" fontId="36" fillId="0" borderId="166" xfId="0" applyNumberFormat="1" applyFont="1" applyBorder="1"/>
    <xf numFmtId="3" fontId="36" fillId="0" borderId="167" xfId="0" applyNumberFormat="1" applyFont="1" applyBorder="1"/>
    <xf numFmtId="3" fontId="37" fillId="0" borderId="167" xfId="0" applyNumberFormat="1" applyFont="1" applyBorder="1"/>
    <xf numFmtId="3" fontId="32" fillId="4" borderId="167" xfId="0" applyNumberFormat="1" applyFont="1" applyFill="1" applyBorder="1"/>
    <xf numFmtId="3" fontId="36" fillId="0" borderId="168" xfId="0" applyNumberFormat="1" applyFont="1" applyBorder="1"/>
    <xf numFmtId="175" fontId="36" fillId="4" borderId="9" xfId="0" applyNumberFormat="1" applyFont="1" applyFill="1" applyBorder="1" applyAlignment="1">
      <alignment horizontal="right"/>
    </xf>
    <xf numFmtId="170" fontId="6" fillId="0" borderId="122" xfId="0" applyNumberFormat="1" applyFont="1" applyBorder="1" applyAlignment="1">
      <alignment vertical="center"/>
    </xf>
    <xf numFmtId="170" fontId="0" fillId="0" borderId="33" xfId="0" applyNumberForma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vertical="center"/>
    </xf>
    <xf numFmtId="4" fontId="0" fillId="0" borderId="3" xfId="0" applyNumberFormat="1" applyBorder="1"/>
    <xf numFmtId="3" fontId="23" fillId="0" borderId="12" xfId="0" applyNumberFormat="1" applyFont="1" applyBorder="1" applyAlignment="1">
      <alignment horizontal="right" vertical="center"/>
    </xf>
    <xf numFmtId="3" fontId="34" fillId="4" borderId="156" xfId="0" applyNumberFormat="1" applyFont="1" applyFill="1" applyBorder="1" applyAlignment="1">
      <alignment vertical="center"/>
    </xf>
    <xf numFmtId="3" fontId="34" fillId="4" borderId="117" xfId="0" applyNumberFormat="1" applyFont="1" applyFill="1" applyBorder="1" applyAlignment="1">
      <alignment vertical="center"/>
    </xf>
    <xf numFmtId="3" fontId="34" fillId="0" borderId="159" xfId="0" applyNumberFormat="1" applyFont="1" applyBorder="1" applyAlignment="1">
      <alignment vertical="center"/>
    </xf>
    <xf numFmtId="3" fontId="23" fillId="4" borderId="160" xfId="0" applyNumberFormat="1" applyFont="1" applyFill="1" applyBorder="1" applyAlignment="1">
      <alignment vertical="center"/>
    </xf>
    <xf numFmtId="3" fontId="23" fillId="4" borderId="19" xfId="0" applyNumberFormat="1" applyFont="1" applyFill="1" applyBorder="1" applyAlignment="1">
      <alignment vertical="center"/>
    </xf>
    <xf numFmtId="3" fontId="23" fillId="0" borderId="19" xfId="0" applyNumberFormat="1" applyFont="1" applyBorder="1" applyAlignment="1">
      <alignment vertical="center"/>
    </xf>
    <xf numFmtId="3" fontId="23" fillId="4" borderId="133" xfId="0" applyNumberFormat="1" applyFont="1" applyFill="1" applyBorder="1" applyAlignment="1">
      <alignment vertical="center"/>
    </xf>
    <xf numFmtId="3" fontId="23" fillId="4" borderId="19" xfId="9" applyNumberFormat="1" applyFont="1" applyFill="1" applyBorder="1" applyAlignment="1">
      <alignment vertical="center"/>
    </xf>
    <xf numFmtId="3" fontId="23" fillId="0" borderId="12" xfId="9" applyNumberFormat="1" applyFont="1" applyBorder="1" applyAlignment="1">
      <alignment vertical="center"/>
    </xf>
    <xf numFmtId="3" fontId="23" fillId="4" borderId="12" xfId="9" applyNumberFormat="1" applyFont="1" applyFill="1" applyBorder="1" applyAlignment="1">
      <alignment vertical="center"/>
    </xf>
    <xf numFmtId="3" fontId="23" fillId="0" borderId="82" xfId="0" applyNumberFormat="1" applyFont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3" fillId="0" borderId="124" xfId="0" applyNumberFormat="1" applyFont="1" applyBorder="1" applyAlignment="1">
      <alignment vertical="center"/>
    </xf>
    <xf numFmtId="3" fontId="35" fillId="0" borderId="159" xfId="0" applyNumberFormat="1" applyFont="1" applyBorder="1" applyAlignment="1">
      <alignment vertical="center"/>
    </xf>
    <xf numFmtId="3" fontId="34" fillId="0" borderId="158" xfId="0" applyNumberFormat="1" applyFont="1" applyBorder="1" applyAlignment="1">
      <alignment vertical="center"/>
    </xf>
    <xf numFmtId="170" fontId="34" fillId="0" borderId="163" xfId="0" applyNumberFormat="1" applyFont="1" applyBorder="1" applyAlignment="1">
      <alignment horizontal="center" vertical="center"/>
    </xf>
    <xf numFmtId="3" fontId="23" fillId="0" borderId="23" xfId="0" applyNumberFormat="1" applyFont="1" applyBorder="1" applyAlignment="1">
      <alignment horizontal="right"/>
    </xf>
    <xf numFmtId="3" fontId="34" fillId="4" borderId="113" xfId="0" applyNumberFormat="1" applyFont="1" applyFill="1" applyBorder="1" applyAlignment="1">
      <alignment vertical="center"/>
    </xf>
    <xf numFmtId="3" fontId="34" fillId="4" borderId="23" xfId="0" applyNumberFormat="1" applyFont="1" applyFill="1" applyBorder="1"/>
    <xf numFmtId="3" fontId="34" fillId="0" borderId="102" xfId="0" applyNumberFormat="1" applyFont="1" applyBorder="1" applyAlignment="1">
      <alignment vertical="center"/>
    </xf>
    <xf numFmtId="3" fontId="34" fillId="0" borderId="160" xfId="0" applyNumberFormat="1" applyFont="1" applyBorder="1" applyAlignment="1">
      <alignment vertical="center"/>
    </xf>
    <xf numFmtId="3" fontId="23" fillId="4" borderId="23" xfId="0" applyNumberFormat="1" applyFont="1" applyFill="1" applyBorder="1"/>
    <xf numFmtId="3" fontId="34" fillId="0" borderId="23" xfId="0" applyNumberFormat="1" applyFont="1" applyBorder="1" applyAlignment="1">
      <alignment vertical="center"/>
    </xf>
    <xf numFmtId="3" fontId="23" fillId="4" borderId="23" xfId="0" applyNumberFormat="1" applyFont="1" applyFill="1" applyBorder="1" applyAlignment="1">
      <alignment horizontal="right"/>
    </xf>
    <xf numFmtId="3" fontId="34" fillId="4" borderId="123" xfId="0" applyNumberFormat="1" applyFont="1" applyFill="1" applyBorder="1" applyAlignment="1">
      <alignment vertical="center"/>
    </xf>
    <xf numFmtId="3" fontId="6" fillId="0" borderId="156" xfId="0" applyNumberFormat="1" applyFont="1" applyBorder="1" applyAlignment="1">
      <alignment vertical="center"/>
    </xf>
    <xf numFmtId="0" fontId="34" fillId="8" borderId="112" xfId="0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3" fontId="6" fillId="0" borderId="37" xfId="0" applyNumberFormat="1" applyFont="1" applyBorder="1" applyAlignment="1">
      <alignment horizontal="left"/>
    </xf>
    <xf numFmtId="49" fontId="0" fillId="0" borderId="37" xfId="0" applyNumberFormat="1" applyBorder="1" applyAlignment="1">
      <alignment horizontal="left"/>
    </xf>
    <xf numFmtId="3" fontId="0" fillId="0" borderId="10" xfId="0" applyNumberFormat="1" applyBorder="1" applyAlignment="1">
      <alignment horizontal="left"/>
    </xf>
    <xf numFmtId="3" fontId="0" fillId="0" borderId="37" xfId="0" applyNumberFormat="1" applyBorder="1" applyAlignment="1">
      <alignment horizontal="left"/>
    </xf>
    <xf numFmtId="3" fontId="42" fillId="0" borderId="37" xfId="0" applyNumberFormat="1" applyFont="1" applyBorder="1" applyAlignment="1">
      <alignment horizontal="left"/>
    </xf>
    <xf numFmtId="0" fontId="34" fillId="8" borderId="172" xfId="0" applyFont="1" applyFill="1" applyBorder="1" applyAlignment="1">
      <alignment horizontal="center" vertical="center" wrapText="1"/>
    </xf>
    <xf numFmtId="0" fontId="34" fillId="8" borderId="110" xfId="0" applyFont="1" applyFill="1" applyBorder="1" applyAlignment="1">
      <alignment horizontal="center" vertical="center"/>
    </xf>
    <xf numFmtId="0" fontId="34" fillId="8" borderId="9" xfId="0" applyFont="1" applyFill="1" applyBorder="1" applyAlignment="1">
      <alignment horizontal="center" vertical="center"/>
    </xf>
    <xf numFmtId="0" fontId="34" fillId="8" borderId="23" xfId="0" applyFont="1" applyFill="1" applyBorder="1" applyAlignment="1">
      <alignment horizontal="center" vertical="center"/>
    </xf>
    <xf numFmtId="0" fontId="34" fillId="8" borderId="37" xfId="0" applyFont="1" applyFill="1" applyBorder="1" applyAlignment="1">
      <alignment horizontal="center" vertical="center"/>
    </xf>
    <xf numFmtId="0" fontId="34" fillId="8" borderId="9" xfId="0" applyFont="1" applyFill="1" applyBorder="1" applyAlignment="1">
      <alignment horizontal="center" vertical="center" wrapText="1"/>
    </xf>
    <xf numFmtId="0" fontId="34" fillId="8" borderId="10" xfId="0" applyFont="1" applyFill="1" applyBorder="1"/>
    <xf numFmtId="0" fontId="34" fillId="8" borderId="9" xfId="0" applyFont="1" applyFill="1" applyBorder="1" applyAlignment="1">
      <alignment horizontal="center"/>
    </xf>
    <xf numFmtId="0" fontId="34" fillId="8" borderId="112" xfId="0" applyFont="1" applyFill="1" applyBorder="1" applyAlignment="1">
      <alignment horizontal="center"/>
    </xf>
    <xf numFmtId="0" fontId="34" fillId="8" borderId="23" xfId="0" applyFont="1" applyFill="1" applyBorder="1" applyAlignment="1">
      <alignment horizontal="center"/>
    </xf>
    <xf numFmtId="0" fontId="34" fillId="8" borderId="10" xfId="0" applyFont="1" applyFill="1" applyBorder="1" applyAlignment="1">
      <alignment horizontal="center" wrapText="1"/>
    </xf>
    <xf numFmtId="3" fontId="34" fillId="0" borderId="110" xfId="0" applyNumberFormat="1" applyFont="1" applyBorder="1"/>
    <xf numFmtId="3" fontId="25" fillId="0" borderId="152" xfId="0" applyNumberFormat="1" applyFont="1" applyBorder="1" applyAlignment="1">
      <alignment horizontal="left"/>
    </xf>
    <xf numFmtId="3" fontId="6" fillId="0" borderId="106" xfId="0" applyNumberFormat="1" applyFont="1" applyBorder="1" applyAlignment="1">
      <alignment horizontal="center" vertical="center"/>
    </xf>
    <xf numFmtId="3" fontId="6" fillId="0" borderId="111" xfId="0" applyNumberFormat="1" applyFont="1" applyBorder="1" applyAlignment="1">
      <alignment vertical="center"/>
    </xf>
    <xf numFmtId="3" fontId="6" fillId="0" borderId="108" xfId="0" applyNumberFormat="1" applyFont="1" applyBorder="1" applyAlignment="1">
      <alignment vertical="center"/>
    </xf>
    <xf numFmtId="3" fontId="6" fillId="0" borderId="152" xfId="0" applyNumberFormat="1" applyFont="1" applyBorder="1" applyAlignment="1">
      <alignment vertical="center"/>
    </xf>
    <xf numFmtId="3" fontId="6" fillId="0" borderId="108" xfId="0" applyNumberFormat="1" applyFont="1" applyBorder="1" applyAlignment="1">
      <alignment horizontal="right" vertical="center"/>
    </xf>
    <xf numFmtId="3" fontId="6" fillId="0" borderId="173" xfId="0" applyNumberFormat="1" applyFont="1" applyBorder="1" applyAlignment="1">
      <alignment horizontal="left" vertical="center"/>
    </xf>
    <xf numFmtId="3" fontId="6" fillId="0" borderId="75" xfId="0" applyNumberFormat="1" applyFont="1" applyBorder="1" applyAlignment="1">
      <alignment horizontal="left" vertical="center"/>
    </xf>
    <xf numFmtId="3" fontId="34" fillId="0" borderId="174" xfId="0" applyNumberFormat="1" applyFont="1" applyBorder="1"/>
    <xf numFmtId="3" fontId="6" fillId="0" borderId="173" xfId="0" applyNumberFormat="1" applyFont="1" applyBorder="1" applyAlignment="1">
      <alignment horizontal="left"/>
    </xf>
    <xf numFmtId="3" fontId="6" fillId="0" borderId="75" xfId="0" applyNumberFormat="1" applyFont="1" applyBorder="1" applyAlignment="1">
      <alignment vertical="center"/>
    </xf>
    <xf numFmtId="3" fontId="6" fillId="0" borderId="175" xfId="0" applyNumberFormat="1" applyFont="1" applyBorder="1" applyAlignment="1">
      <alignment horizontal="left" vertical="center"/>
    </xf>
    <xf numFmtId="3" fontId="6" fillId="0" borderId="154" xfId="0" applyNumberFormat="1" applyFont="1" applyBorder="1" applyAlignment="1">
      <alignment horizontal="left" vertical="center"/>
    </xf>
    <xf numFmtId="3" fontId="6" fillId="0" borderId="176" xfId="0" applyNumberFormat="1" applyFont="1" applyBorder="1"/>
    <xf numFmtId="3" fontId="6" fillId="0" borderId="177" xfId="0" applyNumberFormat="1" applyFont="1" applyBorder="1"/>
    <xf numFmtId="3" fontId="6" fillId="0" borderId="178" xfId="0" applyNumberFormat="1" applyFont="1" applyBorder="1"/>
    <xf numFmtId="3" fontId="6" fillId="0" borderId="156" xfId="0" applyNumberFormat="1" applyFont="1" applyBorder="1"/>
    <xf numFmtId="3" fontId="6" fillId="0" borderId="175" xfId="0" applyNumberFormat="1" applyFont="1" applyBorder="1"/>
    <xf numFmtId="3" fontId="6" fillId="0" borderId="177" xfId="0" applyNumberFormat="1" applyFont="1" applyBorder="1" applyAlignment="1">
      <alignment horizontal="right"/>
    </xf>
    <xf numFmtId="167" fontId="34" fillId="0" borderId="179" xfId="0" applyNumberFormat="1" applyFont="1" applyBorder="1"/>
    <xf numFmtId="167" fontId="34" fillId="0" borderId="33" xfId="0" applyNumberFormat="1" applyFont="1" applyBorder="1"/>
    <xf numFmtId="167" fontId="34" fillId="0" borderId="153" xfId="0" applyNumberFormat="1" applyFont="1" applyBorder="1"/>
    <xf numFmtId="167" fontId="34" fillId="0" borderId="180" xfId="0" applyNumberFormat="1" applyFont="1" applyBorder="1"/>
    <xf numFmtId="167" fontId="34" fillId="0" borderId="163" xfId="0" applyNumberFormat="1" applyFont="1" applyBorder="1"/>
    <xf numFmtId="3" fontId="23" fillId="0" borderId="110" xfId="0" applyNumberFormat="1" applyFont="1" applyBorder="1"/>
    <xf numFmtId="167" fontId="23" fillId="0" borderId="33" xfId="0" applyNumberFormat="1" applyFont="1" applyBorder="1"/>
    <xf numFmtId="0" fontId="61" fillId="0" borderId="0" xfId="0" applyFont="1"/>
    <xf numFmtId="3" fontId="34" fillId="0" borderId="0" xfId="0" applyNumberFormat="1" applyFont="1" applyAlignment="1">
      <alignment vertical="center"/>
    </xf>
    <xf numFmtId="3" fontId="36" fillId="4" borderId="108" xfId="0" applyNumberFormat="1" applyFont="1" applyFill="1" applyBorder="1" applyAlignment="1">
      <alignment horizontal="right"/>
    </xf>
    <xf numFmtId="170" fontId="23" fillId="0" borderId="0" xfId="0" applyNumberFormat="1" applyFont="1" applyAlignment="1">
      <alignment horizontal="center" vertical="center"/>
    </xf>
    <xf numFmtId="3" fontId="23" fillId="4" borderId="0" xfId="0" applyNumberFormat="1" applyFont="1" applyFill="1"/>
    <xf numFmtId="167" fontId="62" fillId="0" borderId="13" xfId="0" applyNumberFormat="1" applyFont="1" applyBorder="1"/>
    <xf numFmtId="0" fontId="19" fillId="0" borderId="69" xfId="0" applyFont="1" applyBorder="1" applyAlignment="1">
      <alignment horizontal="center" vertical="center"/>
    </xf>
    <xf numFmtId="0" fontId="6" fillId="8" borderId="103" xfId="0" applyFont="1" applyFill="1" applyBorder="1" applyAlignment="1">
      <alignment horizontal="center" vertical="center" wrapText="1"/>
    </xf>
    <xf numFmtId="0" fontId="6" fillId="8" borderId="70" xfId="0" applyFont="1" applyFill="1" applyBorder="1" applyAlignment="1">
      <alignment horizontal="center" vertical="center" wrapText="1"/>
    </xf>
    <xf numFmtId="0" fontId="6" fillId="8" borderId="79" xfId="0" applyFont="1" applyFill="1" applyBorder="1" applyAlignment="1">
      <alignment horizontal="center" vertical="center"/>
    </xf>
    <xf numFmtId="0" fontId="6" fillId="8" borderId="83" xfId="0" applyFont="1" applyFill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4" fillId="7" borderId="87" xfId="0" applyFont="1" applyFill="1" applyBorder="1" applyAlignment="1">
      <alignment horizontal="center" vertical="center"/>
    </xf>
    <xf numFmtId="0" fontId="34" fillId="7" borderId="88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" fillId="7" borderId="4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34" fillId="7" borderId="20" xfId="0" applyFont="1" applyFill="1" applyBorder="1" applyAlignment="1">
      <alignment horizontal="center" vertical="center"/>
    </xf>
    <xf numFmtId="0" fontId="34" fillId="7" borderId="162" xfId="0" applyFont="1" applyFill="1" applyBorder="1" applyAlignment="1">
      <alignment horizontal="center" vertical="center"/>
    </xf>
    <xf numFmtId="0" fontId="34" fillId="7" borderId="48" xfId="0" applyFont="1" applyFill="1" applyBorder="1" applyAlignment="1">
      <alignment horizontal="center" vertical="center" wrapText="1"/>
    </xf>
    <xf numFmtId="0" fontId="34" fillId="7" borderId="49" xfId="0" applyFont="1" applyFill="1" applyBorder="1" applyAlignment="1">
      <alignment horizontal="center" vertical="center" wrapText="1"/>
    </xf>
    <xf numFmtId="0" fontId="34" fillId="7" borderId="44" xfId="0" applyFont="1" applyFill="1" applyBorder="1" applyAlignment="1">
      <alignment horizontal="center" vertical="center"/>
    </xf>
    <xf numFmtId="0" fontId="34" fillId="7" borderId="47" xfId="0" applyFont="1" applyFill="1" applyBorder="1" applyAlignment="1">
      <alignment horizontal="center" vertical="center"/>
    </xf>
    <xf numFmtId="0" fontId="34" fillId="7" borderId="84" xfId="0" applyFont="1" applyFill="1" applyBorder="1" applyAlignment="1">
      <alignment horizontal="center" vertical="center"/>
    </xf>
    <xf numFmtId="0" fontId="34" fillId="7" borderId="85" xfId="0" applyFont="1" applyFill="1" applyBorder="1" applyAlignment="1">
      <alignment horizontal="center" vertical="center"/>
    </xf>
    <xf numFmtId="0" fontId="34" fillId="7" borderId="86" xfId="0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34" fillId="7" borderId="54" xfId="0" applyFont="1" applyFill="1" applyBorder="1" applyAlignment="1">
      <alignment horizontal="center" vertical="center" wrapText="1"/>
    </xf>
    <xf numFmtId="0" fontId="34" fillId="7" borderId="57" xfId="0" applyFont="1" applyFill="1" applyBorder="1" applyAlignment="1">
      <alignment horizontal="center" vertical="center" wrapText="1"/>
    </xf>
    <xf numFmtId="0" fontId="34" fillId="7" borderId="55" xfId="0" applyFont="1" applyFill="1" applyBorder="1" applyAlignment="1">
      <alignment horizontal="center" vertical="center" wrapText="1"/>
    </xf>
    <xf numFmtId="0" fontId="34" fillId="7" borderId="17" xfId="0" applyFont="1" applyFill="1" applyBorder="1" applyAlignment="1">
      <alignment horizontal="center" vertical="center" wrapText="1"/>
    </xf>
    <xf numFmtId="0" fontId="34" fillId="7" borderId="56" xfId="0" applyFont="1" applyFill="1" applyBorder="1" applyAlignment="1">
      <alignment horizontal="center" vertical="center"/>
    </xf>
    <xf numFmtId="0" fontId="34" fillId="7" borderId="16" xfId="0" applyFont="1" applyFill="1" applyBorder="1" applyAlignment="1">
      <alignment horizontal="center" vertical="center"/>
    </xf>
    <xf numFmtId="0" fontId="34" fillId="7" borderId="76" xfId="0" applyFont="1" applyFill="1" applyBorder="1" applyAlignment="1">
      <alignment horizontal="center" vertical="center"/>
    </xf>
    <xf numFmtId="0" fontId="34" fillId="7" borderId="77" xfId="0" applyFont="1" applyFill="1" applyBorder="1" applyAlignment="1">
      <alignment horizontal="center" vertical="center"/>
    </xf>
    <xf numFmtId="0" fontId="34" fillId="7" borderId="78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34" fillId="7" borderId="59" xfId="0" applyFont="1" applyFill="1" applyBorder="1" applyAlignment="1">
      <alignment horizontal="center" vertical="center"/>
    </xf>
    <xf numFmtId="0" fontId="34" fillId="7" borderId="60" xfId="0" applyFont="1" applyFill="1" applyBorder="1" applyAlignment="1">
      <alignment horizontal="center" vertical="center"/>
    </xf>
    <xf numFmtId="0" fontId="34" fillId="7" borderId="89" xfId="0" applyFont="1" applyFill="1" applyBorder="1" applyAlignment="1">
      <alignment horizontal="center" vertical="center"/>
    </xf>
    <xf numFmtId="0" fontId="34" fillId="8" borderId="144" xfId="0" applyFont="1" applyFill="1" applyBorder="1" applyAlignment="1">
      <alignment horizontal="center" vertical="center" wrapText="1"/>
    </xf>
    <xf numFmtId="0" fontId="34" fillId="8" borderId="115" xfId="0" applyFont="1" applyFill="1" applyBorder="1" applyAlignment="1">
      <alignment horizontal="center" vertical="center" wrapText="1"/>
    </xf>
    <xf numFmtId="0" fontId="34" fillId="7" borderId="41" xfId="0" applyFont="1" applyFill="1" applyBorder="1" applyAlignment="1">
      <alignment horizontal="center" vertical="center" wrapText="1"/>
    </xf>
    <xf numFmtId="0" fontId="34" fillId="7" borderId="152" xfId="0" applyFont="1" applyFill="1" applyBorder="1" applyAlignment="1">
      <alignment horizontal="center" vertical="center" wrapText="1"/>
    </xf>
    <xf numFmtId="0" fontId="34" fillId="7" borderId="43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1" fillId="7" borderId="141" xfId="0" applyFont="1" applyFill="1" applyBorder="1" applyAlignment="1">
      <alignment horizontal="center" vertical="center" wrapText="1"/>
    </xf>
    <xf numFmtId="0" fontId="1" fillId="8" borderId="140" xfId="0" applyFont="1" applyFill="1" applyBorder="1" applyAlignment="1">
      <alignment horizontal="center" vertical="center" wrapText="1"/>
    </xf>
    <xf numFmtId="0" fontId="1" fillId="8" borderId="135" xfId="0" applyFont="1" applyFill="1" applyBorder="1" applyAlignment="1">
      <alignment horizontal="center" vertical="center" wrapText="1"/>
    </xf>
    <xf numFmtId="0" fontId="1" fillId="7" borderId="36" xfId="0" applyFont="1" applyFill="1" applyBorder="1" applyAlignment="1">
      <alignment horizontal="center" vertical="center" wrapText="1"/>
    </xf>
    <xf numFmtId="0" fontId="1" fillId="7" borderId="136" xfId="0" applyFont="1" applyFill="1" applyBorder="1" applyAlignment="1">
      <alignment horizontal="center" vertical="center"/>
    </xf>
    <xf numFmtId="0" fontId="1" fillId="7" borderId="137" xfId="0" applyFont="1" applyFill="1" applyBorder="1" applyAlignment="1">
      <alignment horizontal="center" vertical="center"/>
    </xf>
    <xf numFmtId="0" fontId="1" fillId="7" borderId="138" xfId="0" applyFont="1" applyFill="1" applyBorder="1" applyAlignment="1">
      <alignment horizontal="center" vertical="center"/>
    </xf>
    <xf numFmtId="0" fontId="1" fillId="7" borderId="170" xfId="0" applyFont="1" applyFill="1" applyBorder="1" applyAlignment="1">
      <alignment horizontal="center" vertical="center" wrapText="1"/>
    </xf>
    <xf numFmtId="0" fontId="1" fillId="7" borderId="171" xfId="0" applyFont="1" applyFill="1" applyBorder="1" applyAlignment="1">
      <alignment horizontal="center" vertical="center" wrapText="1"/>
    </xf>
    <xf numFmtId="3" fontId="35" fillId="0" borderId="0" xfId="0" applyNumberFormat="1" applyFont="1" applyAlignment="1">
      <alignment horizontal="center" vertical="center" wrapText="1"/>
    </xf>
    <xf numFmtId="0" fontId="34" fillId="8" borderId="118" xfId="0" applyFont="1" applyFill="1" applyBorder="1" applyAlignment="1">
      <alignment horizontal="center" vertical="center" wrapText="1"/>
    </xf>
    <xf numFmtId="3" fontId="34" fillId="8" borderId="82" xfId="0" applyNumberFormat="1" applyFont="1" applyFill="1" applyBorder="1" applyAlignment="1">
      <alignment horizontal="center" vertical="center" wrapText="1"/>
    </xf>
    <xf numFmtId="3" fontId="34" fillId="8" borderId="116" xfId="0" applyNumberFormat="1" applyFont="1" applyFill="1" applyBorder="1" applyAlignment="1">
      <alignment horizontal="center" vertical="center" wrapText="1"/>
    </xf>
    <xf numFmtId="0" fontId="34" fillId="8" borderId="113" xfId="0" applyFont="1" applyFill="1" applyBorder="1" applyAlignment="1">
      <alignment horizontal="center" vertical="center"/>
    </xf>
    <xf numFmtId="0" fontId="34" fillId="8" borderId="123" xfId="0" applyFont="1" applyFill="1" applyBorder="1" applyAlignment="1">
      <alignment horizontal="center" vertical="center"/>
    </xf>
    <xf numFmtId="0" fontId="34" fillId="8" borderId="125" xfId="0" applyFont="1" applyFill="1" applyBorder="1" applyAlignment="1">
      <alignment horizontal="center" vertical="center"/>
    </xf>
    <xf numFmtId="0" fontId="34" fillId="8" borderId="103" xfId="0" applyFont="1" applyFill="1" applyBorder="1" applyAlignment="1">
      <alignment horizontal="center" vertical="center" wrapText="1"/>
    </xf>
    <xf numFmtId="0" fontId="34" fillId="8" borderId="70" xfId="0" applyFont="1" applyFill="1" applyBorder="1" applyAlignment="1">
      <alignment horizontal="center" vertical="center" wrapText="1"/>
    </xf>
    <xf numFmtId="0" fontId="1" fillId="8" borderId="161" xfId="0" applyFont="1" applyFill="1" applyBorder="1" applyAlignment="1">
      <alignment horizontal="center" vertical="center" wrapText="1"/>
    </xf>
    <xf numFmtId="0" fontId="1" fillId="8" borderId="14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34" fillId="7" borderId="80" xfId="0" applyFont="1" applyFill="1" applyBorder="1" applyAlignment="1">
      <alignment horizontal="center" vertical="center"/>
    </xf>
    <xf numFmtId="0" fontId="34" fillId="7" borderId="90" xfId="0" applyFont="1" applyFill="1" applyBorder="1" applyAlignment="1">
      <alignment horizontal="center" vertical="center"/>
    </xf>
    <xf numFmtId="0" fontId="34" fillId="7" borderId="82" xfId="0" applyFont="1" applyFill="1" applyBorder="1" applyAlignment="1">
      <alignment horizontal="center" vertical="center"/>
    </xf>
    <xf numFmtId="0" fontId="34" fillId="7" borderId="93" xfId="0" applyFont="1" applyFill="1" applyBorder="1" applyAlignment="1">
      <alignment horizontal="center" vertical="center"/>
    </xf>
    <xf numFmtId="3" fontId="34" fillId="7" borderId="82" xfId="0" applyNumberFormat="1" applyFont="1" applyFill="1" applyBorder="1" applyAlignment="1">
      <alignment horizontal="center" vertical="center" wrapText="1"/>
    </xf>
    <xf numFmtId="3" fontId="34" fillId="7" borderId="93" xfId="0" applyNumberFormat="1" applyFont="1" applyFill="1" applyBorder="1" applyAlignment="1">
      <alignment horizontal="center" vertical="center" wrapText="1"/>
    </xf>
    <xf numFmtId="171" fontId="34" fillId="7" borderId="149" xfId="0" applyNumberFormat="1" applyFont="1" applyFill="1" applyBorder="1" applyAlignment="1">
      <alignment horizontal="center" vertical="center" wrapText="1"/>
    </xf>
    <xf numFmtId="171" fontId="34" fillId="7" borderId="150" xfId="0" applyNumberFormat="1" applyFont="1" applyFill="1" applyBorder="1" applyAlignment="1">
      <alignment horizontal="center" vertical="center" wrapText="1"/>
    </xf>
    <xf numFmtId="171" fontId="34" fillId="7" borderId="151" xfId="0" applyNumberFormat="1" applyFont="1" applyFill="1" applyBorder="1" applyAlignment="1">
      <alignment horizontal="center" vertical="center" wrapText="1"/>
    </xf>
    <xf numFmtId="3" fontId="34" fillId="7" borderId="163" xfId="0" applyNumberFormat="1" applyFont="1" applyFill="1" applyBorder="1" applyAlignment="1">
      <alignment horizontal="center" vertical="center" wrapText="1"/>
    </xf>
    <xf numFmtId="3" fontId="34" fillId="7" borderId="159" xfId="0" applyNumberFormat="1" applyFont="1" applyFill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/>
    </xf>
    <xf numFmtId="0" fontId="34" fillId="7" borderId="34" xfId="0" applyFont="1" applyFill="1" applyBorder="1" applyAlignment="1">
      <alignment horizontal="center" vertical="center" wrapText="1"/>
    </xf>
    <xf numFmtId="0" fontId="34" fillId="7" borderId="7" xfId="0" applyFont="1" applyFill="1" applyBorder="1" applyAlignment="1">
      <alignment horizontal="center" vertical="center" wrapText="1"/>
    </xf>
    <xf numFmtId="0" fontId="34" fillId="7" borderId="32" xfId="0" applyFont="1" applyFill="1" applyBorder="1" applyAlignment="1">
      <alignment horizontal="center" vertical="center" wrapText="1"/>
    </xf>
    <xf numFmtId="0" fontId="34" fillId="7" borderId="3" xfId="0" applyFont="1" applyFill="1" applyBorder="1" applyAlignment="1">
      <alignment horizontal="center" vertical="center" wrapText="1"/>
    </xf>
    <xf numFmtId="0" fontId="34" fillId="7" borderId="142" xfId="0" applyFont="1" applyFill="1" applyBorder="1" applyAlignment="1">
      <alignment horizontal="center" vertical="center"/>
    </xf>
    <xf numFmtId="0" fontId="34" fillId="7" borderId="35" xfId="0" applyFont="1" applyFill="1" applyBorder="1" applyAlignment="1">
      <alignment horizontal="center" vertical="center"/>
    </xf>
    <xf numFmtId="0" fontId="34" fillId="7" borderId="130" xfId="0" applyFont="1" applyFill="1" applyBorder="1" applyAlignment="1">
      <alignment horizontal="center" vertical="center"/>
    </xf>
    <xf numFmtId="0" fontId="34" fillId="7" borderId="142" xfId="0" applyFont="1" applyFill="1" applyBorder="1" applyAlignment="1">
      <alignment horizontal="center" vertical="center" wrapText="1"/>
    </xf>
    <xf numFmtId="0" fontId="34" fillId="7" borderId="146" xfId="0" applyFont="1" applyFill="1" applyBorder="1" applyAlignment="1">
      <alignment horizontal="center" vertical="center" wrapText="1"/>
    </xf>
    <xf numFmtId="0" fontId="34" fillId="7" borderId="165" xfId="0" applyFont="1" applyFill="1" applyBorder="1" applyAlignment="1">
      <alignment horizontal="center" vertical="center" wrapText="1"/>
    </xf>
    <xf numFmtId="0" fontId="1" fillId="8" borderId="122" xfId="0" applyFont="1" applyFill="1" applyBorder="1" applyAlignment="1">
      <alignment horizontal="center" vertical="center" wrapText="1"/>
    </xf>
    <xf numFmtId="0" fontId="1" fillId="8" borderId="158" xfId="0" applyFont="1" applyFill="1" applyBorder="1" applyAlignment="1">
      <alignment horizontal="center" vertical="center" wrapText="1"/>
    </xf>
    <xf numFmtId="0" fontId="1" fillId="8" borderId="119" xfId="0" applyFont="1" applyFill="1" applyBorder="1" applyAlignment="1">
      <alignment horizontal="center" vertical="center" wrapText="1"/>
    </xf>
    <xf numFmtId="0" fontId="1" fillId="8" borderId="132" xfId="0" applyFont="1" applyFill="1" applyBorder="1" applyAlignment="1">
      <alignment horizontal="center" vertical="center" wrapText="1"/>
    </xf>
    <xf numFmtId="0" fontId="1" fillId="8" borderId="35" xfId="0" applyFont="1" applyFill="1" applyBorder="1" applyAlignment="1">
      <alignment horizontal="center" vertical="center" wrapText="1"/>
    </xf>
    <xf numFmtId="0" fontId="1" fillId="8" borderId="129" xfId="0" applyFont="1" applyFill="1" applyBorder="1" applyAlignment="1">
      <alignment horizontal="center" vertical="center" wrapText="1"/>
    </xf>
    <xf numFmtId="0" fontId="1" fillId="8" borderId="160" xfId="0" applyFont="1" applyFill="1" applyBorder="1" applyAlignment="1">
      <alignment horizontal="center" vertical="center" wrapText="1"/>
    </xf>
    <xf numFmtId="0" fontId="1" fillId="8" borderId="127" xfId="0" applyFont="1" applyFill="1" applyBorder="1" applyAlignment="1">
      <alignment horizontal="center" vertical="center" wrapText="1"/>
    </xf>
    <xf numFmtId="0" fontId="6" fillId="8" borderId="103" xfId="0" applyFont="1" applyFill="1" applyBorder="1" applyAlignment="1">
      <alignment horizontal="center" vertical="center"/>
    </xf>
    <xf numFmtId="0" fontId="6" fillId="8" borderId="134" xfId="0" applyFont="1" applyFill="1" applyBorder="1" applyAlignment="1">
      <alignment horizontal="center" vertical="center"/>
    </xf>
    <xf numFmtId="0" fontId="34" fillId="8" borderId="161" xfId="0" applyFont="1" applyFill="1" applyBorder="1" applyAlignment="1">
      <alignment horizontal="center" vertical="center" wrapText="1"/>
    </xf>
    <xf numFmtId="0" fontId="34" fillId="8" borderId="169" xfId="0" applyFont="1" applyFill="1" applyBorder="1" applyAlignment="1">
      <alignment horizontal="center" vertical="center"/>
    </xf>
    <xf numFmtId="0" fontId="34" fillId="8" borderId="112" xfId="0" applyFont="1" applyFill="1" applyBorder="1" applyAlignment="1">
      <alignment horizontal="center" vertical="center"/>
    </xf>
    <xf numFmtId="0" fontId="34" fillId="8" borderId="39" xfId="0" applyFont="1" applyFill="1" applyBorder="1" applyAlignment="1">
      <alignment horizontal="center" vertical="center" wrapText="1"/>
    </xf>
    <xf numFmtId="0" fontId="34" fillId="8" borderId="37" xfId="0" applyFont="1" applyFill="1" applyBorder="1" applyAlignment="1">
      <alignment horizontal="center" vertical="center" wrapText="1"/>
    </xf>
    <xf numFmtId="0" fontId="34" fillId="8" borderId="161" xfId="0" applyFont="1" applyFill="1" applyBorder="1" applyAlignment="1">
      <alignment horizontal="center" vertical="center"/>
    </xf>
    <xf numFmtId="0" fontId="34" fillId="8" borderId="35" xfId="0" applyFont="1" applyFill="1" applyBorder="1" applyAlignment="1">
      <alignment horizontal="center" vertical="center"/>
    </xf>
    <xf numFmtId="0" fontId="34" fillId="8" borderId="39" xfId="0" applyFont="1" applyFill="1" applyBorder="1" applyAlignment="1">
      <alignment horizontal="center" vertical="center"/>
    </xf>
    <xf numFmtId="0" fontId="34" fillId="8" borderId="33" xfId="0" applyFont="1" applyFill="1" applyBorder="1" applyAlignment="1">
      <alignment horizontal="center" vertical="center" wrapText="1"/>
    </xf>
  </cellXfs>
  <cellStyles count="10">
    <cellStyle name="Euro" xfId="1" xr:uid="{00000000-0005-0000-0000-000000000000}"/>
    <cellStyle name="Millares" xfId="9" builtinId="3"/>
    <cellStyle name="Moneda" xfId="2" builtinId="4"/>
    <cellStyle name="Normal" xfId="0" builtinId="0"/>
    <cellStyle name="Normal 2" xfId="3" xr:uid="{00000000-0005-0000-0000-000004000000}"/>
    <cellStyle name="Normal 2 2" xfId="5" xr:uid="{00000000-0005-0000-0000-000005000000}"/>
    <cellStyle name="Normal 3" xfId="6" xr:uid="{00000000-0005-0000-0000-000006000000}"/>
    <cellStyle name="Normal 3 2" xfId="8" xr:uid="{00000000-0005-0000-0000-000007000000}"/>
    <cellStyle name="Normal 6" xfId="7" xr:uid="{00000000-0005-0000-0000-000008000000}"/>
    <cellStyle name="Normal 7" xfId="4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323DC"/>
      <rgbColor rgb="00FF00FF"/>
      <rgbColor rgb="00FFFF00"/>
      <rgbColor rgb="0000FFFF"/>
      <rgbColor rgb="00800080"/>
      <rgbColor rgb="00800000"/>
      <rgbColor rgb="00008080"/>
      <rgbColor rgb="002300D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66"/>
      <color rgb="FF0033CC"/>
      <color rgb="FF003399"/>
      <color rgb="FF000099"/>
      <color rgb="FF0000CC"/>
      <color rgb="FF062948"/>
      <color rgb="FFFFCCFF"/>
      <color rgb="FFFFFFCC"/>
      <color rgb="FF0066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49</xdr:row>
      <xdr:rowOff>30480</xdr:rowOff>
    </xdr:from>
    <xdr:to>
      <xdr:col>1</xdr:col>
      <xdr:colOff>2446020</xdr:colOff>
      <xdr:row>50</xdr:row>
      <xdr:rowOff>91440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7620" y="10568940"/>
          <a:ext cx="3459480" cy="2590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</a:t>
          </a:r>
          <a:r>
            <a:rPr lang="es-PA" sz="100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0" name="Line 1">
          <a:extLst>
            <a:ext uri="{FF2B5EF4-FFF2-40B4-BE49-F238E27FC236}">
              <a16:creationId xmlns:a16="http://schemas.microsoft.com/office/drawing/2014/main" id="{00000000-0008-0000-0D00-0000A4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1" name="Line 1">
          <a:extLst>
            <a:ext uri="{FF2B5EF4-FFF2-40B4-BE49-F238E27FC236}">
              <a16:creationId xmlns:a16="http://schemas.microsoft.com/office/drawing/2014/main" id="{00000000-0008-0000-0D00-0000A5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2" name="Line 1">
          <a:extLst>
            <a:ext uri="{FF2B5EF4-FFF2-40B4-BE49-F238E27FC236}">
              <a16:creationId xmlns:a16="http://schemas.microsoft.com/office/drawing/2014/main" id="{00000000-0008-0000-0D00-0000A6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3" name="Line 1">
          <a:extLst>
            <a:ext uri="{FF2B5EF4-FFF2-40B4-BE49-F238E27FC236}">
              <a16:creationId xmlns:a16="http://schemas.microsoft.com/office/drawing/2014/main" id="{00000000-0008-0000-0D00-0000A7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4" name="Line 1">
          <a:extLst>
            <a:ext uri="{FF2B5EF4-FFF2-40B4-BE49-F238E27FC236}">
              <a16:creationId xmlns:a16="http://schemas.microsoft.com/office/drawing/2014/main" id="{00000000-0008-0000-0D00-0000A8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5" name="Line 1">
          <a:extLst>
            <a:ext uri="{FF2B5EF4-FFF2-40B4-BE49-F238E27FC236}">
              <a16:creationId xmlns:a16="http://schemas.microsoft.com/office/drawing/2014/main" id="{00000000-0008-0000-0D00-0000A9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60960</xdr:colOff>
      <xdr:row>31</xdr:row>
      <xdr:rowOff>99060</xdr:rowOff>
    </xdr:from>
    <xdr:to>
      <xdr:col>1</xdr:col>
      <xdr:colOff>1123950</xdr:colOff>
      <xdr:row>33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60960" y="7919085"/>
          <a:ext cx="3472815" cy="3581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5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36</xdr:row>
      <xdr:rowOff>0</xdr:rowOff>
    </xdr:from>
    <xdr:to>
      <xdr:col>0</xdr:col>
      <xdr:colOff>238125</xdr:colOff>
      <xdr:row>37</xdr:row>
      <xdr:rowOff>38100</xdr:rowOff>
    </xdr:to>
    <xdr:sp macro="" textlink="">
      <xdr:nvSpPr>
        <xdr:cNvPr id="50827" name="Text Box 1">
          <a:extLst>
            <a:ext uri="{FF2B5EF4-FFF2-40B4-BE49-F238E27FC236}">
              <a16:creationId xmlns:a16="http://schemas.microsoft.com/office/drawing/2014/main" id="{00000000-0008-0000-0F00-00008BC60000}"/>
            </a:ext>
          </a:extLst>
        </xdr:cNvPr>
        <xdr:cNvSpPr txBox="1">
          <a:spLocks noChangeArrowheads="1"/>
        </xdr:cNvSpPr>
      </xdr:nvSpPr>
      <xdr:spPr bwMode="auto">
        <a:xfrm>
          <a:off x="133350" y="106013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83820</xdr:colOff>
      <xdr:row>29</xdr:row>
      <xdr:rowOff>137160</xdr:rowOff>
    </xdr:from>
    <xdr:to>
      <xdr:col>1</xdr:col>
      <xdr:colOff>76200</xdr:colOff>
      <xdr:row>31</xdr:row>
      <xdr:rowOff>106680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83820" y="6126480"/>
          <a:ext cx="2849880" cy="281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9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55</xdr:row>
      <xdr:rowOff>121920</xdr:rowOff>
    </xdr:from>
    <xdr:to>
      <xdr:col>3</xdr:col>
      <xdr:colOff>38100</xdr:colOff>
      <xdr:row>57</xdr:row>
      <xdr:rowOff>7620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7620" y="9486900"/>
          <a:ext cx="3162300" cy="3581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900" b="1"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PA" sz="900" b="1" baseline="0">
              <a:latin typeface="Arial" panose="020B0604020202020204" pitchFamily="34" charset="0"/>
              <a:cs typeface="Arial" panose="020B0604020202020204" pitchFamily="34" charset="0"/>
            </a:rPr>
            <a:t> Dirección Nacional de Presupuesto.</a:t>
          </a:r>
          <a:endParaRPr lang="es-PA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114300</xdr:rowOff>
    </xdr:from>
    <xdr:to>
      <xdr:col>1</xdr:col>
      <xdr:colOff>838200</xdr:colOff>
      <xdr:row>61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0" y="9936480"/>
          <a:ext cx="3337560" cy="251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57</xdr:row>
      <xdr:rowOff>99060</xdr:rowOff>
    </xdr:from>
    <xdr:to>
      <xdr:col>4</xdr:col>
      <xdr:colOff>22860</xdr:colOff>
      <xdr:row>59</xdr:row>
      <xdr:rowOff>22860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106680" y="11635740"/>
          <a:ext cx="3733800" cy="4267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55</xdr:row>
      <xdr:rowOff>57150</xdr:rowOff>
    </xdr:from>
    <xdr:to>
      <xdr:col>4</xdr:col>
      <xdr:colOff>333375</xdr:colOff>
      <xdr:row>58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E608E2A-AA14-412C-AA55-9395ADABE074}"/>
            </a:ext>
          </a:extLst>
        </xdr:cNvPr>
        <xdr:cNvSpPr txBox="1"/>
      </xdr:nvSpPr>
      <xdr:spPr>
        <a:xfrm>
          <a:off x="323850" y="8763000"/>
          <a:ext cx="4000500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</a:t>
          </a:r>
          <a:r>
            <a:rPr lang="es-PA" sz="1000" b="1" baseline="0">
              <a:latin typeface="Arial" panose="020B0604020202020204" pitchFamily="34" charset="0"/>
              <a:cs typeface="Arial" panose="020B0604020202020204" pitchFamily="34" charset="0"/>
            </a:rPr>
            <a:t> Nacional de Presupuesto.</a:t>
          </a:r>
          <a:endParaRPr lang="es-PA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pre05\COPIA%20MAYRA\EJECUCION%20PRESUP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-A8A%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RESOBJ"/>
      <sheetName val="FINANC. PTO"/>
      <sheetName val="C-1"/>
      <sheetName val="C-2"/>
      <sheetName val="C-3"/>
      <sheetName val="C-4"/>
      <sheetName val="Transf"/>
      <sheetName val="C-5"/>
      <sheetName val="C-8"/>
      <sheetName val="C-6"/>
      <sheetName val="C-7"/>
      <sheetName val="CA1"/>
      <sheetName val="CA2"/>
      <sheetName val="mensual ingresos "/>
      <sheetName val="C-A3"/>
      <sheetName val="C-A4"/>
      <sheetName val="C-A5"/>
      <sheetName val="C-A6 "/>
      <sheetName val="C-A6C "/>
      <sheetName val="C-A7"/>
      <sheetName val="C-A8A"/>
      <sheetName val="C-A9"/>
      <sheetName val="Hoja2"/>
      <sheetName val="Hoja1"/>
      <sheetName val="C-A8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4">
          <cell r="D34">
            <v>69358305</v>
          </cell>
        </row>
      </sheetData>
      <sheetData sheetId="18"/>
      <sheetData sheetId="19"/>
      <sheetData sheetId="20"/>
      <sheetData sheetId="21">
        <row r="9">
          <cell r="B9">
            <v>28748221</v>
          </cell>
        </row>
        <row r="19">
          <cell r="B19">
            <v>25866664</v>
          </cell>
        </row>
        <row r="41">
          <cell r="B41">
            <v>21077280</v>
          </cell>
        </row>
      </sheetData>
      <sheetData sheetId="22"/>
      <sheetData sheetId="23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D31"/>
  <sheetViews>
    <sheetView showGridLines="0" workbookViewId="0">
      <selection sqref="A1:D1"/>
    </sheetView>
  </sheetViews>
  <sheetFormatPr baseColWidth="10" defaultRowHeight="12.75"/>
  <cols>
    <col min="1" max="1" width="33.7109375" customWidth="1"/>
    <col min="2" max="2" width="14.42578125" customWidth="1"/>
    <col min="3" max="3" width="12.85546875" customWidth="1"/>
    <col min="4" max="4" width="13.85546875" customWidth="1"/>
  </cols>
  <sheetData>
    <row r="1" spans="1:4" ht="20.45" customHeight="1">
      <c r="A1" s="591" t="s">
        <v>575</v>
      </c>
      <c r="B1" s="591"/>
      <c r="C1" s="591"/>
      <c r="D1" s="591"/>
    </row>
    <row r="2" spans="1:4" ht="19.899999999999999" customHeight="1">
      <c r="A2" s="592" t="s">
        <v>0</v>
      </c>
      <c r="B2" s="594" t="s">
        <v>261</v>
      </c>
      <c r="C2" s="595"/>
      <c r="D2" s="595"/>
    </row>
    <row r="3" spans="1:4" ht="18.600000000000001" customHeight="1">
      <c r="A3" s="593"/>
      <c r="B3" s="345" t="s">
        <v>58</v>
      </c>
      <c r="C3" s="346" t="s">
        <v>10</v>
      </c>
      <c r="D3" s="345" t="s">
        <v>11</v>
      </c>
    </row>
    <row r="4" spans="1:4">
      <c r="A4" s="249"/>
      <c r="B4" s="250"/>
      <c r="C4" s="251"/>
      <c r="D4" s="252"/>
    </row>
    <row r="5" spans="1:4" ht="15">
      <c r="A5" s="253" t="s">
        <v>17</v>
      </c>
      <c r="B5" s="254">
        <f>SUM(B7:B9)</f>
        <v>234334098</v>
      </c>
      <c r="C5" s="255">
        <f>SUM(C7:C9)</f>
        <v>219557359</v>
      </c>
      <c r="D5" s="254">
        <f>SUM(D7:D9)</f>
        <v>115729230</v>
      </c>
    </row>
    <row r="6" spans="1:4" ht="15">
      <c r="A6" s="256"/>
      <c r="B6" s="257"/>
      <c r="C6" s="258"/>
      <c r="D6" s="257"/>
    </row>
    <row r="7" spans="1:4">
      <c r="A7" s="249" t="s">
        <v>262</v>
      </c>
      <c r="B7" s="260">
        <v>158641933</v>
      </c>
      <c r="C7" s="306">
        <v>158641933</v>
      </c>
      <c r="D7" s="259">
        <v>77181144</v>
      </c>
    </row>
    <row r="8" spans="1:4">
      <c r="A8" s="249"/>
      <c r="B8" s="259"/>
      <c r="C8" s="260"/>
      <c r="D8" s="259"/>
    </row>
    <row r="9" spans="1:4">
      <c r="A9" s="249" t="s">
        <v>263</v>
      </c>
      <c r="B9" s="260">
        <v>75692165</v>
      </c>
      <c r="C9" s="306">
        <v>60915426</v>
      </c>
      <c r="D9" s="259">
        <v>38548086</v>
      </c>
    </row>
    <row r="10" spans="1:4" ht="15">
      <c r="A10" s="256"/>
      <c r="B10" s="261"/>
      <c r="C10" s="262"/>
      <c r="D10" s="261"/>
    </row>
    <row r="11" spans="1:4" ht="15">
      <c r="A11" s="256"/>
      <c r="B11" s="261"/>
      <c r="C11" s="262"/>
      <c r="D11" s="261"/>
    </row>
    <row r="12" spans="1:4" ht="15">
      <c r="A12" s="253" t="s">
        <v>264</v>
      </c>
      <c r="B12" s="263">
        <f>+B14+B22</f>
        <v>234334098</v>
      </c>
      <c r="C12" s="264">
        <f>+C14+C22</f>
        <v>177554252</v>
      </c>
      <c r="D12" s="263">
        <f>+D14+D22</f>
        <v>132807847.33999999</v>
      </c>
    </row>
    <row r="13" spans="1:4" ht="15">
      <c r="A13" s="256"/>
      <c r="B13" s="261"/>
      <c r="C13" s="262"/>
      <c r="D13" s="261"/>
    </row>
    <row r="14" spans="1:4">
      <c r="A14" s="265" t="s">
        <v>22</v>
      </c>
      <c r="B14" s="266">
        <f>+B16+B18+B20</f>
        <v>158641933</v>
      </c>
      <c r="C14" s="267">
        <f>SUM(C16:C20)</f>
        <v>146093948</v>
      </c>
      <c r="D14" s="266">
        <f>D16+D18+D20</f>
        <v>109456469.33999999</v>
      </c>
    </row>
    <row r="15" spans="1:4" ht="5.45" customHeight="1">
      <c r="A15" s="265"/>
      <c r="B15" s="266"/>
      <c r="C15" s="267"/>
      <c r="D15" s="266"/>
    </row>
    <row r="16" spans="1:4">
      <c r="A16" s="249" t="s">
        <v>265</v>
      </c>
      <c r="B16" s="259">
        <v>60709167</v>
      </c>
      <c r="C16" s="260">
        <v>54303503</v>
      </c>
      <c r="D16" s="259">
        <v>37696382.140000001</v>
      </c>
    </row>
    <row r="17" spans="1:4">
      <c r="A17" s="249"/>
      <c r="B17" s="276" t="s">
        <v>6</v>
      </c>
      <c r="C17" s="260"/>
      <c r="D17" s="276" t="s">
        <v>6</v>
      </c>
    </row>
    <row r="18" spans="1:4">
      <c r="A18" s="249" t="s">
        <v>266</v>
      </c>
      <c r="B18" s="259">
        <v>77321811</v>
      </c>
      <c r="C18" s="260">
        <v>76984535</v>
      </c>
      <c r="D18" s="259">
        <v>62241460.899999999</v>
      </c>
    </row>
    <row r="19" spans="1:4">
      <c r="A19" s="249" t="s">
        <v>6</v>
      </c>
      <c r="B19" s="276" t="s">
        <v>6</v>
      </c>
      <c r="C19" s="260"/>
      <c r="D19" s="259"/>
    </row>
    <row r="20" spans="1:4">
      <c r="A20" s="249" t="s">
        <v>267</v>
      </c>
      <c r="B20" s="259">
        <v>20610955</v>
      </c>
      <c r="C20" s="260">
        <v>14805910</v>
      </c>
      <c r="D20" s="259">
        <v>9518626.3000000007</v>
      </c>
    </row>
    <row r="21" spans="1:4" ht="15">
      <c r="A21" s="256"/>
      <c r="B21" s="261"/>
      <c r="C21" s="262"/>
      <c r="D21" s="261"/>
    </row>
    <row r="22" spans="1:4">
      <c r="A22" s="265" t="s">
        <v>23</v>
      </c>
      <c r="B22" s="266">
        <f>+B24+B26+B28</f>
        <v>75692165</v>
      </c>
      <c r="C22" s="267">
        <f>SUM(C24:C28)</f>
        <v>31460304</v>
      </c>
      <c r="D22" s="266">
        <f>+D24+D26+D28</f>
        <v>23351378</v>
      </c>
    </row>
    <row r="23" spans="1:4" ht="4.1500000000000004" customHeight="1">
      <c r="A23" s="277"/>
      <c r="B23" s="266"/>
      <c r="C23" s="267"/>
      <c r="D23" s="266"/>
    </row>
    <row r="24" spans="1:4">
      <c r="A24" s="249" t="s">
        <v>268</v>
      </c>
      <c r="B24" s="259">
        <v>28748221</v>
      </c>
      <c r="C24" s="260">
        <v>7584480</v>
      </c>
      <c r="D24" s="276">
        <v>4496030</v>
      </c>
    </row>
    <row r="25" spans="1:4">
      <c r="A25" s="249"/>
      <c r="B25" s="259"/>
      <c r="C25" s="260"/>
      <c r="D25" s="259"/>
    </row>
    <row r="26" spans="1:4">
      <c r="A26" s="249" t="s">
        <v>269</v>
      </c>
      <c r="B26" s="259">
        <v>25866664</v>
      </c>
      <c r="C26" s="260">
        <v>15272542</v>
      </c>
      <c r="D26" s="276">
        <v>12949978</v>
      </c>
    </row>
    <row r="27" spans="1:4">
      <c r="A27" s="249"/>
      <c r="B27" s="268"/>
      <c r="C27" s="269"/>
      <c r="D27" s="268"/>
    </row>
    <row r="28" spans="1:4">
      <c r="A28" s="249" t="s">
        <v>270</v>
      </c>
      <c r="B28" s="259">
        <v>21077280</v>
      </c>
      <c r="C28" s="260">
        <v>8603282</v>
      </c>
      <c r="D28" s="276">
        <v>5905370</v>
      </c>
    </row>
    <row r="29" spans="1:4" ht="15">
      <c r="A29" s="270"/>
      <c r="B29" s="271"/>
      <c r="C29" s="272"/>
      <c r="D29" s="273"/>
    </row>
    <row r="30" spans="1:4" ht="9" customHeight="1">
      <c r="A30" s="27"/>
      <c r="B30" s="27"/>
      <c r="C30" s="27"/>
      <c r="D30" s="286"/>
    </row>
    <row r="31" spans="1:4" ht="14.25">
      <c r="A31" s="596" t="s">
        <v>219</v>
      </c>
      <c r="B31" s="596"/>
      <c r="C31" s="101"/>
      <c r="D31" s="101"/>
    </row>
  </sheetData>
  <mergeCells count="4">
    <mergeCell ref="A1:D1"/>
    <mergeCell ref="A2:A3"/>
    <mergeCell ref="B2:D2"/>
    <mergeCell ref="A31:B31"/>
  </mergeCells>
  <pageMargins left="0.7" right="0.7" top="0.75" bottom="0.75" header="0.3" footer="0.3"/>
  <pageSetup orientation="portrait" horizontalDpi="4294967294" verticalDpi="4294967294" r:id="rId1"/>
  <ignoredErrors>
    <ignoredError sqref="C2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2" tint="-0.249977111117893"/>
  </sheetPr>
  <dimension ref="A2:S55"/>
  <sheetViews>
    <sheetView showGridLines="0" showZeros="0" workbookViewId="0">
      <selection activeCell="S31" sqref="S31"/>
    </sheetView>
  </sheetViews>
  <sheetFormatPr baseColWidth="10" defaultRowHeight="12.75"/>
  <cols>
    <col min="1" max="1" width="84.5703125" customWidth="1"/>
    <col min="2" max="2" width="10.7109375" customWidth="1"/>
    <col min="3" max="4" width="11.5703125" hidden="1" customWidth="1"/>
    <col min="5" max="5" width="11.28515625" customWidth="1"/>
    <col min="6" max="6" width="12" hidden="1" customWidth="1"/>
    <col min="7" max="7" width="11.28515625" hidden="1" customWidth="1"/>
    <col min="8" max="8" width="13.5703125" hidden="1" customWidth="1"/>
    <col min="9" max="9" width="13.5703125" customWidth="1"/>
    <col min="10" max="10" width="11.42578125" customWidth="1"/>
    <col min="11" max="11" width="12.140625" customWidth="1"/>
    <col min="12" max="12" width="12.28515625" customWidth="1"/>
    <col min="13" max="13" width="13.42578125" hidden="1" customWidth="1"/>
    <col min="14" max="14" width="10.140625" customWidth="1"/>
    <col min="15" max="15" width="11.28515625" customWidth="1"/>
    <col min="16" max="16" width="17.85546875" hidden="1" customWidth="1"/>
  </cols>
  <sheetData>
    <row r="2" spans="1:16" ht="15.75">
      <c r="A2" s="603" t="s">
        <v>574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</row>
    <row r="3" spans="1:16" ht="15.75">
      <c r="A3" s="603" t="s">
        <v>167</v>
      </c>
      <c r="B3" s="603"/>
      <c r="C3" s="603"/>
      <c r="D3" s="603"/>
      <c r="E3" s="603"/>
      <c r="F3" s="603"/>
      <c r="G3" s="603"/>
      <c r="H3" s="603"/>
      <c r="I3" s="603"/>
      <c r="J3" s="603"/>
      <c r="K3" s="603"/>
      <c r="L3" s="603"/>
      <c r="M3" s="603"/>
      <c r="N3" s="603"/>
    </row>
    <row r="4" spans="1:16" ht="15">
      <c r="A4" s="597" t="s">
        <v>495</v>
      </c>
      <c r="B4" s="597"/>
      <c r="C4" s="597"/>
      <c r="D4" s="597"/>
      <c r="E4" s="597"/>
      <c r="F4" s="597"/>
      <c r="G4" s="597"/>
      <c r="H4" s="597"/>
      <c r="I4" s="597"/>
      <c r="J4" s="597"/>
      <c r="K4" s="597"/>
      <c r="L4" s="597"/>
      <c r="M4" s="597"/>
      <c r="N4" s="597"/>
    </row>
    <row r="5" spans="1:16" ht="15">
      <c r="A5" s="597" t="s">
        <v>585</v>
      </c>
      <c r="B5" s="597"/>
      <c r="C5" s="597"/>
      <c r="D5" s="597"/>
      <c r="E5" s="597"/>
      <c r="F5" s="597"/>
      <c r="G5" s="597"/>
      <c r="H5" s="597"/>
      <c r="I5" s="597"/>
      <c r="J5" s="597"/>
      <c r="K5" s="597"/>
      <c r="L5" s="597"/>
      <c r="M5" s="597"/>
      <c r="N5" s="597"/>
    </row>
    <row r="6" spans="1:16" ht="15.75">
      <c r="A6" s="387" t="s">
        <v>6</v>
      </c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8"/>
      <c r="M6" s="388"/>
    </row>
    <row r="7" spans="1:16" ht="20.45" customHeight="1">
      <c r="A7" s="686" t="s">
        <v>496</v>
      </c>
      <c r="B7" s="678" t="s">
        <v>24</v>
      </c>
      <c r="C7" s="679"/>
      <c r="D7" s="679"/>
      <c r="E7" s="680"/>
      <c r="F7" s="679"/>
      <c r="G7" s="680"/>
      <c r="H7" s="679"/>
      <c r="I7" s="680"/>
      <c r="J7" s="680"/>
      <c r="K7" s="681"/>
      <c r="L7" s="682" t="s">
        <v>593</v>
      </c>
      <c r="M7" s="684" t="s">
        <v>570</v>
      </c>
      <c r="N7" s="653" t="s">
        <v>597</v>
      </c>
    </row>
    <row r="8" spans="1:16" ht="20.45" customHeight="1">
      <c r="A8" s="687"/>
      <c r="B8" s="389" t="s">
        <v>58</v>
      </c>
      <c r="C8" s="444" t="s">
        <v>573</v>
      </c>
      <c r="D8" s="444" t="s">
        <v>569</v>
      </c>
      <c r="E8" s="390" t="s">
        <v>10</v>
      </c>
      <c r="F8" s="390" t="s">
        <v>571</v>
      </c>
      <c r="G8" s="444" t="s">
        <v>2</v>
      </c>
      <c r="H8" s="444" t="s">
        <v>28</v>
      </c>
      <c r="I8" s="389" t="s">
        <v>544</v>
      </c>
      <c r="J8" s="389" t="s">
        <v>493</v>
      </c>
      <c r="K8" s="389" t="s">
        <v>155</v>
      </c>
      <c r="L8" s="683"/>
      <c r="M8" s="685"/>
      <c r="N8" s="654"/>
      <c r="P8" t="s">
        <v>544</v>
      </c>
    </row>
    <row r="9" spans="1:16" ht="19.5" customHeight="1">
      <c r="A9" s="391" t="s">
        <v>497</v>
      </c>
      <c r="B9" s="474">
        <f>SUM(B10:B18)</f>
        <v>28748221</v>
      </c>
      <c r="C9" s="486">
        <f>SUM(C10:C18)</f>
        <v>-5338276</v>
      </c>
      <c r="D9" s="482">
        <f t="shared" ref="D9" si="0">SUM(D10:D18)</f>
        <v>20826972</v>
      </c>
      <c r="E9" s="497">
        <f>SUM(E10:E18)+1</f>
        <v>7584480</v>
      </c>
      <c r="F9" s="514" t="e">
        <f t="shared" ref="F9:M9" si="1">SUM(F10:F18)</f>
        <v>#REF!</v>
      </c>
      <c r="G9" s="515">
        <f>SUM(G10:G18)+1</f>
        <v>7584480</v>
      </c>
      <c r="H9" s="516">
        <f>SUM(H10:H18)</f>
        <v>721837.56</v>
      </c>
      <c r="I9" s="357">
        <f>SUM(I10:I18)</f>
        <v>5217868.6700000009</v>
      </c>
      <c r="J9" s="357">
        <f t="shared" si="1"/>
        <v>2423719</v>
      </c>
      <c r="K9" s="357">
        <f>SUM(K10:K18)</f>
        <v>1617619.67</v>
      </c>
      <c r="L9" s="357">
        <f>+E9-I9</f>
        <v>2366611.3299999991</v>
      </c>
      <c r="M9" s="461" t="e">
        <f t="shared" si="1"/>
        <v>#REF!</v>
      </c>
      <c r="N9" s="507">
        <f>+I9*100/G9</f>
        <v>68.796656725312758</v>
      </c>
      <c r="O9" s="19" t="s">
        <v>6</v>
      </c>
      <c r="P9">
        <v>4496030.22</v>
      </c>
    </row>
    <row r="10" spans="1:16" ht="18.600000000000001" customHeight="1">
      <c r="A10" s="392" t="s">
        <v>498</v>
      </c>
      <c r="B10" s="475">
        <v>4639648</v>
      </c>
      <c r="C10" s="487">
        <v>2599820</v>
      </c>
      <c r="D10" s="462">
        <v>5942902</v>
      </c>
      <c r="E10" s="517">
        <v>4511496</v>
      </c>
      <c r="F10" s="400" t="e">
        <f>+E10-#REF!</f>
        <v>#REF!</v>
      </c>
      <c r="G10" s="518">
        <v>4511496</v>
      </c>
      <c r="H10" s="519">
        <v>717285</v>
      </c>
      <c r="I10" s="393">
        <v>3062509</v>
      </c>
      <c r="J10" s="393">
        <v>1313301.49</v>
      </c>
      <c r="K10" s="393">
        <v>650530.21</v>
      </c>
      <c r="L10" s="393">
        <f>+E10-I10</f>
        <v>1448987</v>
      </c>
      <c r="M10" s="462" t="e">
        <f>+E10-#REF!-I10</f>
        <v>#REF!</v>
      </c>
      <c r="N10" s="508">
        <f>+I10*100/G10</f>
        <v>67.882338807349043</v>
      </c>
      <c r="P10">
        <v>2345222.7799999998</v>
      </c>
    </row>
    <row r="11" spans="1:16" ht="18.600000000000001" customHeight="1">
      <c r="A11" s="392" t="s">
        <v>499</v>
      </c>
      <c r="B11" s="463">
        <v>352260</v>
      </c>
      <c r="C11" s="487">
        <v>12000</v>
      </c>
      <c r="D11" s="462">
        <v>333532</v>
      </c>
      <c r="E11" s="400">
        <v>230507</v>
      </c>
      <c r="F11" s="400" t="e">
        <f>+E11-#REF!</f>
        <v>#REF!</v>
      </c>
      <c r="G11" s="518">
        <v>230507</v>
      </c>
      <c r="H11" s="519">
        <v>4552.5600000000004</v>
      </c>
      <c r="I11" s="393">
        <v>162646</v>
      </c>
      <c r="J11" s="393">
        <v>137847.22</v>
      </c>
      <c r="K11" s="393">
        <v>91119.73</v>
      </c>
      <c r="L11" s="393">
        <f t="shared" ref="L11:L18" si="2">+E11-I11</f>
        <v>67861</v>
      </c>
      <c r="M11" s="462" t="e">
        <f>+E11-#REF!-I11</f>
        <v>#REF!</v>
      </c>
      <c r="N11" s="508">
        <f>+I11*100/G11</f>
        <v>70.560113141900246</v>
      </c>
      <c r="P11">
        <v>158093.76999999999</v>
      </c>
    </row>
    <row r="12" spans="1:16" ht="23.45" customHeight="1">
      <c r="A12" s="394" t="s">
        <v>500</v>
      </c>
      <c r="B12" s="475">
        <v>1104990</v>
      </c>
      <c r="C12" s="487">
        <v>1877497</v>
      </c>
      <c r="D12" s="459">
        <v>2375547</v>
      </c>
      <c r="E12" s="520">
        <v>1294816</v>
      </c>
      <c r="F12" s="400" t="e">
        <f>+E12-#REF!</f>
        <v>#REF!</v>
      </c>
      <c r="G12" s="518">
        <v>1294816</v>
      </c>
      <c r="H12" s="519"/>
      <c r="I12" s="393">
        <f>+H12+P12</f>
        <v>1032940.31</v>
      </c>
      <c r="J12" s="393">
        <v>636764.26</v>
      </c>
      <c r="K12" s="393">
        <v>604237.93999999994</v>
      </c>
      <c r="L12" s="393">
        <f t="shared" si="2"/>
        <v>261875.68999999994</v>
      </c>
      <c r="M12" s="462" t="e">
        <f>+E12-#REF!-I12</f>
        <v>#REF!</v>
      </c>
      <c r="N12" s="508">
        <f>+I12*100/G12</f>
        <v>79.775065337468803</v>
      </c>
      <c r="P12">
        <v>1032940.31</v>
      </c>
    </row>
    <row r="13" spans="1:16" ht="16.149999999999999" customHeight="1">
      <c r="A13" s="395" t="s">
        <v>501</v>
      </c>
      <c r="B13" s="475">
        <v>38379</v>
      </c>
      <c r="C13" s="487">
        <v>-7677</v>
      </c>
      <c r="D13" s="470">
        <v>30702</v>
      </c>
      <c r="E13" s="520" t="s">
        <v>6</v>
      </c>
      <c r="F13" s="400" t="e">
        <f>+E13-#REF!</f>
        <v>#VALUE!</v>
      </c>
      <c r="G13" s="521">
        <v>0</v>
      </c>
      <c r="H13" s="519"/>
      <c r="I13" s="393">
        <f>+P13+H13</f>
        <v>0</v>
      </c>
      <c r="J13" s="522"/>
      <c r="K13" s="522"/>
      <c r="L13" s="393">
        <v>0</v>
      </c>
      <c r="M13" s="462" t="e">
        <f>+E13-#REF!-I13</f>
        <v>#VALUE!</v>
      </c>
      <c r="N13" s="508" t="s">
        <v>6</v>
      </c>
      <c r="P13">
        <v>0</v>
      </c>
    </row>
    <row r="14" spans="1:16" ht="18" customHeight="1">
      <c r="A14" s="395" t="s">
        <v>502</v>
      </c>
      <c r="B14" s="475">
        <v>42953</v>
      </c>
      <c r="C14" s="487">
        <v>-8592</v>
      </c>
      <c r="D14" s="470">
        <v>34361</v>
      </c>
      <c r="E14" s="520">
        <v>0</v>
      </c>
      <c r="F14" s="400" t="e">
        <f>+E14-#REF!</f>
        <v>#REF!</v>
      </c>
      <c r="G14" s="521">
        <v>0</v>
      </c>
      <c r="H14" s="519"/>
      <c r="I14" s="393">
        <f>+P14+H14</f>
        <v>0</v>
      </c>
      <c r="J14" s="522"/>
      <c r="K14" s="522"/>
      <c r="L14" s="393">
        <f t="shared" si="2"/>
        <v>0</v>
      </c>
      <c r="M14" s="462" t="e">
        <f>+E14-#REF!-I14</f>
        <v>#REF!</v>
      </c>
      <c r="N14" s="508" t="s">
        <v>6</v>
      </c>
      <c r="P14">
        <v>0</v>
      </c>
    </row>
    <row r="15" spans="1:16" ht="17.45" customHeight="1">
      <c r="A15" s="395" t="s">
        <v>503</v>
      </c>
      <c r="B15" s="475">
        <v>2025000</v>
      </c>
      <c r="C15" s="487">
        <v>-1035000</v>
      </c>
      <c r="D15" s="470">
        <v>990000</v>
      </c>
      <c r="E15" s="520">
        <v>0</v>
      </c>
      <c r="F15" s="400" t="e">
        <f>+E15-#REF!</f>
        <v>#REF!</v>
      </c>
      <c r="G15" s="521">
        <v>0</v>
      </c>
      <c r="H15" s="519"/>
      <c r="I15" s="393">
        <f t="shared" ref="I15" si="3">+P15+H15</f>
        <v>0</v>
      </c>
      <c r="J15" s="522"/>
      <c r="K15" s="522"/>
      <c r="L15" s="393">
        <f t="shared" si="2"/>
        <v>0</v>
      </c>
      <c r="M15" s="462" t="e">
        <f>+E15-#REF!-I15</f>
        <v>#REF!</v>
      </c>
      <c r="N15" s="508" t="s">
        <v>6</v>
      </c>
      <c r="P15">
        <v>0</v>
      </c>
    </row>
    <row r="16" spans="1:16" ht="12.6" customHeight="1">
      <c r="A16" s="395" t="s">
        <v>504</v>
      </c>
      <c r="B16" s="475">
        <v>2795500</v>
      </c>
      <c r="C16" s="487">
        <v>-2138713</v>
      </c>
      <c r="D16" s="470">
        <v>656787</v>
      </c>
      <c r="E16" s="520">
        <v>14200</v>
      </c>
      <c r="F16" s="400" t="e">
        <f>+E16-#REF!</f>
        <v>#REF!</v>
      </c>
      <c r="G16" s="521">
        <v>14200</v>
      </c>
      <c r="H16" s="519"/>
      <c r="I16" s="393">
        <v>8995.65</v>
      </c>
      <c r="J16" s="522">
        <v>4400</v>
      </c>
      <c r="K16" s="522">
        <v>4400</v>
      </c>
      <c r="L16" s="393">
        <f t="shared" si="2"/>
        <v>5204.3500000000004</v>
      </c>
      <c r="M16" s="462" t="e">
        <f>+E16-#REF!-I16</f>
        <v>#REF!</v>
      </c>
      <c r="N16" s="508" t="s">
        <v>6</v>
      </c>
      <c r="P16">
        <v>8995.65</v>
      </c>
    </row>
    <row r="17" spans="1:19" ht="15" customHeight="1">
      <c r="A17" s="395" t="s">
        <v>505</v>
      </c>
      <c r="B17" s="475">
        <v>148815</v>
      </c>
      <c r="C17" s="487">
        <v>190094</v>
      </c>
      <c r="D17" s="470">
        <v>338909</v>
      </c>
      <c r="E17" s="398">
        <v>173601</v>
      </c>
      <c r="F17" s="498" t="e">
        <f>+E17-#REF!</f>
        <v>#REF!</v>
      </c>
      <c r="G17" s="523">
        <v>173601</v>
      </c>
      <c r="H17" s="519"/>
      <c r="I17" s="393">
        <v>173368.06</v>
      </c>
      <c r="J17" s="522">
        <v>63.56</v>
      </c>
      <c r="K17" s="522">
        <v>63.56</v>
      </c>
      <c r="L17" s="393">
        <f t="shared" si="2"/>
        <v>232.94000000000233</v>
      </c>
      <c r="M17" s="462" t="e">
        <f>+E17-#REF!-I17</f>
        <v>#REF!</v>
      </c>
      <c r="N17" s="508" t="s">
        <v>6</v>
      </c>
      <c r="P17">
        <v>173368.06</v>
      </c>
    </row>
    <row r="18" spans="1:19">
      <c r="A18" s="392" t="s">
        <v>506</v>
      </c>
      <c r="B18" s="475">
        <v>17600676</v>
      </c>
      <c r="C18" s="487">
        <v>-6827705</v>
      </c>
      <c r="D18" s="470">
        <v>10124232</v>
      </c>
      <c r="E18" s="398">
        <v>1359859</v>
      </c>
      <c r="F18" s="498" t="e">
        <f>+E18-#REF!</f>
        <v>#REF!</v>
      </c>
      <c r="G18" s="523">
        <v>1359859</v>
      </c>
      <c r="H18" s="519"/>
      <c r="I18" s="393">
        <v>777409.65</v>
      </c>
      <c r="J18" s="522">
        <v>331342.46999999997</v>
      </c>
      <c r="K18" s="522">
        <v>267268.23</v>
      </c>
      <c r="L18" s="393">
        <f t="shared" si="2"/>
        <v>582449.35</v>
      </c>
      <c r="M18" s="462" t="e">
        <f>+E18-#REF!-I18</f>
        <v>#REF!</v>
      </c>
      <c r="N18" s="508">
        <f t="shared" ref="N18:N29" si="4">+I18*100/G18</f>
        <v>57.168401282780053</v>
      </c>
      <c r="P18">
        <v>777409.65</v>
      </c>
    </row>
    <row r="19" spans="1:19" ht="18" customHeight="1">
      <c r="A19" s="396" t="s">
        <v>507</v>
      </c>
      <c r="B19" s="476">
        <f t="shared" ref="B19:M19" si="5">SUM(B20:B40)</f>
        <v>25866664</v>
      </c>
      <c r="C19" s="486">
        <f>SUM(C20:C40)</f>
        <v>5996313</v>
      </c>
      <c r="D19" s="483">
        <f>SUM(D20:D40)+1</f>
        <v>25526485</v>
      </c>
      <c r="E19" s="397">
        <f t="shared" ref="E19:J19" si="6">SUM(E20:E40)</f>
        <v>15272542</v>
      </c>
      <c r="F19" s="397" t="e">
        <f t="shared" si="6"/>
        <v>#REF!</v>
      </c>
      <c r="G19" s="397">
        <f t="shared" si="6"/>
        <v>15272542</v>
      </c>
      <c r="H19" s="397">
        <f t="shared" si="6"/>
        <v>729</v>
      </c>
      <c r="I19" s="397">
        <f t="shared" si="6"/>
        <v>12959776.600000001</v>
      </c>
      <c r="J19" s="397">
        <f t="shared" si="6"/>
        <v>8652205.8599999994</v>
      </c>
      <c r="K19" s="397">
        <f t="shared" si="5"/>
        <v>6771282.1600000001</v>
      </c>
      <c r="L19" s="397">
        <f>+E19-I19</f>
        <v>2312765.3999999985</v>
      </c>
      <c r="M19" s="460" t="e">
        <f t="shared" si="5"/>
        <v>#REF!</v>
      </c>
      <c r="N19" s="507">
        <f t="shared" si="4"/>
        <v>84.856709511749926</v>
      </c>
      <c r="O19" s="1"/>
      <c r="P19">
        <v>12949977.880000003</v>
      </c>
      <c r="R19" s="1" t="s">
        <v>6</v>
      </c>
    </row>
    <row r="20" spans="1:19" ht="16.899999999999999" customHeight="1">
      <c r="A20" s="394" t="s">
        <v>508</v>
      </c>
      <c r="B20" s="477">
        <v>196000</v>
      </c>
      <c r="C20" s="487">
        <v>325180</v>
      </c>
      <c r="D20" s="459">
        <v>291260</v>
      </c>
      <c r="E20" s="398">
        <v>337858</v>
      </c>
      <c r="F20" s="498" t="e">
        <f>+E20-#REF!</f>
        <v>#REF!</v>
      </c>
      <c r="G20" s="398">
        <v>337858</v>
      </c>
      <c r="H20" s="519"/>
      <c r="I20" s="393">
        <v>329598.09000000003</v>
      </c>
      <c r="J20" s="393">
        <v>293624</v>
      </c>
      <c r="K20" s="393">
        <v>288067</v>
      </c>
      <c r="L20" s="393" t="s">
        <v>6</v>
      </c>
      <c r="M20" s="462" t="e">
        <f>+E20-#REF!-I20</f>
        <v>#REF!</v>
      </c>
      <c r="N20" s="508">
        <f t="shared" si="4"/>
        <v>97.555212544915335</v>
      </c>
      <c r="P20">
        <v>329598.09000000003</v>
      </c>
    </row>
    <row r="21" spans="1:19" ht="16.149999999999999" customHeight="1">
      <c r="A21" s="394" t="s">
        <v>509</v>
      </c>
      <c r="B21" s="477">
        <v>16381823</v>
      </c>
      <c r="C21" s="487">
        <v>4173241</v>
      </c>
      <c r="D21" s="459">
        <v>16362743</v>
      </c>
      <c r="E21" s="398">
        <v>10470817</v>
      </c>
      <c r="F21" s="498" t="e">
        <f>+E21-#REF!</f>
        <v>#REF!</v>
      </c>
      <c r="G21" s="398">
        <v>10470817</v>
      </c>
      <c r="H21" s="519">
        <f>9148348-9147619</f>
        <v>729</v>
      </c>
      <c r="I21" s="393">
        <v>9148348</v>
      </c>
      <c r="J21" s="393">
        <v>6056450</v>
      </c>
      <c r="K21" s="393">
        <v>4713948</v>
      </c>
      <c r="L21" s="393">
        <f>+E21-I21</f>
        <v>1322469</v>
      </c>
      <c r="M21" s="462" t="e">
        <f>+E21-#REF!-I21</f>
        <v>#REF!</v>
      </c>
      <c r="N21" s="508">
        <f t="shared" si="4"/>
        <v>87.36995403510538</v>
      </c>
      <c r="P21">
        <v>9147618.6500000004</v>
      </c>
    </row>
    <row r="22" spans="1:19" ht="14.45" customHeight="1">
      <c r="A22" s="394" t="s">
        <v>510</v>
      </c>
      <c r="B22" s="477">
        <v>155763</v>
      </c>
      <c r="C22" s="487">
        <v>98500</v>
      </c>
      <c r="D22" s="459">
        <v>182610</v>
      </c>
      <c r="E22" s="398">
        <v>75922</v>
      </c>
      <c r="F22" s="498" t="e">
        <f>+E22-#REF!</f>
        <v>#REF!</v>
      </c>
      <c r="G22" s="398">
        <v>75922</v>
      </c>
      <c r="H22" s="519"/>
      <c r="I22" s="393">
        <v>75921.53</v>
      </c>
      <c r="J22" s="393">
        <v>71893.02</v>
      </c>
      <c r="K22" s="393">
        <v>71653</v>
      </c>
      <c r="L22" s="393">
        <f t="shared" ref="L22:L40" si="7">+E22-I22</f>
        <v>0.47000000000116415</v>
      </c>
      <c r="M22" s="462" t="e">
        <f>+E22-#REF!-I22</f>
        <v>#REF!</v>
      </c>
      <c r="N22" s="508">
        <f t="shared" si="4"/>
        <v>99.999380943600016</v>
      </c>
      <c r="P22">
        <v>75921.53</v>
      </c>
    </row>
    <row r="23" spans="1:19" ht="12.6" customHeight="1">
      <c r="A23" s="394" t="s">
        <v>511</v>
      </c>
      <c r="B23" s="477">
        <v>115314</v>
      </c>
      <c r="C23" s="487">
        <v>0</v>
      </c>
      <c r="D23" s="459">
        <v>113399</v>
      </c>
      <c r="E23" s="398">
        <v>1915</v>
      </c>
      <c r="F23" s="498" t="e">
        <f>+E23-#REF!</f>
        <v>#REF!</v>
      </c>
      <c r="G23" s="398">
        <v>1915</v>
      </c>
      <c r="H23" s="519"/>
      <c r="I23" s="393">
        <v>1915.3</v>
      </c>
      <c r="J23" s="393">
        <v>1915.3</v>
      </c>
      <c r="K23" s="393">
        <v>1915</v>
      </c>
      <c r="L23" s="393">
        <f t="shared" si="7"/>
        <v>-0.29999999999995453</v>
      </c>
      <c r="M23" s="462" t="e">
        <f>+E23-#REF!-I23</f>
        <v>#REF!</v>
      </c>
      <c r="N23" s="508">
        <f t="shared" si="4"/>
        <v>100.01566579634465</v>
      </c>
      <c r="P23">
        <v>1915.3</v>
      </c>
    </row>
    <row r="24" spans="1:19" ht="14.45" customHeight="1">
      <c r="A24" s="394" t="s">
        <v>512</v>
      </c>
      <c r="B24" s="477">
        <v>1000000</v>
      </c>
      <c r="C24" s="487">
        <v>210000</v>
      </c>
      <c r="D24" s="459">
        <v>973403</v>
      </c>
      <c r="E24" s="398">
        <v>980263</v>
      </c>
      <c r="F24" s="498" t="e">
        <f>+E24-#REF!</f>
        <v>#REF!</v>
      </c>
      <c r="G24" s="398">
        <v>980263</v>
      </c>
      <c r="H24" s="519"/>
      <c r="I24" s="393">
        <v>299726.46999999997</v>
      </c>
      <c r="J24" s="393">
        <v>280936</v>
      </c>
      <c r="K24" s="393">
        <v>279320</v>
      </c>
      <c r="L24" s="393">
        <f t="shared" si="7"/>
        <v>680536.53</v>
      </c>
      <c r="M24" s="462" t="e">
        <f>+E24-#REF!-I24</f>
        <v>#REF!</v>
      </c>
      <c r="N24" s="508">
        <f t="shared" si="4"/>
        <v>30.576128039107868</v>
      </c>
      <c r="P24">
        <v>299726.46999999997</v>
      </c>
    </row>
    <row r="25" spans="1:19" ht="16.899999999999999" customHeight="1">
      <c r="A25" s="394" t="s">
        <v>513</v>
      </c>
      <c r="B25" s="477">
        <v>513000</v>
      </c>
      <c r="C25" s="487">
        <v>436903</v>
      </c>
      <c r="D25" s="459">
        <v>803493</v>
      </c>
      <c r="E25" s="398">
        <v>342170</v>
      </c>
      <c r="F25" s="498" t="e">
        <f>+E25-#REF!</f>
        <v>#REF!</v>
      </c>
      <c r="G25" s="398">
        <v>342170</v>
      </c>
      <c r="H25" s="519"/>
      <c r="I25" s="393">
        <v>336966.61</v>
      </c>
      <c r="J25" s="393">
        <v>300062</v>
      </c>
      <c r="K25" s="393">
        <v>16411</v>
      </c>
      <c r="L25" s="393">
        <f t="shared" si="7"/>
        <v>5203.390000000014</v>
      </c>
      <c r="M25" s="462" t="e">
        <f>+E25-#REF!-I25</f>
        <v>#REF!</v>
      </c>
      <c r="N25" s="508">
        <f t="shared" si="4"/>
        <v>98.479296840751672</v>
      </c>
      <c r="P25">
        <v>336966.61</v>
      </c>
    </row>
    <row r="26" spans="1:19" ht="14.45" customHeight="1">
      <c r="A26" s="394" t="s">
        <v>514</v>
      </c>
      <c r="B26" s="477">
        <v>1000000</v>
      </c>
      <c r="C26" s="487">
        <v>-100000</v>
      </c>
      <c r="D26" s="459">
        <v>846797</v>
      </c>
      <c r="E26" s="398">
        <v>292198</v>
      </c>
      <c r="F26" s="498" t="e">
        <f>+E26-#REF!</f>
        <v>#REF!</v>
      </c>
      <c r="G26" s="398">
        <v>292198</v>
      </c>
      <c r="H26" s="519"/>
      <c r="I26" s="393">
        <v>221883</v>
      </c>
      <c r="J26" s="393">
        <v>27050</v>
      </c>
      <c r="K26" s="393">
        <v>10804</v>
      </c>
      <c r="L26" s="393">
        <f t="shared" si="7"/>
        <v>70315</v>
      </c>
      <c r="M26" s="462" t="e">
        <f>+E26-#REF!-I26</f>
        <v>#REF!</v>
      </c>
      <c r="N26" s="508">
        <f t="shared" si="4"/>
        <v>75.935838027638795</v>
      </c>
      <c r="P26">
        <v>217699.48</v>
      </c>
    </row>
    <row r="27" spans="1:19" ht="16.899999999999999" customHeight="1">
      <c r="A27" s="394" t="s">
        <v>515</v>
      </c>
      <c r="B27" s="477">
        <v>1275000</v>
      </c>
      <c r="C27" s="487">
        <v>500472</v>
      </c>
      <c r="D27" s="459">
        <v>904803</v>
      </c>
      <c r="E27" s="398">
        <v>1068818</v>
      </c>
      <c r="F27" s="498" t="e">
        <f>+E27-#REF!</f>
        <v>#REF!</v>
      </c>
      <c r="G27" s="398">
        <v>1068818</v>
      </c>
      <c r="H27" s="519"/>
      <c r="I27" s="393">
        <v>1014454</v>
      </c>
      <c r="J27" s="393">
        <v>807055</v>
      </c>
      <c r="K27" s="393">
        <v>743507</v>
      </c>
      <c r="L27" s="393">
        <f t="shared" si="7"/>
        <v>54364</v>
      </c>
      <c r="M27" s="462" t="e">
        <f>+E27-#REF!-I27</f>
        <v>#REF!</v>
      </c>
      <c r="N27" s="508">
        <f t="shared" si="4"/>
        <v>94.913633565302973</v>
      </c>
      <c r="P27">
        <v>1014356.34</v>
      </c>
    </row>
    <row r="28" spans="1:19" ht="25.15" customHeight="1">
      <c r="A28" s="394" t="s">
        <v>516</v>
      </c>
      <c r="B28" s="477">
        <v>1372996</v>
      </c>
      <c r="C28" s="487">
        <v>78000</v>
      </c>
      <c r="D28" s="459">
        <v>1291990</v>
      </c>
      <c r="E28" s="398">
        <v>717330</v>
      </c>
      <c r="F28" s="498" t="e">
        <f>+E28-#REF!</f>
        <v>#REF!</v>
      </c>
      <c r="G28" s="398">
        <v>717330</v>
      </c>
      <c r="H28" s="519"/>
      <c r="I28" s="393">
        <v>633344.26</v>
      </c>
      <c r="J28" s="393">
        <v>246267</v>
      </c>
      <c r="K28" s="393">
        <v>172013</v>
      </c>
      <c r="L28" s="393">
        <f t="shared" si="7"/>
        <v>83985.739999999991</v>
      </c>
      <c r="M28" s="462" t="e">
        <f>+E28-#REF!-I28</f>
        <v>#REF!</v>
      </c>
      <c r="N28" s="508">
        <f t="shared" si="4"/>
        <v>88.291896337808268</v>
      </c>
      <c r="P28">
        <v>633344.26</v>
      </c>
    </row>
    <row r="29" spans="1:19" ht="14.45" customHeight="1">
      <c r="A29" s="394" t="s">
        <v>517</v>
      </c>
      <c r="B29" s="477">
        <v>379970</v>
      </c>
      <c r="C29" s="487">
        <v>-50085</v>
      </c>
      <c r="D29" s="459">
        <v>328817</v>
      </c>
      <c r="E29" s="398">
        <v>55499</v>
      </c>
      <c r="F29" s="498" t="e">
        <f>+E29-#REF!</f>
        <v>#REF!</v>
      </c>
      <c r="G29" s="398">
        <v>55499</v>
      </c>
      <c r="H29" s="519"/>
      <c r="I29" s="393">
        <v>53533.96</v>
      </c>
      <c r="J29" s="393">
        <v>23250</v>
      </c>
      <c r="K29" s="393">
        <v>1068.1600000000001</v>
      </c>
      <c r="L29" s="393">
        <f t="shared" si="7"/>
        <v>1965.0400000000009</v>
      </c>
      <c r="M29" s="462" t="e">
        <f>+E29-#REF!-I29</f>
        <v>#REF!</v>
      </c>
      <c r="N29" s="508">
        <f t="shared" si="4"/>
        <v>96.459323591416066</v>
      </c>
      <c r="P29">
        <v>53533.96</v>
      </c>
      <c r="S29" t="s">
        <v>6</v>
      </c>
    </row>
    <row r="30" spans="1:19" ht="15.6" customHeight="1">
      <c r="A30" s="394" t="s">
        <v>518</v>
      </c>
      <c r="B30" s="477">
        <v>47851</v>
      </c>
      <c r="C30" s="487">
        <v>27820</v>
      </c>
      <c r="D30" s="459">
        <v>75671</v>
      </c>
      <c r="E30" s="398">
        <v>9567</v>
      </c>
      <c r="F30" s="498" t="e">
        <f>+E30-#REF!</f>
        <v>#REF!</v>
      </c>
      <c r="G30" s="398">
        <v>9567</v>
      </c>
      <c r="H30" s="519"/>
      <c r="I30" s="393">
        <v>9567</v>
      </c>
      <c r="J30" s="393">
        <v>9567</v>
      </c>
      <c r="K30" s="393">
        <v>9567</v>
      </c>
      <c r="L30" s="393">
        <f t="shared" si="7"/>
        <v>0</v>
      </c>
      <c r="M30" s="462" t="e">
        <f>+E30-#REF!-I30</f>
        <v>#REF!</v>
      </c>
      <c r="N30" s="508" t="s">
        <v>6</v>
      </c>
      <c r="P30">
        <v>9567</v>
      </c>
      <c r="S30" t="s">
        <v>6</v>
      </c>
    </row>
    <row r="31" spans="1:19" ht="18" customHeight="1">
      <c r="A31" s="394" t="s">
        <v>519</v>
      </c>
      <c r="B31" s="477">
        <v>100000</v>
      </c>
      <c r="C31" s="487">
        <v>2700</v>
      </c>
      <c r="D31" s="459">
        <v>86342</v>
      </c>
      <c r="E31" s="398">
        <v>90535</v>
      </c>
      <c r="F31" s="498" t="e">
        <f>+E31-#REF!</f>
        <v>#REF!</v>
      </c>
      <c r="G31" s="398">
        <v>90535</v>
      </c>
      <c r="H31" s="519"/>
      <c r="I31" s="393">
        <v>82994.080000000002</v>
      </c>
      <c r="J31" s="393">
        <v>66624</v>
      </c>
      <c r="K31" s="393">
        <v>66624</v>
      </c>
      <c r="L31" s="393">
        <f t="shared" si="7"/>
        <v>7540.9199999999983</v>
      </c>
      <c r="M31" s="462" t="e">
        <f>+E31-#REF!-I31</f>
        <v>#REF!</v>
      </c>
      <c r="N31" s="508">
        <f t="shared" ref="N31:N39" si="8">+I31*100/G31</f>
        <v>91.670712983928865</v>
      </c>
      <c r="P31">
        <v>82994.080000000002</v>
      </c>
    </row>
    <row r="32" spans="1:19" ht="20.45" customHeight="1">
      <c r="A32" s="394" t="s">
        <v>520</v>
      </c>
      <c r="B32" s="477">
        <v>750000</v>
      </c>
      <c r="C32" s="487">
        <v>-5931</v>
      </c>
      <c r="D32" s="459">
        <v>724316</v>
      </c>
      <c r="E32" s="398">
        <v>36051</v>
      </c>
      <c r="F32" s="498" t="e">
        <f>+E32-#REF!</f>
        <v>#REF!</v>
      </c>
      <c r="G32" s="398">
        <v>36051</v>
      </c>
      <c r="H32" s="519"/>
      <c r="I32" s="393">
        <v>25954.26</v>
      </c>
      <c r="J32" s="393">
        <v>12317.81</v>
      </c>
      <c r="K32" s="393">
        <v>22643.31</v>
      </c>
      <c r="L32" s="393">
        <f t="shared" si="7"/>
        <v>10096.740000000002</v>
      </c>
      <c r="M32" s="462" t="e">
        <f>+E32-#REF!-I32</f>
        <v>#REF!</v>
      </c>
      <c r="N32" s="508">
        <f t="shared" si="8"/>
        <v>71.993176333527501</v>
      </c>
      <c r="P32">
        <v>25954.26</v>
      </c>
      <c r="S32" t="s">
        <v>6</v>
      </c>
    </row>
    <row r="33" spans="1:16" ht="17.45" customHeight="1">
      <c r="A33" s="394" t="s">
        <v>521</v>
      </c>
      <c r="B33" s="477">
        <v>533372</v>
      </c>
      <c r="C33" s="487">
        <v>55043</v>
      </c>
      <c r="D33" s="459">
        <v>513067</v>
      </c>
      <c r="E33" s="398">
        <v>174477</v>
      </c>
      <c r="F33" s="498" t="e">
        <f>+E33-#REF!</f>
        <v>#REF!</v>
      </c>
      <c r="G33" s="398">
        <v>174477</v>
      </c>
      <c r="H33" s="519"/>
      <c r="I33" s="393">
        <v>152659</v>
      </c>
      <c r="J33" s="393">
        <v>77880</v>
      </c>
      <c r="K33" s="393">
        <v>73390.960000000006</v>
      </c>
      <c r="L33" s="393">
        <f t="shared" si="7"/>
        <v>21818</v>
      </c>
      <c r="M33" s="462" t="e">
        <f>+E33-#REF!-I33</f>
        <v>#REF!</v>
      </c>
      <c r="N33" s="508">
        <f t="shared" si="8"/>
        <v>87.495199940393292</v>
      </c>
      <c r="P33">
        <v>147870.81</v>
      </c>
    </row>
    <row r="34" spans="1:16" ht="16.149999999999999" customHeight="1">
      <c r="A34" s="394" t="s">
        <v>522</v>
      </c>
      <c r="B34" s="477">
        <v>278782</v>
      </c>
      <c r="C34" s="487">
        <v>0</v>
      </c>
      <c r="D34" s="459">
        <v>273723</v>
      </c>
      <c r="E34" s="398">
        <v>94538</v>
      </c>
      <c r="F34" s="498" t="e">
        <f>+E34-#REF!</f>
        <v>#REF!</v>
      </c>
      <c r="G34" s="398">
        <v>94538</v>
      </c>
      <c r="H34" s="519"/>
      <c r="I34" s="393">
        <v>93554.75</v>
      </c>
      <c r="J34" s="393">
        <v>27631</v>
      </c>
      <c r="K34" s="393">
        <v>45247</v>
      </c>
      <c r="L34" s="393">
        <f t="shared" si="7"/>
        <v>983.25</v>
      </c>
      <c r="M34" s="462" t="e">
        <f>+E34-#REF!-I34</f>
        <v>#REF!</v>
      </c>
      <c r="N34" s="508">
        <f t="shared" si="8"/>
        <v>98.959942033891139</v>
      </c>
      <c r="P34">
        <v>93554.75</v>
      </c>
    </row>
    <row r="35" spans="1:16" ht="26.45" customHeight="1">
      <c r="A35" s="394" t="s">
        <v>523</v>
      </c>
      <c r="B35" s="477">
        <v>873687</v>
      </c>
      <c r="C35" s="487">
        <v>-165205</v>
      </c>
      <c r="D35" s="459">
        <v>529463</v>
      </c>
      <c r="E35" s="398">
        <v>421135</v>
      </c>
      <c r="F35" s="498" t="e">
        <f>+E35-#REF!</f>
        <v>#REF!</v>
      </c>
      <c r="G35" s="398">
        <v>421135</v>
      </c>
      <c r="H35" s="519"/>
      <c r="I35" s="393">
        <v>389589.54</v>
      </c>
      <c r="J35" s="393">
        <v>271205</v>
      </c>
      <c r="K35" s="393">
        <v>176625</v>
      </c>
      <c r="L35" s="393">
        <f t="shared" si="7"/>
        <v>31545.460000000021</v>
      </c>
      <c r="M35" s="462" t="e">
        <f>+E35-#REF!-I35</f>
        <v>#REF!</v>
      </c>
      <c r="N35" s="508">
        <f t="shared" si="8"/>
        <v>92.509418594987352</v>
      </c>
      <c r="P35">
        <v>389589.54</v>
      </c>
    </row>
    <row r="36" spans="1:16" ht="27" customHeight="1">
      <c r="A36" s="394" t="s">
        <v>524</v>
      </c>
      <c r="B36" s="477">
        <v>558027</v>
      </c>
      <c r="C36" s="487">
        <v>176915</v>
      </c>
      <c r="D36" s="459">
        <v>731033</v>
      </c>
      <c r="E36" s="398">
        <v>3909</v>
      </c>
      <c r="F36" s="498" t="e">
        <f>+E36-#REF!</f>
        <v>#REF!</v>
      </c>
      <c r="G36" s="398">
        <v>3909</v>
      </c>
      <c r="H36" s="519"/>
      <c r="I36" s="393">
        <v>3909.46</v>
      </c>
      <c r="J36" s="393">
        <v>3909.46</v>
      </c>
      <c r="K36" s="393">
        <v>3909.46</v>
      </c>
      <c r="L36" s="393">
        <f t="shared" si="7"/>
        <v>-0.46000000000003638</v>
      </c>
      <c r="M36" s="462" t="e">
        <f>+E36-#REF!-I36</f>
        <v>#REF!</v>
      </c>
      <c r="N36" s="508">
        <f t="shared" si="8"/>
        <v>100.01176771552826</v>
      </c>
      <c r="P36">
        <v>3909.46</v>
      </c>
    </row>
    <row r="37" spans="1:16" ht="21" customHeight="1">
      <c r="A37" s="394" t="s">
        <v>525</v>
      </c>
      <c r="B37" s="477">
        <v>30174</v>
      </c>
      <c r="C37" s="487">
        <v>0</v>
      </c>
      <c r="D37" s="459">
        <v>29458</v>
      </c>
      <c r="E37" s="398">
        <v>3201</v>
      </c>
      <c r="F37" s="498" t="e">
        <f>+E37-#REF!</f>
        <v>#REF!</v>
      </c>
      <c r="G37" s="398">
        <v>3201</v>
      </c>
      <c r="H37" s="519"/>
      <c r="I37" s="513">
        <v>1248.6400000000001</v>
      </c>
      <c r="J37" s="393">
        <v>715.99</v>
      </c>
      <c r="K37" s="393">
        <v>715.99</v>
      </c>
      <c r="L37" s="393">
        <f t="shared" si="7"/>
        <v>1952.36</v>
      </c>
      <c r="M37" s="462" t="e">
        <f>+E37-#REF!-I37</f>
        <v>#REF!</v>
      </c>
      <c r="N37" s="508">
        <f t="shared" si="8"/>
        <v>39.007810059356459</v>
      </c>
      <c r="P37">
        <v>1248.6400000000001</v>
      </c>
    </row>
    <row r="38" spans="1:16" ht="27.6" customHeight="1">
      <c r="A38" s="394" t="s">
        <v>526</v>
      </c>
      <c r="B38" s="477">
        <v>221793</v>
      </c>
      <c r="C38" s="487">
        <v>145594</v>
      </c>
      <c r="D38" s="459">
        <v>339907</v>
      </c>
      <c r="E38" s="398">
        <v>28438</v>
      </c>
      <c r="F38" s="498" t="e">
        <f>+E38-#REF!</f>
        <v>#REF!</v>
      </c>
      <c r="G38" s="398">
        <v>28438</v>
      </c>
      <c r="H38" s="519"/>
      <c r="I38" s="393">
        <v>27652.69</v>
      </c>
      <c r="J38" s="393">
        <v>27479.599999999999</v>
      </c>
      <c r="K38" s="393">
        <v>27479.599999999999</v>
      </c>
      <c r="L38" s="393">
        <f t="shared" si="7"/>
        <v>785.31000000000131</v>
      </c>
      <c r="M38" s="462" t="e">
        <f>+E38-#REF!-I38</f>
        <v>#REF!</v>
      </c>
      <c r="N38" s="508">
        <f t="shared" si="8"/>
        <v>97.238518883184469</v>
      </c>
      <c r="P38">
        <v>27652.69</v>
      </c>
    </row>
    <row r="39" spans="1:16" ht="21.6" customHeight="1">
      <c r="A39" s="394" t="s">
        <v>527</v>
      </c>
      <c r="B39" s="477">
        <v>36105</v>
      </c>
      <c r="C39" s="487">
        <v>28412</v>
      </c>
      <c r="D39" s="459">
        <v>18428</v>
      </c>
      <c r="E39" s="398">
        <v>48321</v>
      </c>
      <c r="F39" s="498" t="e">
        <f>+E39-#REF!</f>
        <v>#REF!</v>
      </c>
      <c r="G39" s="398">
        <v>48321</v>
      </c>
      <c r="H39" s="519"/>
      <c r="I39" s="393">
        <v>46383.13</v>
      </c>
      <c r="J39" s="393">
        <v>46088.9</v>
      </c>
      <c r="K39" s="393">
        <v>46088.9</v>
      </c>
      <c r="L39" s="393">
        <f t="shared" si="7"/>
        <v>1937.8700000000026</v>
      </c>
      <c r="M39" s="462" t="e">
        <f>+E39-#REF!-I39</f>
        <v>#REF!</v>
      </c>
      <c r="N39" s="508">
        <f t="shared" si="8"/>
        <v>95.989590447217566</v>
      </c>
      <c r="P39">
        <v>46383.13</v>
      </c>
    </row>
    <row r="40" spans="1:16" ht="18" customHeight="1">
      <c r="A40" s="394" t="s">
        <v>528</v>
      </c>
      <c r="B40" s="477">
        <v>47007</v>
      </c>
      <c r="C40" s="487">
        <v>58754</v>
      </c>
      <c r="D40" s="464">
        <v>105761</v>
      </c>
      <c r="E40" s="398">
        <v>19580</v>
      </c>
      <c r="F40" s="498" t="e">
        <f>+E40-#REF!</f>
        <v>#REF!</v>
      </c>
      <c r="G40" s="398">
        <v>19580</v>
      </c>
      <c r="H40" s="519"/>
      <c r="I40" s="393">
        <v>10572.83</v>
      </c>
      <c r="J40" s="393">
        <v>284.77999999999997</v>
      </c>
      <c r="K40" s="393">
        <v>284.77999999999997</v>
      </c>
      <c r="L40" s="393">
        <f t="shared" si="7"/>
        <v>9007.17</v>
      </c>
      <c r="M40" s="462" t="e">
        <f>+E40-#REF!-I40</f>
        <v>#REF!</v>
      </c>
      <c r="N40" s="508" t="s">
        <v>6</v>
      </c>
      <c r="P40">
        <v>10572.83</v>
      </c>
    </row>
    <row r="41" spans="1:16">
      <c r="A41" s="396" t="s">
        <v>529</v>
      </c>
      <c r="B41" s="474">
        <f t="shared" ref="B41:M41" si="9">SUM(B42:B51)</f>
        <v>21077280</v>
      </c>
      <c r="C41" s="486">
        <f>SUM(C42:C51)</f>
        <v>-658037</v>
      </c>
      <c r="D41" s="482">
        <f>SUM(D42:D51)</f>
        <v>14687448</v>
      </c>
      <c r="E41" s="497">
        <f>SUM(E42:E51)+1</f>
        <v>8603283</v>
      </c>
      <c r="F41" s="497" t="e">
        <f t="shared" si="9"/>
        <v>#REF!</v>
      </c>
      <c r="G41" s="497">
        <f t="shared" ref="G41:K41" si="10">SUM(G42:G51)</f>
        <v>8603282</v>
      </c>
      <c r="H41" s="516">
        <f t="shared" si="10"/>
        <v>0</v>
      </c>
      <c r="I41" s="357">
        <f>SUM(I42:I51)-1</f>
        <v>5914800.5500000007</v>
      </c>
      <c r="J41" s="357">
        <f t="shared" si="10"/>
        <v>3975915.55</v>
      </c>
      <c r="K41" s="357">
        <f t="shared" si="10"/>
        <v>3210240.92</v>
      </c>
      <c r="L41" s="357">
        <f>+E41-I41</f>
        <v>2688482.4499999993</v>
      </c>
      <c r="M41" s="461" t="e">
        <f t="shared" si="9"/>
        <v>#REF!</v>
      </c>
      <c r="N41" s="507">
        <f>+I41*100/G41</f>
        <v>68.750513466837432</v>
      </c>
      <c r="O41" s="1"/>
      <c r="P41">
        <v>5905370.0500000007</v>
      </c>
    </row>
    <row r="42" spans="1:16">
      <c r="A42" s="399" t="s">
        <v>530</v>
      </c>
      <c r="B42" s="478">
        <v>200000</v>
      </c>
      <c r="C42" s="487">
        <v>602577</v>
      </c>
      <c r="D42" s="464">
        <v>802577</v>
      </c>
      <c r="E42" s="499">
        <v>382058</v>
      </c>
      <c r="F42" s="498" t="e">
        <f>+E42-#REF!</f>
        <v>#REF!</v>
      </c>
      <c r="G42" s="499">
        <v>382058</v>
      </c>
      <c r="H42" s="519"/>
      <c r="I42" s="393">
        <v>352392</v>
      </c>
      <c r="J42" s="524">
        <v>120903.58</v>
      </c>
      <c r="K42" s="524">
        <v>65375</v>
      </c>
      <c r="L42" s="393">
        <f>+E42-I42</f>
        <v>29666</v>
      </c>
      <c r="M42" s="462" t="e">
        <f>+E42-#REF!-I42</f>
        <v>#REF!</v>
      </c>
      <c r="N42" s="508" t="s">
        <v>6</v>
      </c>
      <c r="P42">
        <v>348477.19</v>
      </c>
    </row>
    <row r="43" spans="1:16">
      <c r="A43" s="399" t="s">
        <v>531</v>
      </c>
      <c r="B43" s="479">
        <v>779587</v>
      </c>
      <c r="C43" s="487">
        <v>-15000</v>
      </c>
      <c r="D43" s="464">
        <v>566538</v>
      </c>
      <c r="E43" s="400">
        <v>208366</v>
      </c>
      <c r="F43" s="498" t="e">
        <f>+E43-#REF!</f>
        <v>#REF!</v>
      </c>
      <c r="G43" s="400">
        <v>208366</v>
      </c>
      <c r="H43" s="519"/>
      <c r="I43" s="393">
        <v>201185.26</v>
      </c>
      <c r="J43" s="525">
        <v>198048.97</v>
      </c>
      <c r="K43" s="525">
        <v>198049</v>
      </c>
      <c r="L43" s="393">
        <f t="shared" ref="L43:L51" si="11">+E43-I43</f>
        <v>7180.7399999999907</v>
      </c>
      <c r="M43" s="462" t="e">
        <f>+E43-#REF!-I43</f>
        <v>#REF!</v>
      </c>
      <c r="N43" s="508">
        <f>+I43*100/G43</f>
        <v>96.553785166485895</v>
      </c>
      <c r="P43">
        <v>201185.26</v>
      </c>
    </row>
    <row r="44" spans="1:16" ht="22.9" customHeight="1">
      <c r="A44" s="395" t="s">
        <v>532</v>
      </c>
      <c r="B44" s="479">
        <v>100000</v>
      </c>
      <c r="C44" s="487">
        <v>1371315</v>
      </c>
      <c r="D44" s="464"/>
      <c r="E44" s="400">
        <v>1471315</v>
      </c>
      <c r="F44" s="498" t="e">
        <f>+E44-#REF!</f>
        <v>#REF!</v>
      </c>
      <c r="G44" s="400">
        <v>1471315</v>
      </c>
      <c r="H44" s="519"/>
      <c r="I44" s="393">
        <f t="shared" ref="I44:I48" si="12">+P44+H44</f>
        <v>1471314.67</v>
      </c>
      <c r="J44" s="525">
        <v>1471315</v>
      </c>
      <c r="K44" s="525">
        <v>1471315</v>
      </c>
      <c r="L44" s="393">
        <f t="shared" si="11"/>
        <v>0.33000000007450581</v>
      </c>
      <c r="M44" s="462" t="e">
        <f>+E44-#REF!-I44</f>
        <v>#REF!</v>
      </c>
      <c r="N44" s="508">
        <f>+I44*100/G44</f>
        <v>99.999977571084372</v>
      </c>
      <c r="P44">
        <v>1471314.67</v>
      </c>
    </row>
    <row r="45" spans="1:16" ht="14.45" customHeight="1">
      <c r="A45" s="395" t="s">
        <v>533</v>
      </c>
      <c r="B45" s="479">
        <v>2500000</v>
      </c>
      <c r="C45" s="487">
        <v>-200000</v>
      </c>
      <c r="D45" s="464">
        <v>200000</v>
      </c>
      <c r="E45" s="400">
        <v>2100000</v>
      </c>
      <c r="F45" s="498" t="e">
        <f>+E45-#REF!</f>
        <v>#REF!</v>
      </c>
      <c r="G45" s="400">
        <v>2100000</v>
      </c>
      <c r="H45" s="519"/>
      <c r="I45" s="393" t="s">
        <v>6</v>
      </c>
      <c r="J45" s="525"/>
      <c r="K45" s="525">
        <v>0</v>
      </c>
      <c r="L45" s="393">
        <v>0</v>
      </c>
      <c r="M45" s="462" t="e">
        <f>+E45-#REF!-I45</f>
        <v>#REF!</v>
      </c>
      <c r="N45" s="508" t="s">
        <v>6</v>
      </c>
      <c r="P45" t="s">
        <v>6</v>
      </c>
    </row>
    <row r="46" spans="1:16" ht="16.149999999999999" customHeight="1">
      <c r="A46" s="395" t="s">
        <v>534</v>
      </c>
      <c r="B46" s="479">
        <v>776450</v>
      </c>
      <c r="C46" s="487">
        <v>258000</v>
      </c>
      <c r="D46" s="464">
        <v>777290</v>
      </c>
      <c r="E46" s="400">
        <v>650232</v>
      </c>
      <c r="F46" s="498" t="e">
        <f>+E46-#REF!</f>
        <v>#REF!</v>
      </c>
      <c r="G46" s="400">
        <v>650232</v>
      </c>
      <c r="H46" s="519"/>
      <c r="I46" s="393">
        <v>648554.13</v>
      </c>
      <c r="J46" s="525">
        <v>155874</v>
      </c>
      <c r="K46" s="525">
        <v>154814</v>
      </c>
      <c r="L46" s="393">
        <f t="shared" si="11"/>
        <v>1677.8699999999953</v>
      </c>
      <c r="M46" s="462" t="e">
        <f>+E46-#REF!-I46</f>
        <v>#REF!</v>
      </c>
      <c r="N46" s="508">
        <f>+I46*100/G46</f>
        <v>99.741958254899785</v>
      </c>
      <c r="P46">
        <v>648554.13</v>
      </c>
    </row>
    <row r="47" spans="1:16" ht="13.15" customHeight="1">
      <c r="A47" s="395" t="s">
        <v>535</v>
      </c>
      <c r="B47" s="479">
        <v>76951</v>
      </c>
      <c r="C47" s="487">
        <v>-38476</v>
      </c>
      <c r="D47" s="464">
        <v>38475</v>
      </c>
      <c r="E47" s="400"/>
      <c r="F47" s="498" t="e">
        <f>+E47-#REF!</f>
        <v>#REF!</v>
      </c>
      <c r="G47" s="400"/>
      <c r="H47" s="519"/>
      <c r="I47" s="393" t="s">
        <v>6</v>
      </c>
      <c r="J47" s="525"/>
      <c r="K47" s="525"/>
      <c r="L47" s="393">
        <v>0</v>
      </c>
      <c r="M47" s="462" t="e">
        <f>+E47-#REF!-I47</f>
        <v>#REF!</v>
      </c>
      <c r="N47" s="508" t="s">
        <v>6</v>
      </c>
      <c r="P47" t="s">
        <v>6</v>
      </c>
    </row>
    <row r="48" spans="1:16" ht="17.45" customHeight="1">
      <c r="A48" s="395" t="s">
        <v>536</v>
      </c>
      <c r="B48" s="479">
        <v>3466500</v>
      </c>
      <c r="C48" s="487">
        <v>-655000</v>
      </c>
      <c r="D48" s="464">
        <v>2769293</v>
      </c>
      <c r="E48" s="400">
        <v>158834</v>
      </c>
      <c r="F48" s="498" t="e">
        <f>+E48-#REF!</f>
        <v>#REF!</v>
      </c>
      <c r="G48" s="400">
        <v>158834</v>
      </c>
      <c r="H48" s="519"/>
      <c r="I48" s="393">
        <f t="shared" si="12"/>
        <v>55421.03</v>
      </c>
      <c r="J48" s="525">
        <v>50207</v>
      </c>
      <c r="K48" s="525">
        <v>42206.92</v>
      </c>
      <c r="L48" s="393">
        <f t="shared" si="11"/>
        <v>103412.97</v>
      </c>
      <c r="M48" s="462" t="e">
        <f>+E48-#REF!-I48</f>
        <v>#REF!</v>
      </c>
      <c r="N48" s="508">
        <f>+I48*100/G48</f>
        <v>34.892422277346164</v>
      </c>
      <c r="P48">
        <v>55421.03</v>
      </c>
    </row>
    <row r="49" spans="1:16" ht="17.45" customHeight="1">
      <c r="A49" s="395" t="s">
        <v>537</v>
      </c>
      <c r="B49" s="479">
        <v>3000000</v>
      </c>
      <c r="C49" s="487">
        <v>83826</v>
      </c>
      <c r="D49" s="464">
        <v>2598034</v>
      </c>
      <c r="E49" s="400">
        <v>873889</v>
      </c>
      <c r="F49" s="498" t="e">
        <f>+E49-#REF!</f>
        <v>#REF!</v>
      </c>
      <c r="G49" s="400">
        <v>873889</v>
      </c>
      <c r="H49" s="519"/>
      <c r="I49" s="393">
        <v>709889.98</v>
      </c>
      <c r="J49" s="525">
        <v>490414</v>
      </c>
      <c r="K49" s="525">
        <v>342968</v>
      </c>
      <c r="L49" s="393">
        <f t="shared" si="11"/>
        <v>163999.02000000002</v>
      </c>
      <c r="M49" s="462" t="e">
        <f>+E49-#REF!-I49</f>
        <v>#REF!</v>
      </c>
      <c r="N49" s="508">
        <f>+I49*100/G49</f>
        <v>81.233426670892982</v>
      </c>
      <c r="P49">
        <v>709889.98</v>
      </c>
    </row>
    <row r="50" spans="1:16" ht="17.45" customHeight="1">
      <c r="A50" s="395" t="s">
        <v>538</v>
      </c>
      <c r="B50" s="479">
        <v>9327792</v>
      </c>
      <c r="C50" s="487">
        <v>-2015279</v>
      </c>
      <c r="D50" s="464">
        <v>6135241</v>
      </c>
      <c r="E50" s="400">
        <v>2750761</v>
      </c>
      <c r="F50" s="498" t="e">
        <f>+E50-#REF!</f>
        <v>#REF!</v>
      </c>
      <c r="G50" s="400">
        <v>2750761</v>
      </c>
      <c r="H50" s="519"/>
      <c r="I50" s="393">
        <v>2468218</v>
      </c>
      <c r="J50" s="525">
        <v>1481327</v>
      </c>
      <c r="K50" s="525">
        <v>935513</v>
      </c>
      <c r="L50" s="393">
        <f t="shared" si="11"/>
        <v>282543</v>
      </c>
      <c r="M50" s="462" t="e">
        <f>+E50-#REF!-I50</f>
        <v>#REF!</v>
      </c>
      <c r="N50" s="508">
        <f>+I50*100/G50</f>
        <v>89.728551480844757</v>
      </c>
      <c r="P50">
        <v>2462701.31</v>
      </c>
    </row>
    <row r="51" spans="1:16" ht="21.6" customHeight="1">
      <c r="A51" s="395" t="s">
        <v>539</v>
      </c>
      <c r="B51" s="480">
        <v>850000</v>
      </c>
      <c r="C51" s="487">
        <v>-50000</v>
      </c>
      <c r="D51" s="484">
        <v>800000</v>
      </c>
      <c r="E51" s="400">
        <v>7827</v>
      </c>
      <c r="F51" s="498" t="e">
        <f>+E51-#REF!</f>
        <v>#REF!</v>
      </c>
      <c r="G51" s="400">
        <v>7827</v>
      </c>
      <c r="H51" s="526"/>
      <c r="I51" s="393">
        <v>7826.48</v>
      </c>
      <c r="J51" s="525">
        <v>7826</v>
      </c>
      <c r="K51" s="525"/>
      <c r="L51" s="393">
        <f t="shared" si="11"/>
        <v>0.52000000000043656</v>
      </c>
      <c r="M51" s="462" t="e">
        <f>+E51-#REF!-I51</f>
        <v>#REF!</v>
      </c>
      <c r="N51" s="508" t="s">
        <v>6</v>
      </c>
      <c r="P51">
        <v>7826.48</v>
      </c>
    </row>
    <row r="52" spans="1:16">
      <c r="A52" s="391" t="s">
        <v>21</v>
      </c>
      <c r="B52" s="481">
        <f t="shared" ref="B52:M52" si="13">B9+B19+B41</f>
        <v>75692165</v>
      </c>
      <c r="C52" s="473">
        <f>C9+C19+C41</f>
        <v>0</v>
      </c>
      <c r="D52" s="485">
        <f>D9+D19+D41</f>
        <v>61040905</v>
      </c>
      <c r="E52" s="500">
        <f>E9+E19+E41-1</f>
        <v>31460304</v>
      </c>
      <c r="F52" s="500" t="e">
        <f t="shared" si="13"/>
        <v>#REF!</v>
      </c>
      <c r="G52" s="500">
        <f t="shared" si="13"/>
        <v>31460304</v>
      </c>
      <c r="H52" s="401">
        <f>+H9+H19+H41</f>
        <v>722566.56</v>
      </c>
      <c r="I52" s="401">
        <f>I9+I19+I41+1</f>
        <v>24092446.820000004</v>
      </c>
      <c r="J52" s="401">
        <f>J9+J19+J41</f>
        <v>15051840.41</v>
      </c>
      <c r="K52" s="401">
        <f t="shared" si="13"/>
        <v>11599142.75</v>
      </c>
      <c r="L52" s="401">
        <f>+E52-I52</f>
        <v>7367857.179999996</v>
      </c>
      <c r="M52" s="401" t="e">
        <f t="shared" si="13"/>
        <v>#REF!</v>
      </c>
      <c r="N52" s="507">
        <f>+I52*100/G52</f>
        <v>76.580464130289414</v>
      </c>
      <c r="P52">
        <v>23351378.150000002</v>
      </c>
    </row>
    <row r="53" spans="1:16">
      <c r="A53" s="47" t="s">
        <v>540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6">
      <c r="E54" s="1" t="s">
        <v>6</v>
      </c>
    </row>
    <row r="55" spans="1:16">
      <c r="E55" s="1" t="s">
        <v>6</v>
      </c>
    </row>
  </sheetData>
  <mergeCells count="9">
    <mergeCell ref="A2:N2"/>
    <mergeCell ref="A3:N3"/>
    <mergeCell ref="A4:N4"/>
    <mergeCell ref="A5:N5"/>
    <mergeCell ref="B7:K7"/>
    <mergeCell ref="L7:L8"/>
    <mergeCell ref="M7:M8"/>
    <mergeCell ref="N7:N8"/>
    <mergeCell ref="A7:A8"/>
  </mergeCells>
  <pageMargins left="0.11811023622047245" right="0.11811023622047245" top="0.74803149606299213" bottom="0.74803149606299213" header="0.31496062992125984" footer="0.31496062992125984"/>
  <pageSetup scale="75" orientation="landscape" horizontalDpi="4294967294" verticalDpi="4294967294" r:id="rId1"/>
  <ignoredErrors>
    <ignoredError sqref="J41:K41 K19:L19 H19 E41:I41 E52 L9 L52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86A51-D3B2-4149-9020-5B0CD6BF7F31}">
  <sheetPr>
    <tabColor theme="6" tint="-0.499984740745262"/>
  </sheetPr>
  <dimension ref="A1:M58"/>
  <sheetViews>
    <sheetView showGridLines="0" showZeros="0" tabSelected="1" workbookViewId="0">
      <selection activeCell="N27" sqref="N27"/>
    </sheetView>
  </sheetViews>
  <sheetFormatPr baseColWidth="10" defaultRowHeight="12.75"/>
  <cols>
    <col min="1" max="1" width="4.5703125" customWidth="1"/>
    <col min="2" max="2" width="39.28515625" customWidth="1"/>
    <col min="3" max="3" width="11.5703125" bestFit="1" customWidth="1"/>
    <col min="4" max="4" width="12.7109375" customWidth="1"/>
    <col min="5" max="5" width="15" customWidth="1"/>
    <col min="6" max="6" width="12.5703125" customWidth="1"/>
    <col min="7" max="7" width="11.7109375" bestFit="1" customWidth="1"/>
    <col min="8" max="9" width="11.5703125" bestFit="1" customWidth="1"/>
  </cols>
  <sheetData>
    <row r="1" spans="1:13" ht="15">
      <c r="A1" s="600" t="s">
        <v>286</v>
      </c>
      <c r="B1" s="600"/>
      <c r="C1" s="600"/>
      <c r="D1" s="600"/>
      <c r="E1" s="600"/>
      <c r="F1" s="600"/>
      <c r="G1" s="600"/>
      <c r="H1" s="600"/>
      <c r="I1" s="600"/>
      <c r="J1" s="541"/>
      <c r="K1" s="541"/>
      <c r="L1" s="541"/>
      <c r="M1" s="541"/>
    </row>
    <row r="2" spans="1:13" ht="15">
      <c r="A2" s="600" t="s">
        <v>167</v>
      </c>
      <c r="B2" s="600"/>
      <c r="C2" s="600"/>
      <c r="D2" s="600"/>
      <c r="E2" s="600"/>
      <c r="F2" s="600"/>
      <c r="G2" s="600"/>
      <c r="H2" s="600"/>
      <c r="I2" s="600"/>
      <c r="J2" s="541"/>
      <c r="K2" s="541"/>
      <c r="L2" s="541"/>
      <c r="M2" s="541"/>
    </row>
    <row r="3" spans="1:13" ht="15">
      <c r="A3" s="600" t="s">
        <v>577</v>
      </c>
      <c r="B3" s="600"/>
      <c r="C3" s="600"/>
      <c r="D3" s="600"/>
      <c r="E3" s="600"/>
      <c r="F3" s="600"/>
      <c r="G3" s="600"/>
      <c r="H3" s="600"/>
      <c r="I3" s="600"/>
      <c r="J3" s="541"/>
      <c r="K3" s="541"/>
      <c r="L3" s="541"/>
      <c r="M3" s="541"/>
    </row>
    <row r="4" spans="1:13" ht="15">
      <c r="A4" s="600" t="s">
        <v>584</v>
      </c>
      <c r="B4" s="600"/>
      <c r="C4" s="600"/>
      <c r="D4" s="600"/>
      <c r="E4" s="600"/>
      <c r="F4" s="600"/>
      <c r="G4" s="600"/>
      <c r="H4" s="600"/>
      <c r="I4" s="600"/>
      <c r="J4" s="541"/>
      <c r="K4" s="541"/>
      <c r="L4" s="541"/>
      <c r="M4" s="541"/>
    </row>
    <row r="5" spans="1:13" ht="15">
      <c r="A5" s="541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</row>
    <row r="6" spans="1:13">
      <c r="A6" s="691" t="s">
        <v>164</v>
      </c>
      <c r="B6" s="689" t="s">
        <v>0</v>
      </c>
      <c r="C6" s="693" t="s">
        <v>24</v>
      </c>
      <c r="D6" s="694"/>
      <c r="E6" s="694"/>
      <c r="F6" s="694"/>
      <c r="G6" s="695"/>
      <c r="H6" s="547"/>
      <c r="I6" s="688" t="s">
        <v>597</v>
      </c>
    </row>
    <row r="7" spans="1:13">
      <c r="A7" s="692"/>
      <c r="B7" s="690"/>
      <c r="C7" s="548" t="s">
        <v>58</v>
      </c>
      <c r="D7" s="549" t="s">
        <v>10</v>
      </c>
      <c r="E7" s="540" t="s">
        <v>544</v>
      </c>
      <c r="F7" s="550" t="s">
        <v>493</v>
      </c>
      <c r="G7" s="551" t="s">
        <v>155</v>
      </c>
      <c r="H7" s="552" t="s">
        <v>16</v>
      </c>
      <c r="I7" s="696"/>
    </row>
    <row r="8" spans="1:13">
      <c r="A8" s="692"/>
      <c r="B8" s="553"/>
      <c r="C8" s="548">
        <v>1</v>
      </c>
      <c r="D8" s="554">
        <v>2</v>
      </c>
      <c r="E8" s="555">
        <v>3</v>
      </c>
      <c r="F8" s="556">
        <v>4</v>
      </c>
      <c r="G8" s="551">
        <v>5</v>
      </c>
      <c r="H8" s="554" t="s">
        <v>595</v>
      </c>
      <c r="I8" s="557" t="s">
        <v>596</v>
      </c>
    </row>
    <row r="9" spans="1:13" ht="20.25" customHeight="1">
      <c r="A9" s="565" t="s">
        <v>60</v>
      </c>
      <c r="B9" s="566" t="s">
        <v>61</v>
      </c>
      <c r="C9" s="567">
        <v>610252</v>
      </c>
      <c r="D9" s="567">
        <v>59372.5</v>
      </c>
      <c r="E9" s="567">
        <v>48186.130000000005</v>
      </c>
      <c r="F9" s="567">
        <v>42803.61</v>
      </c>
      <c r="G9" s="567">
        <v>47182.3</v>
      </c>
      <c r="H9" s="567">
        <v>11186.369999999995</v>
      </c>
      <c r="I9" s="578">
        <f>+E9/D9*100</f>
        <v>81.159004589666935</v>
      </c>
    </row>
    <row r="10" spans="1:13">
      <c r="A10" s="542" t="s">
        <v>62</v>
      </c>
      <c r="B10" s="278" t="s">
        <v>63</v>
      </c>
      <c r="C10" s="558">
        <v>518979</v>
      </c>
      <c r="D10" s="558">
        <v>46900</v>
      </c>
      <c r="E10" s="558">
        <v>39716.36</v>
      </c>
      <c r="F10" s="558">
        <v>42803.61</v>
      </c>
      <c r="G10" s="558">
        <v>39716.36</v>
      </c>
      <c r="H10" s="558">
        <v>7183.6399999999994</v>
      </c>
      <c r="I10" s="580">
        <f t="shared" ref="I10:I55" si="0">+E10/D10*100</f>
        <v>84.683070362473345</v>
      </c>
    </row>
    <row r="11" spans="1:13" ht="20.25" customHeight="1">
      <c r="A11" s="543" t="s">
        <v>150</v>
      </c>
      <c r="B11" s="544" t="s">
        <v>151</v>
      </c>
      <c r="C11" s="558">
        <v>518979</v>
      </c>
      <c r="D11" s="558">
        <v>46900</v>
      </c>
      <c r="E11" s="558">
        <v>39716.36</v>
      </c>
      <c r="F11" s="558">
        <v>39716.36</v>
      </c>
      <c r="G11" s="558">
        <v>39716.36</v>
      </c>
      <c r="H11" s="558">
        <v>7183.6399999999994</v>
      </c>
      <c r="I11" s="579">
        <f t="shared" si="0"/>
        <v>84.683070362473345</v>
      </c>
    </row>
    <row r="12" spans="1:13" ht="20.100000000000001" customHeight="1">
      <c r="A12" s="543" t="s">
        <v>73</v>
      </c>
      <c r="B12" s="544" t="s">
        <v>478</v>
      </c>
      <c r="C12" s="583">
        <v>13295</v>
      </c>
      <c r="D12" s="583">
        <v>4220</v>
      </c>
      <c r="E12" s="583">
        <v>3087.25</v>
      </c>
      <c r="F12" s="583">
        <v>3087.25</v>
      </c>
      <c r="G12" s="583">
        <v>3087.25</v>
      </c>
      <c r="H12" s="583">
        <v>1132.75</v>
      </c>
      <c r="I12" s="584">
        <f t="shared" si="0"/>
        <v>73.157582938388614</v>
      </c>
    </row>
    <row r="13" spans="1:13" ht="20.100000000000001" customHeight="1">
      <c r="A13" s="543" t="s">
        <v>75</v>
      </c>
      <c r="B13" s="68" t="s">
        <v>158</v>
      </c>
      <c r="C13" s="583">
        <v>77978</v>
      </c>
      <c r="D13" s="583">
        <v>8252.5</v>
      </c>
      <c r="E13" s="583">
        <v>5382.52</v>
      </c>
      <c r="F13" s="583"/>
      <c r="G13" s="583">
        <v>4378.6899999999996</v>
      </c>
      <c r="H13" s="583">
        <v>2869.9799999999996</v>
      </c>
      <c r="I13" s="584">
        <f t="shared" si="0"/>
        <v>65.222902150863376</v>
      </c>
    </row>
    <row r="14" spans="1:13" ht="20.100000000000001" customHeight="1">
      <c r="A14" s="565" t="s">
        <v>81</v>
      </c>
      <c r="B14" s="566" t="s">
        <v>82</v>
      </c>
      <c r="C14" s="567">
        <v>7209803</v>
      </c>
      <c r="D14" s="567">
        <v>1953967.33</v>
      </c>
      <c r="E14" s="567">
        <v>1939340.06</v>
      </c>
      <c r="F14" s="567">
        <v>365706.81</v>
      </c>
      <c r="G14" s="567">
        <v>522524.66000000003</v>
      </c>
      <c r="H14" s="567">
        <v>1895540.22</v>
      </c>
      <c r="I14" s="582">
        <f t="shared" si="0"/>
        <v>99.251406624081071</v>
      </c>
    </row>
    <row r="15" spans="1:13" ht="20.100000000000001" customHeight="1">
      <c r="A15" s="545">
        <v>100</v>
      </c>
      <c r="B15" s="544" t="s">
        <v>83</v>
      </c>
      <c r="C15" s="583">
        <v>4815</v>
      </c>
      <c r="D15" s="558">
        <v>0</v>
      </c>
      <c r="E15" s="558">
        <v>0</v>
      </c>
      <c r="F15" s="558"/>
      <c r="G15" s="558" t="s">
        <v>6</v>
      </c>
      <c r="H15" s="558">
        <v>0</v>
      </c>
      <c r="I15" s="579"/>
    </row>
    <row r="16" spans="1:13" ht="20.100000000000001" customHeight="1">
      <c r="A16" s="545">
        <v>120</v>
      </c>
      <c r="B16" s="544" t="s">
        <v>479</v>
      </c>
      <c r="C16" s="583">
        <v>12410</v>
      </c>
      <c r="D16" s="558">
        <v>0</v>
      </c>
      <c r="E16" s="558">
        <v>0</v>
      </c>
      <c r="F16" s="558"/>
      <c r="G16" s="558"/>
      <c r="H16" s="558">
        <v>0</v>
      </c>
      <c r="I16" s="579"/>
    </row>
    <row r="17" spans="1:9" ht="20.100000000000001" customHeight="1">
      <c r="A17" s="545">
        <v>130</v>
      </c>
      <c r="B17" s="544" t="s">
        <v>213</v>
      </c>
      <c r="C17" s="583">
        <v>542764</v>
      </c>
      <c r="D17" s="558">
        <v>0</v>
      </c>
      <c r="E17" s="558">
        <v>0</v>
      </c>
      <c r="F17" s="558"/>
      <c r="G17" s="558"/>
      <c r="H17" s="558">
        <v>0</v>
      </c>
      <c r="I17" s="579"/>
    </row>
    <row r="18" spans="1:9" ht="20.100000000000001" customHeight="1">
      <c r="A18" s="69" t="s">
        <v>91</v>
      </c>
      <c r="B18" s="68" t="s">
        <v>92</v>
      </c>
      <c r="C18" s="583">
        <v>437023</v>
      </c>
      <c r="D18" s="558">
        <v>0</v>
      </c>
      <c r="E18" s="558">
        <v>0</v>
      </c>
      <c r="F18" s="558"/>
      <c r="G18" s="558"/>
      <c r="H18" s="558">
        <v>0</v>
      </c>
      <c r="I18" s="579"/>
    </row>
    <row r="19" spans="1:9" ht="20.100000000000001" customHeight="1">
      <c r="A19" s="545">
        <v>150</v>
      </c>
      <c r="B19" s="68" t="s">
        <v>455</v>
      </c>
      <c r="C19" s="583"/>
      <c r="D19" s="558">
        <v>0</v>
      </c>
      <c r="E19" s="558">
        <v>0</v>
      </c>
      <c r="F19" s="558"/>
      <c r="G19" s="558"/>
      <c r="H19" s="558">
        <v>0</v>
      </c>
      <c r="I19" s="579"/>
    </row>
    <row r="20" spans="1:9" ht="20.100000000000001" customHeight="1">
      <c r="A20" s="69" t="s">
        <v>96</v>
      </c>
      <c r="B20" s="68" t="s">
        <v>487</v>
      </c>
      <c r="C20" s="583">
        <v>1839109</v>
      </c>
      <c r="D20" s="583">
        <v>335498.18</v>
      </c>
      <c r="E20" s="583">
        <v>324369.03999999998</v>
      </c>
      <c r="F20" s="583">
        <v>158679.9</v>
      </c>
      <c r="G20" s="583">
        <v>139905.4</v>
      </c>
      <c r="H20" s="583">
        <v>277071.07</v>
      </c>
      <c r="I20" s="584">
        <f t="shared" si="0"/>
        <v>96.682801677195386</v>
      </c>
    </row>
    <row r="21" spans="1:9" ht="20.100000000000001" customHeight="1">
      <c r="A21" s="545">
        <v>170</v>
      </c>
      <c r="B21" s="68" t="s">
        <v>176</v>
      </c>
      <c r="C21" s="583">
        <v>127550</v>
      </c>
      <c r="D21" s="558">
        <v>0</v>
      </c>
      <c r="E21" s="558">
        <v>0</v>
      </c>
      <c r="F21" s="558"/>
      <c r="G21" s="558"/>
      <c r="H21" s="558">
        <v>0</v>
      </c>
      <c r="I21" s="579"/>
    </row>
    <row r="22" spans="1:9" ht="20.100000000000001" customHeight="1">
      <c r="A22" s="69" t="s">
        <v>98</v>
      </c>
      <c r="B22" s="68" t="s">
        <v>99</v>
      </c>
      <c r="C22" s="583">
        <v>4246132</v>
      </c>
      <c r="D22" s="583">
        <v>1271251.1200000001</v>
      </c>
      <c r="E22" s="583">
        <v>1267752.99</v>
      </c>
      <c r="F22" s="583">
        <v>59181.98</v>
      </c>
      <c r="G22" s="583">
        <v>35401.230000000003</v>
      </c>
      <c r="H22" s="583">
        <v>1271251.1200000001</v>
      </c>
      <c r="I22" s="584">
        <f t="shared" si="0"/>
        <v>99.724827774389681</v>
      </c>
    </row>
    <row r="23" spans="1:9" ht="20.100000000000001" customHeight="1">
      <c r="A23" s="545">
        <v>190</v>
      </c>
      <c r="B23" s="68" t="s">
        <v>177</v>
      </c>
      <c r="C23" s="558">
        <v>0</v>
      </c>
      <c r="D23" s="583">
        <v>347218.03</v>
      </c>
      <c r="E23" s="583">
        <v>347218.03</v>
      </c>
      <c r="F23" s="583">
        <v>147844.93</v>
      </c>
      <c r="G23" s="583">
        <v>347218.03</v>
      </c>
      <c r="H23" s="583">
        <v>347218.03</v>
      </c>
      <c r="I23" s="584">
        <f t="shared" si="0"/>
        <v>100</v>
      </c>
    </row>
    <row r="24" spans="1:9" ht="20.100000000000001" customHeight="1">
      <c r="A24" s="565" t="s">
        <v>101</v>
      </c>
      <c r="B24" s="566" t="s">
        <v>102</v>
      </c>
      <c r="C24" s="567">
        <v>2943759</v>
      </c>
      <c r="D24" s="567">
        <v>2197263.7000000002</v>
      </c>
      <c r="E24" s="567">
        <v>1113790.1100000001</v>
      </c>
      <c r="F24" s="567">
        <v>723596.30999999994</v>
      </c>
      <c r="G24" s="567">
        <v>586891.43999999994</v>
      </c>
      <c r="H24" s="567">
        <v>1429318.3800000004</v>
      </c>
      <c r="I24" s="582">
        <f t="shared" si="0"/>
        <v>50.68986985949843</v>
      </c>
    </row>
    <row r="25" spans="1:9" ht="20.100000000000001" customHeight="1">
      <c r="A25" s="545">
        <v>210</v>
      </c>
      <c r="B25" s="68" t="s">
        <v>106</v>
      </c>
      <c r="C25" s="583">
        <v>5344</v>
      </c>
      <c r="D25" s="583">
        <v>43</v>
      </c>
      <c r="E25" s="583"/>
      <c r="F25" s="583"/>
      <c r="G25" s="583"/>
      <c r="H25" s="583">
        <v>43</v>
      </c>
      <c r="I25" s="584">
        <f t="shared" si="0"/>
        <v>0</v>
      </c>
    </row>
    <row r="26" spans="1:9" ht="20.100000000000001" customHeight="1">
      <c r="A26" s="545">
        <v>220</v>
      </c>
      <c r="B26" s="544" t="s">
        <v>448</v>
      </c>
      <c r="C26" s="583">
        <v>76430</v>
      </c>
      <c r="D26" s="583">
        <v>19.2</v>
      </c>
      <c r="E26" s="583">
        <v>19.2</v>
      </c>
      <c r="F26" s="583">
        <v>19.2</v>
      </c>
      <c r="G26" s="583">
        <v>19.2</v>
      </c>
      <c r="H26" s="583">
        <v>19.2</v>
      </c>
      <c r="I26" s="584">
        <f t="shared" si="0"/>
        <v>100</v>
      </c>
    </row>
    <row r="27" spans="1:9" ht="20.100000000000001" customHeight="1">
      <c r="A27" s="545">
        <v>230</v>
      </c>
      <c r="B27" s="544" t="s">
        <v>480</v>
      </c>
      <c r="C27" s="583">
        <v>33179</v>
      </c>
      <c r="D27" s="583">
        <v>133.75</v>
      </c>
      <c r="E27" s="583"/>
      <c r="F27" s="583"/>
      <c r="G27" s="583"/>
      <c r="H27" s="583">
        <v>133.75</v>
      </c>
      <c r="I27" s="584">
        <f t="shared" si="0"/>
        <v>0</v>
      </c>
    </row>
    <row r="28" spans="1:9" ht="20.100000000000001" customHeight="1">
      <c r="A28" s="69" t="s">
        <v>111</v>
      </c>
      <c r="B28" s="68" t="s">
        <v>112</v>
      </c>
      <c r="C28" s="583">
        <v>6274</v>
      </c>
      <c r="D28" s="583">
        <v>2370.9</v>
      </c>
      <c r="E28" s="583">
        <v>1845.85</v>
      </c>
      <c r="F28" s="583">
        <v>1845.85</v>
      </c>
      <c r="G28" s="583">
        <v>1066.47</v>
      </c>
      <c r="H28" s="583">
        <v>1591.52</v>
      </c>
      <c r="I28" s="584">
        <f t="shared" si="0"/>
        <v>77.854401282213502</v>
      </c>
    </row>
    <row r="29" spans="1:9" ht="20.100000000000001" customHeight="1">
      <c r="A29" s="545">
        <v>250</v>
      </c>
      <c r="B29" s="68" t="s">
        <v>170</v>
      </c>
      <c r="C29" s="583">
        <v>264399</v>
      </c>
      <c r="D29" s="583">
        <v>109968.78</v>
      </c>
      <c r="E29" s="583">
        <v>52554.33</v>
      </c>
      <c r="F29" s="583">
        <v>16026.8</v>
      </c>
      <c r="G29" s="583">
        <v>14100.83</v>
      </c>
      <c r="H29" s="583">
        <v>101160.87</v>
      </c>
      <c r="I29" s="584">
        <f t="shared" si="0"/>
        <v>47.790227371804981</v>
      </c>
    </row>
    <row r="30" spans="1:9" ht="20.100000000000001" customHeight="1">
      <c r="A30" s="69" t="s">
        <v>115</v>
      </c>
      <c r="B30" s="68" t="s">
        <v>116</v>
      </c>
      <c r="C30" s="583">
        <v>1875394</v>
      </c>
      <c r="D30" s="583">
        <v>1707863.61</v>
      </c>
      <c r="E30" s="583">
        <v>736036.73</v>
      </c>
      <c r="F30" s="583">
        <v>519781.6</v>
      </c>
      <c r="G30" s="583">
        <v>419289.23</v>
      </c>
      <c r="H30" s="583">
        <v>971826.88000000012</v>
      </c>
      <c r="I30" s="584">
        <f t="shared" si="0"/>
        <v>43.096926809044191</v>
      </c>
    </row>
    <row r="31" spans="1:9" ht="20.100000000000001" customHeight="1">
      <c r="A31" s="69" t="s">
        <v>117</v>
      </c>
      <c r="B31" s="68" t="s">
        <v>118</v>
      </c>
      <c r="C31" s="583">
        <v>511405</v>
      </c>
      <c r="D31" s="583">
        <v>226997.61</v>
      </c>
      <c r="E31" s="583">
        <v>211514</v>
      </c>
      <c r="F31" s="583">
        <v>177066.71</v>
      </c>
      <c r="G31" s="583">
        <v>96314.48</v>
      </c>
      <c r="H31" s="583">
        <v>205684.13999999998</v>
      </c>
      <c r="I31" s="584">
        <f t="shared" si="0"/>
        <v>93.178954615425241</v>
      </c>
    </row>
    <row r="32" spans="1:9" ht="20.100000000000001" customHeight="1">
      <c r="A32" s="69" t="s">
        <v>119</v>
      </c>
      <c r="B32" s="68" t="s">
        <v>120</v>
      </c>
      <c r="C32" s="583">
        <v>171334</v>
      </c>
      <c r="D32" s="583">
        <v>98958.69</v>
      </c>
      <c r="E32" s="583">
        <v>60912.31</v>
      </c>
      <c r="F32" s="583">
        <v>7324.99</v>
      </c>
      <c r="G32" s="583">
        <v>5820.28</v>
      </c>
      <c r="H32" s="583">
        <v>98842.59</v>
      </c>
      <c r="I32" s="584">
        <f t="shared" si="0"/>
        <v>61.553270359581362</v>
      </c>
    </row>
    <row r="33" spans="1:9" ht="20.100000000000001" customHeight="1">
      <c r="A33" s="545">
        <v>290</v>
      </c>
      <c r="B33" s="68" t="s">
        <v>169</v>
      </c>
      <c r="C33" s="583">
        <v>0</v>
      </c>
      <c r="D33" s="583">
        <v>50908.160000000003</v>
      </c>
      <c r="E33" s="583">
        <v>50907.69</v>
      </c>
      <c r="F33" s="583">
        <v>1531.16</v>
      </c>
      <c r="G33" s="583">
        <v>50280.95</v>
      </c>
      <c r="H33" s="583">
        <v>50016.43</v>
      </c>
      <c r="I33" s="584">
        <f t="shared" si="0"/>
        <v>99.999076768832339</v>
      </c>
    </row>
    <row r="34" spans="1:9" ht="20.100000000000001" customHeight="1">
      <c r="A34" s="568" t="s">
        <v>122</v>
      </c>
      <c r="B34" s="566" t="s">
        <v>123</v>
      </c>
      <c r="C34" s="567">
        <v>31678257</v>
      </c>
      <c r="D34" s="567">
        <v>19602057.650000002</v>
      </c>
      <c r="E34" s="567">
        <v>17492489.43</v>
      </c>
      <c r="F34" s="567">
        <v>11322030.369999999</v>
      </c>
      <c r="G34" s="567">
        <v>8656645.1699999999</v>
      </c>
      <c r="H34" s="567">
        <v>2109568.2200000025</v>
      </c>
      <c r="I34" s="582">
        <f t="shared" si="0"/>
        <v>89.238026651758148</v>
      </c>
    </row>
    <row r="35" spans="1:9" ht="20.100000000000001" customHeight="1">
      <c r="A35" s="542">
        <v>300</v>
      </c>
      <c r="B35" s="544" t="s">
        <v>124</v>
      </c>
      <c r="C35" s="583">
        <v>1792905</v>
      </c>
      <c r="D35" s="583">
        <v>526878.19999999995</v>
      </c>
      <c r="E35" s="583">
        <v>465437.36</v>
      </c>
      <c r="F35" s="583">
        <v>285483.18</v>
      </c>
      <c r="G35" s="583">
        <v>250233.79</v>
      </c>
      <c r="H35" s="583">
        <v>61440.839999999967</v>
      </c>
      <c r="I35" s="579">
        <f t="shared" si="0"/>
        <v>88.338701430425488</v>
      </c>
    </row>
    <row r="36" spans="1:9" ht="20.100000000000001" customHeight="1">
      <c r="A36" s="542">
        <v>310</v>
      </c>
      <c r="B36" s="544" t="s">
        <v>171</v>
      </c>
      <c r="C36" s="583">
        <v>2364620</v>
      </c>
      <c r="D36" s="583">
        <v>1073591.95</v>
      </c>
      <c r="E36" s="583">
        <v>1068006.04</v>
      </c>
      <c r="F36" s="583">
        <v>1008942.04</v>
      </c>
      <c r="G36" s="583">
        <v>519348.7</v>
      </c>
      <c r="H36" s="583">
        <v>5585.9099999999162</v>
      </c>
      <c r="I36" s="579">
        <f t="shared" si="0"/>
        <v>99.479698967563991</v>
      </c>
    </row>
    <row r="37" spans="1:9" ht="20.100000000000001" customHeight="1">
      <c r="A37" s="542">
        <v>320</v>
      </c>
      <c r="B37" s="68" t="s">
        <v>125</v>
      </c>
      <c r="C37" s="583">
        <v>9583263</v>
      </c>
      <c r="D37" s="583">
        <v>5880794.54</v>
      </c>
      <c r="E37" s="583">
        <v>5648686.9299999997</v>
      </c>
      <c r="F37" s="583">
        <v>2716061.59</v>
      </c>
      <c r="G37" s="583">
        <v>2351105.64</v>
      </c>
      <c r="H37" s="583">
        <v>232107.61000000034</v>
      </c>
      <c r="I37" s="579">
        <f t="shared" si="0"/>
        <v>96.053124991508369</v>
      </c>
    </row>
    <row r="38" spans="1:9" ht="20.100000000000001" customHeight="1">
      <c r="A38" s="542">
        <v>330</v>
      </c>
      <c r="B38" s="68" t="s">
        <v>157</v>
      </c>
      <c r="C38" s="583">
        <v>461815</v>
      </c>
      <c r="D38" s="583">
        <v>237915.65</v>
      </c>
      <c r="E38" s="583">
        <v>176131.69</v>
      </c>
      <c r="F38" s="583">
        <v>73684.37</v>
      </c>
      <c r="G38" s="583">
        <v>73684.37</v>
      </c>
      <c r="H38" s="583">
        <v>61783.959999999992</v>
      </c>
      <c r="I38" s="579">
        <f t="shared" si="0"/>
        <v>74.031149274963624</v>
      </c>
    </row>
    <row r="39" spans="1:9" ht="20.100000000000001" customHeight="1">
      <c r="A39" s="542">
        <v>340</v>
      </c>
      <c r="B39" s="68" t="s">
        <v>84</v>
      </c>
      <c r="C39" s="583">
        <v>76455</v>
      </c>
      <c r="D39" s="583">
        <v>17073.03</v>
      </c>
      <c r="E39" s="583">
        <v>16790.14</v>
      </c>
      <c r="F39" s="583">
        <v>14757.14</v>
      </c>
      <c r="G39" s="583">
        <v>14757.14</v>
      </c>
      <c r="H39" s="583">
        <v>282.88999999999942</v>
      </c>
      <c r="I39" s="579">
        <f t="shared" si="0"/>
        <v>98.34305919921654</v>
      </c>
    </row>
    <row r="40" spans="1:9" ht="20.100000000000001" customHeight="1">
      <c r="A40" s="542">
        <v>350</v>
      </c>
      <c r="B40" s="68" t="s">
        <v>126</v>
      </c>
      <c r="C40" s="583">
        <v>1898154</v>
      </c>
      <c r="D40" s="583">
        <v>888765.93</v>
      </c>
      <c r="E40" s="583">
        <v>469687.75</v>
      </c>
      <c r="F40" s="583">
        <v>220526.52</v>
      </c>
      <c r="G40" s="583">
        <v>158632.22</v>
      </c>
      <c r="H40" s="583">
        <v>419078.18000000005</v>
      </c>
      <c r="I40" s="579">
        <f t="shared" si="0"/>
        <v>52.847182159649165</v>
      </c>
    </row>
    <row r="41" spans="1:9" ht="20.100000000000001" customHeight="1">
      <c r="A41" s="542">
        <v>370</v>
      </c>
      <c r="B41" s="68" t="s">
        <v>127</v>
      </c>
      <c r="C41" s="583">
        <v>5417758</v>
      </c>
      <c r="D41" s="583">
        <v>3794093.1</v>
      </c>
      <c r="E41" s="583">
        <v>2938046.17</v>
      </c>
      <c r="F41" s="583">
        <v>1418328.96</v>
      </c>
      <c r="G41" s="583">
        <v>880766.12</v>
      </c>
      <c r="H41" s="583">
        <v>856046.93000000017</v>
      </c>
      <c r="I41" s="579">
        <f t="shared" si="0"/>
        <v>77.437376800268808</v>
      </c>
    </row>
    <row r="42" spans="1:9" ht="20.100000000000001" customHeight="1">
      <c r="A42" s="542">
        <v>380</v>
      </c>
      <c r="B42" s="68" t="s">
        <v>128</v>
      </c>
      <c r="C42" s="583">
        <v>10083287</v>
      </c>
      <c r="D42" s="583">
        <v>6781149.6600000001</v>
      </c>
      <c r="E42" s="583">
        <v>6314343.0099999998</v>
      </c>
      <c r="F42" s="583">
        <v>5557556.3499999996</v>
      </c>
      <c r="G42" s="583">
        <v>4015163.09</v>
      </c>
      <c r="H42" s="583">
        <v>466806.65000000037</v>
      </c>
      <c r="I42" s="579">
        <f t="shared" si="0"/>
        <v>93.116113440858641</v>
      </c>
    </row>
    <row r="43" spans="1:9" ht="20.100000000000001" customHeight="1">
      <c r="A43" s="542">
        <v>390</v>
      </c>
      <c r="B43" s="68" t="s">
        <v>172</v>
      </c>
      <c r="C43" s="583"/>
      <c r="D43" s="583">
        <v>401795.59</v>
      </c>
      <c r="E43" s="583">
        <v>395360.34</v>
      </c>
      <c r="F43" s="583">
        <v>26690.22</v>
      </c>
      <c r="G43" s="583">
        <v>392954.1</v>
      </c>
      <c r="H43" s="583">
        <v>6435.25</v>
      </c>
      <c r="I43" s="579">
        <f t="shared" si="0"/>
        <v>98.398377144955717</v>
      </c>
    </row>
    <row r="44" spans="1:9" ht="20.100000000000001" customHeight="1">
      <c r="A44" s="546"/>
      <c r="B44" s="279"/>
      <c r="C44" s="558"/>
      <c r="D44" s="558"/>
      <c r="E44" s="558"/>
      <c r="F44" s="558" t="s">
        <v>30</v>
      </c>
      <c r="G44" s="558"/>
      <c r="H44" s="558"/>
      <c r="I44" s="579" t="s">
        <v>6</v>
      </c>
    </row>
    <row r="45" spans="1:9" ht="20.100000000000001" customHeight="1">
      <c r="A45" s="565">
        <v>5</v>
      </c>
      <c r="B45" s="569" t="s">
        <v>152</v>
      </c>
      <c r="C45" s="567">
        <v>30100618</v>
      </c>
      <c r="D45" s="567">
        <v>4026689.61</v>
      </c>
      <c r="E45" s="567">
        <v>1133648.08</v>
      </c>
      <c r="F45" s="567">
        <v>1079231.44</v>
      </c>
      <c r="G45" s="567">
        <v>267268.23</v>
      </c>
      <c r="H45" s="567">
        <v>2893041.53</v>
      </c>
      <c r="I45" s="582">
        <f>+E45/D45*100</f>
        <v>28.153351507021174</v>
      </c>
    </row>
    <row r="46" spans="1:9" ht="20.100000000000001" customHeight="1">
      <c r="A46" s="545">
        <v>510</v>
      </c>
      <c r="B46" s="68" t="s">
        <v>153</v>
      </c>
      <c r="C46" s="583">
        <v>30100618</v>
      </c>
      <c r="D46" s="583">
        <v>3131599.44</v>
      </c>
      <c r="E46" s="583">
        <v>1259780.3999999999</v>
      </c>
      <c r="F46" s="583">
        <v>439409.39</v>
      </c>
      <c r="G46" s="583">
        <v>267268.23</v>
      </c>
      <c r="H46" s="583">
        <v>2716149.65</v>
      </c>
      <c r="I46" s="579">
        <f t="shared" si="0"/>
        <v>40.22801843392844</v>
      </c>
    </row>
    <row r="47" spans="1:9" ht="20.100000000000001" customHeight="1">
      <c r="A47" s="545">
        <v>560</v>
      </c>
      <c r="B47" s="68" t="s">
        <v>494</v>
      </c>
      <c r="C47" s="583"/>
      <c r="D47" s="583">
        <v>893910.17</v>
      </c>
      <c r="E47" s="583">
        <v>717018.31</v>
      </c>
      <c r="F47" s="583">
        <v>639822.05000000005</v>
      </c>
      <c r="G47" s="583" t="s">
        <v>6</v>
      </c>
      <c r="H47" s="583">
        <v>176891.86</v>
      </c>
      <c r="I47" s="579">
        <f t="shared" si="0"/>
        <v>80.211450105775171</v>
      </c>
    </row>
    <row r="48" spans="1:9" ht="20.100000000000001" customHeight="1">
      <c r="A48" s="545">
        <v>590</v>
      </c>
      <c r="B48" s="68" t="s">
        <v>220</v>
      </c>
      <c r="C48" s="583"/>
      <c r="D48" s="583">
        <v>1180</v>
      </c>
      <c r="E48" s="583">
        <v>1179.8800000000001</v>
      </c>
      <c r="F48" s="583"/>
      <c r="G48" s="583"/>
      <c r="H48" s="583">
        <v>1.999999999998181E-2</v>
      </c>
      <c r="I48" s="579">
        <f t="shared" si="0"/>
        <v>99.989830508474583</v>
      </c>
    </row>
    <row r="49" spans="1:9" ht="20.100000000000001" customHeight="1">
      <c r="A49" s="545"/>
      <c r="B49" s="68"/>
      <c r="C49" s="281"/>
      <c r="D49" s="62"/>
      <c r="E49" s="283"/>
      <c r="F49" s="240"/>
      <c r="G49" s="69"/>
      <c r="H49" s="311"/>
      <c r="I49" s="579"/>
    </row>
    <row r="50" spans="1:9" ht="20.100000000000001" customHeight="1">
      <c r="A50" s="570" t="s">
        <v>132</v>
      </c>
      <c r="B50" s="571" t="s">
        <v>260</v>
      </c>
      <c r="C50" s="572">
        <v>3149476</v>
      </c>
      <c r="D50" s="573">
        <v>3620953.8</v>
      </c>
      <c r="E50" s="574">
        <v>1520662.47</v>
      </c>
      <c r="F50" s="575">
        <v>1518471.66</v>
      </c>
      <c r="G50" s="576">
        <v>1518632.16</v>
      </c>
      <c r="H50" s="577">
        <v>3620793.3</v>
      </c>
      <c r="I50" s="582">
        <f t="shared" si="0"/>
        <v>41.996185369722198</v>
      </c>
    </row>
    <row r="51" spans="1:9" ht="20.100000000000001" customHeight="1">
      <c r="A51" s="545">
        <v>620</v>
      </c>
      <c r="B51" s="68" t="s">
        <v>156</v>
      </c>
      <c r="C51" s="282">
        <v>3049476</v>
      </c>
      <c r="D51" s="62">
        <v>2149477.7999999998</v>
      </c>
      <c r="E51" s="283">
        <v>49187.3</v>
      </c>
      <c r="F51" s="240">
        <v>47156.66</v>
      </c>
      <c r="G51" s="69">
        <v>47156.66</v>
      </c>
      <c r="H51" s="64">
        <v>2149477.7999999998</v>
      </c>
      <c r="I51" s="579">
        <f t="shared" si="0"/>
        <v>2.2883371952015512</v>
      </c>
    </row>
    <row r="52" spans="1:9" ht="20.100000000000001" customHeight="1">
      <c r="A52" s="545">
        <v>630</v>
      </c>
      <c r="B52" s="68" t="s">
        <v>173</v>
      </c>
      <c r="C52" s="282">
        <v>100000</v>
      </c>
      <c r="D52" s="62">
        <v>1471315</v>
      </c>
      <c r="E52" s="283">
        <v>1471315</v>
      </c>
      <c r="F52" s="240">
        <v>1471315</v>
      </c>
      <c r="G52" s="69">
        <v>1471315</v>
      </c>
      <c r="H52" s="64">
        <v>1471315</v>
      </c>
      <c r="I52" s="579">
        <f t="shared" si="0"/>
        <v>100</v>
      </c>
    </row>
    <row r="53" spans="1:9" ht="20.100000000000001" customHeight="1">
      <c r="A53" s="545">
        <v>690</v>
      </c>
      <c r="B53" s="68" t="s">
        <v>576</v>
      </c>
      <c r="C53" s="282"/>
      <c r="D53" s="62">
        <v>161</v>
      </c>
      <c r="E53" s="283">
        <v>160.5</v>
      </c>
      <c r="F53" s="240"/>
      <c r="G53" s="69">
        <v>160.5</v>
      </c>
      <c r="H53" s="64"/>
      <c r="I53" s="579">
        <f t="shared" si="0"/>
        <v>99.689440993788821</v>
      </c>
    </row>
    <row r="54" spans="1:9" ht="20.100000000000001" customHeight="1">
      <c r="A54" s="546"/>
      <c r="B54" s="279"/>
      <c r="C54" s="285"/>
      <c r="D54" s="198"/>
      <c r="E54" s="284"/>
      <c r="F54" s="365"/>
      <c r="G54" s="280"/>
      <c r="H54" s="310"/>
      <c r="I54" s="579"/>
    </row>
    <row r="55" spans="1:9" ht="20.100000000000001" customHeight="1">
      <c r="A55" s="559" t="s">
        <v>6</v>
      </c>
      <c r="B55" s="560" t="s">
        <v>154</v>
      </c>
      <c r="C55" s="561">
        <v>75692165</v>
      </c>
      <c r="D55" s="562">
        <v>31460303.590000004</v>
      </c>
      <c r="E55" s="562">
        <v>24092446.890000001</v>
      </c>
      <c r="F55" s="562">
        <v>15051840.199999999</v>
      </c>
      <c r="G55" s="563">
        <v>11599143.960000001</v>
      </c>
      <c r="H55" s="564">
        <v>11959447.020000003</v>
      </c>
      <c r="I55" s="581">
        <f t="shared" si="0"/>
        <v>76.580465350811309</v>
      </c>
    </row>
    <row r="56" spans="1:9" ht="20.100000000000001" customHeight="1">
      <c r="A56" s="58"/>
      <c r="B56" s="33"/>
      <c r="C56" s="28"/>
      <c r="D56" s="28" t="s">
        <v>6</v>
      </c>
    </row>
    <row r="57" spans="1:9" ht="20.100000000000001" customHeight="1">
      <c r="A57" s="58"/>
      <c r="B57" s="30"/>
      <c r="C57" s="32"/>
    </row>
    <row r="58" spans="1:9">
      <c r="A58" s="58"/>
      <c r="B58" s="31"/>
      <c r="C58" s="29"/>
      <c r="D58" s="29"/>
    </row>
  </sheetData>
  <mergeCells count="8">
    <mergeCell ref="A1:I1"/>
    <mergeCell ref="A2:I2"/>
    <mergeCell ref="A3:I3"/>
    <mergeCell ref="A4:I4"/>
    <mergeCell ref="A6:A8"/>
    <mergeCell ref="B6:B7"/>
    <mergeCell ref="C6:G6"/>
    <mergeCell ref="I6:I7"/>
  </mergeCells>
  <pageMargins left="0.7" right="0.7" top="0.75" bottom="0.75" header="0.3" footer="0.3"/>
  <ignoredErrors>
    <ignoredError sqref="A34:H34 A9:A23 A24:A33 A50 J34:XFD34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tabColor theme="6" tint="-0.249977111117893"/>
  </sheetPr>
  <dimension ref="A1:P128"/>
  <sheetViews>
    <sheetView showGridLines="0" showZeros="0" zoomScale="87" zoomScaleNormal="87" zoomScaleSheetLayoutView="118" workbookViewId="0">
      <pane xSplit="1" ySplit="7" topLeftCell="B9" activePane="bottomRight" state="frozen"/>
      <selection sqref="A1:J12"/>
      <selection pane="topRight" sqref="A1:J12"/>
      <selection pane="bottomLeft" sqref="A1:J12"/>
      <selection pane="bottomRight" activeCell="J23" sqref="J23"/>
    </sheetView>
  </sheetViews>
  <sheetFormatPr baseColWidth="10" defaultColWidth="11" defaultRowHeight="12.75"/>
  <cols>
    <col min="1" max="1" width="14.28515625" style="2" customWidth="1"/>
    <col min="2" max="2" width="37.5703125" style="6" customWidth="1"/>
    <col min="3" max="3" width="12.85546875" style="6" customWidth="1"/>
    <col min="4" max="4" width="12.42578125" style="6" customWidth="1"/>
    <col min="5" max="5" width="14" style="6" hidden="1" customWidth="1"/>
    <col min="6" max="6" width="12.7109375" style="6" customWidth="1"/>
    <col min="7" max="7" width="15" style="6" customWidth="1"/>
    <col min="8" max="8" width="14.7109375" style="6" customWidth="1"/>
    <col min="9" max="9" width="15" style="2" customWidth="1"/>
    <col min="10" max="10" width="17.42578125" style="34" customWidth="1"/>
    <col min="11" max="11" width="19.42578125" style="2" hidden="1" customWidth="1"/>
    <col min="12" max="12" width="15.5703125" style="2" customWidth="1"/>
    <col min="13" max="13" width="29.42578125" style="2" customWidth="1"/>
    <col min="14" max="16384" width="11" style="2"/>
  </cols>
  <sheetData>
    <row r="1" spans="1:16" ht="17.45" customHeight="1">
      <c r="A1" s="597" t="s">
        <v>286</v>
      </c>
      <c r="B1" s="597"/>
      <c r="C1" s="597"/>
      <c r="D1" s="597"/>
      <c r="E1" s="597"/>
      <c r="F1" s="597"/>
      <c r="G1" s="597"/>
      <c r="H1" s="597"/>
      <c r="I1" s="597"/>
    </row>
    <row r="2" spans="1:16" ht="17.45" customHeight="1">
      <c r="A2" s="597" t="s">
        <v>167</v>
      </c>
      <c r="B2" s="597"/>
      <c r="C2" s="597"/>
      <c r="D2" s="597"/>
      <c r="E2" s="597"/>
      <c r="F2" s="597"/>
      <c r="G2" s="597"/>
      <c r="H2" s="597"/>
      <c r="I2" s="597"/>
    </row>
    <row r="3" spans="1:16" ht="15.75">
      <c r="A3" s="603" t="s">
        <v>449</v>
      </c>
      <c r="B3" s="603"/>
      <c r="C3" s="603"/>
      <c r="D3" s="603"/>
      <c r="E3" s="603"/>
      <c r="F3" s="603"/>
      <c r="G3" s="603"/>
      <c r="H3" s="603"/>
      <c r="I3" s="603"/>
    </row>
    <row r="4" spans="1:16" ht="20.25" customHeight="1">
      <c r="A4" s="603" t="s">
        <v>586</v>
      </c>
      <c r="B4" s="603"/>
      <c r="C4" s="603"/>
      <c r="D4" s="603"/>
      <c r="E4" s="603"/>
      <c r="F4" s="603"/>
      <c r="G4" s="603"/>
      <c r="H4" s="603"/>
      <c r="I4" s="603"/>
    </row>
    <row r="5" spans="1:16" ht="9.75" customHeight="1">
      <c r="B5" s="66"/>
      <c r="C5" s="66"/>
      <c r="D5" s="66"/>
      <c r="E5" s="66"/>
      <c r="F5" s="66"/>
      <c r="G5" s="66"/>
      <c r="H5"/>
      <c r="I5" t="s">
        <v>6</v>
      </c>
    </row>
    <row r="6" spans="1:16" ht="49.5" customHeight="1">
      <c r="A6" s="604" t="s">
        <v>191</v>
      </c>
      <c r="B6" s="606" t="s">
        <v>0</v>
      </c>
      <c r="C6" s="610" t="s">
        <v>24</v>
      </c>
      <c r="D6" s="611"/>
      <c r="E6" s="612"/>
      <c r="F6" s="608" t="s">
        <v>27</v>
      </c>
      <c r="G6" s="608"/>
      <c r="H6" s="609" t="s">
        <v>1</v>
      </c>
      <c r="I6" s="609"/>
    </row>
    <row r="7" spans="1:16" ht="26.25" customHeight="1">
      <c r="A7" s="605"/>
      <c r="B7" s="607"/>
      <c r="C7" s="318" t="s">
        <v>58</v>
      </c>
      <c r="D7" s="319" t="s">
        <v>10</v>
      </c>
      <c r="E7" s="320" t="s">
        <v>2</v>
      </c>
      <c r="F7" s="321" t="s">
        <v>28</v>
      </c>
      <c r="G7" s="322" t="s">
        <v>32</v>
      </c>
      <c r="H7" s="323" t="s">
        <v>4</v>
      </c>
      <c r="I7" s="324" t="s">
        <v>161</v>
      </c>
      <c r="K7" s="2" t="s">
        <v>3</v>
      </c>
    </row>
    <row r="8" spans="1:16" ht="8.25" customHeight="1">
      <c r="A8" s="150"/>
      <c r="B8" s="67" t="s">
        <v>6</v>
      </c>
      <c r="C8" s="67"/>
      <c r="D8" s="62"/>
      <c r="E8" s="68"/>
      <c r="F8" s="62"/>
      <c r="G8" s="62"/>
      <c r="H8" s="69"/>
      <c r="I8" s="70"/>
    </row>
    <row r="9" spans="1:16" ht="21.75" customHeight="1">
      <c r="A9" s="150"/>
      <c r="B9" s="71" t="s">
        <v>7</v>
      </c>
      <c r="C9" s="72">
        <f>+C11+C34</f>
        <v>234334098</v>
      </c>
      <c r="D9" s="72">
        <f>+D11+D34</f>
        <v>163920800</v>
      </c>
      <c r="E9" s="72">
        <f>+E11+E34</f>
        <v>219557359</v>
      </c>
      <c r="F9" s="72">
        <f>+F11+F34</f>
        <v>40586839.089999996</v>
      </c>
      <c r="G9" s="72">
        <f>+K9+F9</f>
        <v>160481328.55000001</v>
      </c>
      <c r="H9" s="128">
        <f>+G9-E9</f>
        <v>-59076030.449999988</v>
      </c>
      <c r="I9" s="74">
        <f>+G9/D9*100</f>
        <v>97.901748008794499</v>
      </c>
      <c r="J9" s="34" t="s">
        <v>6</v>
      </c>
      <c r="K9" s="452">
        <v>119894489.46000001</v>
      </c>
      <c r="L9" s="452"/>
      <c r="M9" s="34"/>
      <c r="N9" s="34" t="s">
        <v>6</v>
      </c>
    </row>
    <row r="10" spans="1:16" ht="9.9499999999999993" customHeight="1">
      <c r="A10" s="150"/>
      <c r="B10" s="71"/>
      <c r="C10" s="75"/>
      <c r="D10" s="75"/>
      <c r="E10" s="75"/>
      <c r="F10" s="75"/>
      <c r="G10" s="75"/>
      <c r="H10" s="128"/>
      <c r="I10" s="76"/>
      <c r="K10" s="452"/>
    </row>
    <row r="11" spans="1:16" ht="21" customHeight="1">
      <c r="A11" s="77" t="s">
        <v>209</v>
      </c>
      <c r="B11" s="77" t="s">
        <v>8</v>
      </c>
      <c r="C11" s="75">
        <f>+C13</f>
        <v>158641933</v>
      </c>
      <c r="D11" s="75">
        <f>+D13+D32</f>
        <v>124952714</v>
      </c>
      <c r="E11" s="75">
        <f>+E13+E32</f>
        <v>158641933</v>
      </c>
      <c r="F11" s="75">
        <f>+F13+F32</f>
        <v>40586839.089999996</v>
      </c>
      <c r="G11" s="75">
        <f>+G13</f>
        <v>121513242.55000001</v>
      </c>
      <c r="H11" s="128">
        <f>+G11-E11</f>
        <v>-37128690.449999988</v>
      </c>
      <c r="I11" s="74">
        <f>+G11/D11*100</f>
        <v>97.247381557474625</v>
      </c>
      <c r="K11" s="452">
        <v>80926403.460000008</v>
      </c>
      <c r="L11" s="34"/>
    </row>
    <row r="12" spans="1:16" ht="9.9499999999999993" customHeight="1">
      <c r="A12" s="150"/>
      <c r="B12" s="78"/>
      <c r="C12" s="79"/>
      <c r="D12" s="80"/>
      <c r="E12" s="80"/>
      <c r="F12" s="80"/>
      <c r="G12" s="80"/>
      <c r="H12" s="128"/>
      <c r="I12" s="82" t="s">
        <v>6</v>
      </c>
      <c r="K12" s="452"/>
    </row>
    <row r="13" spans="1:16" ht="21" customHeight="1">
      <c r="A13" s="77" t="s">
        <v>193</v>
      </c>
      <c r="B13" s="71" t="s">
        <v>210</v>
      </c>
      <c r="C13" s="75">
        <f>+C15+C20+C24+C29</f>
        <v>158641933</v>
      </c>
      <c r="D13" s="75">
        <f>+D15+D20+D24+D29</f>
        <v>124952714</v>
      </c>
      <c r="E13" s="75">
        <f>+E15+E20+E24+E29</f>
        <v>158641933</v>
      </c>
      <c r="F13" s="75">
        <f>+F15+F20+F24+F29</f>
        <v>40586839.089999996</v>
      </c>
      <c r="G13" s="75">
        <f>+K13+F13</f>
        <v>121513242.55000001</v>
      </c>
      <c r="H13" s="128">
        <f>+G13-E13</f>
        <v>-37128690.449999988</v>
      </c>
      <c r="I13" s="74">
        <f>+G13/E13*100</f>
        <v>76.595916509665841</v>
      </c>
      <c r="J13" s="288"/>
      <c r="K13" s="488">
        <v>80926403.460000008</v>
      </c>
      <c r="L13" s="452" t="s">
        <v>6</v>
      </c>
      <c r="M13" s="2" t="s">
        <v>6</v>
      </c>
    </row>
    <row r="14" spans="1:16" ht="9.9499999999999993" customHeight="1">
      <c r="A14" s="77"/>
      <c r="B14" s="83"/>
      <c r="C14" s="80"/>
      <c r="D14" s="80"/>
      <c r="E14" s="80"/>
      <c r="F14" s="80"/>
      <c r="G14" s="80" t="s">
        <v>6</v>
      </c>
      <c r="H14" s="128" t="s">
        <v>6</v>
      </c>
      <c r="I14" s="82" t="s">
        <v>6</v>
      </c>
      <c r="J14" s="288"/>
      <c r="K14" s="488" t="s">
        <v>6</v>
      </c>
    </row>
    <row r="15" spans="1:16" ht="21" customHeight="1">
      <c r="A15" s="77" t="s">
        <v>192</v>
      </c>
      <c r="B15" s="71" t="s">
        <v>547</v>
      </c>
      <c r="C15" s="75">
        <f>SUM(C18:C19)</f>
        <v>5476492</v>
      </c>
      <c r="D15" s="75">
        <f>SUM(D18:D19)</f>
        <v>5476492</v>
      </c>
      <c r="E15" s="75">
        <f>E17</f>
        <v>5476492</v>
      </c>
      <c r="F15" s="75">
        <f>SUM(F18:F19)</f>
        <v>49281.82</v>
      </c>
      <c r="G15" s="75">
        <f>G17</f>
        <v>2558849.12</v>
      </c>
      <c r="H15" s="128">
        <f>+G15-D15</f>
        <v>-2917642.88</v>
      </c>
      <c r="I15" s="74">
        <f>+G15/E15*100</f>
        <v>46.72423734025358</v>
      </c>
      <c r="J15" s="288"/>
      <c r="K15" s="488">
        <v>2509567.3000000003</v>
      </c>
      <c r="L15" s="34"/>
      <c r="O15" s="34"/>
      <c r="P15" s="34"/>
    </row>
    <row r="16" spans="1:16" ht="11.45" customHeight="1">
      <c r="A16" s="77"/>
      <c r="B16" s="71"/>
      <c r="C16" s="80"/>
      <c r="D16" s="80"/>
      <c r="E16" s="75"/>
      <c r="F16" s="75"/>
      <c r="G16" s="75"/>
      <c r="H16" s="128"/>
      <c r="I16" s="74"/>
      <c r="J16" s="288"/>
      <c r="K16" s="488"/>
    </row>
    <row r="17" spans="1:16" ht="19.149999999999999" customHeight="1">
      <c r="A17" s="77" t="s">
        <v>212</v>
      </c>
      <c r="B17" s="84" t="s">
        <v>548</v>
      </c>
      <c r="C17" s="75">
        <f>+C18+C19</f>
        <v>5476492</v>
      </c>
      <c r="D17" s="75">
        <f>+D18+D19</f>
        <v>5476492</v>
      </c>
      <c r="E17" s="75">
        <f>SUM(E18:E19)</f>
        <v>5476492</v>
      </c>
      <c r="F17" s="75">
        <f>SUM(F18:F19)</f>
        <v>49281.82</v>
      </c>
      <c r="G17" s="491">
        <f>SUM(G18:G19)</f>
        <v>2558849.12</v>
      </c>
      <c r="H17" s="128">
        <f>+G17-D17</f>
        <v>-2917642.88</v>
      </c>
      <c r="I17" s="82">
        <f>+G17/D17*100</f>
        <v>46.72423734025358</v>
      </c>
      <c r="J17" s="288"/>
      <c r="K17" s="452">
        <v>2509567.3000000003</v>
      </c>
      <c r="L17" s="452" t="s">
        <v>6</v>
      </c>
    </row>
    <row r="18" spans="1:16" ht="24.95" customHeight="1">
      <c r="A18" s="78" t="s">
        <v>556</v>
      </c>
      <c r="B18" s="83" t="s">
        <v>549</v>
      </c>
      <c r="C18" s="80">
        <v>700000</v>
      </c>
      <c r="D18" s="80">
        <v>700000</v>
      </c>
      <c r="E18" s="80">
        <f>172348+58333+58333+58333+58333+50000+58333+58333+58333+58333+10988</f>
        <v>700000</v>
      </c>
      <c r="F18" s="63">
        <v>18751.599999999999</v>
      </c>
      <c r="G18" s="63">
        <f>+K18+F18</f>
        <v>1053620.2200000002</v>
      </c>
      <c r="H18" s="490">
        <f>+G18-D18</f>
        <v>353620.2200000002</v>
      </c>
      <c r="I18" s="82">
        <f>+G18/D18*100</f>
        <v>150.5171742857143</v>
      </c>
      <c r="K18" s="489">
        <v>1034868.6200000001</v>
      </c>
      <c r="O18" s="34"/>
    </row>
    <row r="19" spans="1:16" ht="24.95" customHeight="1">
      <c r="A19" s="78" t="s">
        <v>194</v>
      </c>
      <c r="B19" s="83" t="s">
        <v>572</v>
      </c>
      <c r="C19" s="80">
        <v>4776492</v>
      </c>
      <c r="D19" s="80">
        <v>4776492</v>
      </c>
      <c r="E19" s="80">
        <v>4776492</v>
      </c>
      <c r="F19" s="63">
        <v>30530.22</v>
      </c>
      <c r="G19" s="63">
        <f>+K19+F19</f>
        <v>1505228.9000000001</v>
      </c>
      <c r="H19" s="120">
        <f>+G19-D19</f>
        <v>-3271263.0999999996</v>
      </c>
      <c r="I19" s="82">
        <f>+G19/D19*100</f>
        <v>31.513271664644265</v>
      </c>
      <c r="K19" s="489">
        <v>1474698.6800000002</v>
      </c>
      <c r="O19" s="34"/>
    </row>
    <row r="20" spans="1:16" ht="24.95" customHeight="1">
      <c r="A20" s="77" t="s">
        <v>195</v>
      </c>
      <c r="B20" s="71" t="s">
        <v>272</v>
      </c>
      <c r="C20" s="75">
        <f>SUM(C22:C22)</f>
        <v>145413761</v>
      </c>
      <c r="D20" s="75">
        <f>SUM(D22:D22)</f>
        <v>111724542</v>
      </c>
      <c r="E20" s="75">
        <f>SUM(E22)</f>
        <v>145413761</v>
      </c>
      <c r="F20" s="75">
        <f>F22</f>
        <v>40379227</v>
      </c>
      <c r="G20" s="491">
        <f>G22</f>
        <v>111724542</v>
      </c>
      <c r="H20" s="128">
        <f t="shared" ref="H20:H21" si="0">+G20-E20</f>
        <v>-33689219</v>
      </c>
      <c r="I20" s="74">
        <f>+G20/D20*100</f>
        <v>100</v>
      </c>
      <c r="J20" s="288"/>
      <c r="K20" s="452">
        <v>71345315</v>
      </c>
      <c r="O20" s="34"/>
      <c r="P20" s="2" t="s">
        <v>6</v>
      </c>
    </row>
    <row r="21" spans="1:16" ht="5.25" customHeight="1">
      <c r="A21" s="77"/>
      <c r="B21" s="83"/>
      <c r="C21" s="80"/>
      <c r="D21" s="80"/>
      <c r="E21" s="80"/>
      <c r="F21" s="80"/>
      <c r="G21" s="63">
        <f>F21</f>
        <v>0</v>
      </c>
      <c r="H21" s="490">
        <f t="shared" si="0"/>
        <v>0</v>
      </c>
      <c r="I21" s="82" t="s">
        <v>6</v>
      </c>
      <c r="K21" s="452">
        <v>0</v>
      </c>
    </row>
    <row r="22" spans="1:16" ht="24.75" customHeight="1">
      <c r="A22" s="77" t="s">
        <v>196</v>
      </c>
      <c r="B22" s="71" t="s">
        <v>550</v>
      </c>
      <c r="C22" s="75">
        <f>+C23</f>
        <v>145413761</v>
      </c>
      <c r="D22" s="75">
        <f>+D23</f>
        <v>111724542</v>
      </c>
      <c r="E22" s="75">
        <f>E23</f>
        <v>145413761</v>
      </c>
      <c r="F22" s="75">
        <f>F23</f>
        <v>40379227</v>
      </c>
      <c r="G22" s="491">
        <f>G23</f>
        <v>111724542</v>
      </c>
      <c r="H22" s="128">
        <f>+G22-D22</f>
        <v>0</v>
      </c>
      <c r="I22" s="74">
        <f t="shared" ref="I22:I27" si="1">+G22/D22*100</f>
        <v>100</v>
      </c>
      <c r="J22" s="288"/>
      <c r="K22" s="452">
        <v>71345315</v>
      </c>
    </row>
    <row r="23" spans="1:16" ht="22.15" customHeight="1">
      <c r="A23" s="78" t="s">
        <v>197</v>
      </c>
      <c r="B23" s="83" t="s">
        <v>551</v>
      </c>
      <c r="C23" s="80">
        <v>145413761</v>
      </c>
      <c r="D23" s="80">
        <v>111724542</v>
      </c>
      <c r="E23" s="80">
        <v>145413761</v>
      </c>
      <c r="F23" s="80">
        <f>40350827+28400</f>
        <v>40379227</v>
      </c>
      <c r="G23" s="63">
        <f>+K23+F23</f>
        <v>111724542</v>
      </c>
      <c r="H23" s="120">
        <f>G23-D23</f>
        <v>0</v>
      </c>
      <c r="I23" s="82">
        <f t="shared" si="1"/>
        <v>100</v>
      </c>
      <c r="K23" s="452">
        <v>71345315</v>
      </c>
    </row>
    <row r="24" spans="1:16" ht="24.95" customHeight="1">
      <c r="A24" s="77" t="s">
        <v>198</v>
      </c>
      <c r="B24" s="71" t="s">
        <v>222</v>
      </c>
      <c r="C24" s="75">
        <f>SUM(C25:C27)</f>
        <v>5251680</v>
      </c>
      <c r="D24" s="75">
        <f>SUM(D25:D27)</f>
        <v>5251680</v>
      </c>
      <c r="E24" s="75">
        <f>SUM(E25:E27)</f>
        <v>5251680</v>
      </c>
      <c r="F24" s="75">
        <f>F25+F26+F27</f>
        <v>128544.87</v>
      </c>
      <c r="G24" s="75">
        <f>SUM(G25:G27)</f>
        <v>6401778.1600000001</v>
      </c>
      <c r="H24" s="72">
        <f>+G24-D24</f>
        <v>1150098.1600000001</v>
      </c>
      <c r="I24" s="74">
        <f t="shared" si="1"/>
        <v>121.899623739451</v>
      </c>
      <c r="J24" s="288"/>
      <c r="K24" s="452">
        <v>6273233.29</v>
      </c>
      <c r="L24" s="34"/>
      <c r="M24" s="452" t="s">
        <v>6</v>
      </c>
    </row>
    <row r="25" spans="1:16" ht="24.95" customHeight="1">
      <c r="A25" s="78" t="s">
        <v>199</v>
      </c>
      <c r="B25" s="83" t="s">
        <v>552</v>
      </c>
      <c r="C25" s="80">
        <v>410082</v>
      </c>
      <c r="D25" s="80">
        <v>410082</v>
      </c>
      <c r="E25" s="80">
        <f>102525+34173+34173+34173+34173+34173+34173+34173+34173+34173</f>
        <v>410082</v>
      </c>
      <c r="F25" s="80">
        <v>37276.400000000001</v>
      </c>
      <c r="G25" s="80">
        <f>+K25+F25</f>
        <v>1016222.7099999998</v>
      </c>
      <c r="H25" s="490">
        <f>+G25-D25</f>
        <v>606140.70999999985</v>
      </c>
      <c r="I25" s="82">
        <f t="shared" si="1"/>
        <v>247.80963563384879</v>
      </c>
      <c r="K25" s="452">
        <v>978946.30999999982</v>
      </c>
      <c r="L25" s="452"/>
    </row>
    <row r="26" spans="1:16" ht="24.95" customHeight="1">
      <c r="A26" s="78" t="s">
        <v>201</v>
      </c>
      <c r="B26" s="83" t="s">
        <v>553</v>
      </c>
      <c r="C26" s="80">
        <v>4774884</v>
      </c>
      <c r="D26" s="80">
        <v>4774884</v>
      </c>
      <c r="E26" s="80">
        <f>2119154+438060+461365+339575+131010+151197+932012+124383+60455+17673</f>
        <v>4774884</v>
      </c>
      <c r="F26" s="80">
        <v>91008.97</v>
      </c>
      <c r="G26" s="80">
        <f>+K26+F26</f>
        <v>5324734.3600000003</v>
      </c>
      <c r="H26" s="490">
        <f t="shared" ref="H26:H27" si="2">+G26-D26</f>
        <v>549850.36000000034</v>
      </c>
      <c r="I26" s="82">
        <f t="shared" si="1"/>
        <v>111.51547053289673</v>
      </c>
      <c r="K26" s="452">
        <v>5233725.3900000006</v>
      </c>
    </row>
    <row r="27" spans="1:16" ht="24.95" customHeight="1">
      <c r="A27" s="78" t="s">
        <v>200</v>
      </c>
      <c r="B27" s="83" t="s">
        <v>281</v>
      </c>
      <c r="C27" s="80">
        <v>66714</v>
      </c>
      <c r="D27" s="80">
        <v>66714</v>
      </c>
      <c r="E27" s="80">
        <v>66714</v>
      </c>
      <c r="F27" s="80">
        <v>259.5</v>
      </c>
      <c r="G27" s="80">
        <f>+K27+F27</f>
        <v>60821.09</v>
      </c>
      <c r="H27" s="490">
        <f t="shared" si="2"/>
        <v>-5892.9100000000035</v>
      </c>
      <c r="I27" s="82">
        <f t="shared" si="1"/>
        <v>91.166906496387554</v>
      </c>
      <c r="K27" s="452">
        <v>60561.59</v>
      </c>
    </row>
    <row r="28" spans="1:16" ht="9.9499999999999993" customHeight="1">
      <c r="A28" s="77" t="s">
        <v>6</v>
      </c>
      <c r="B28" s="83"/>
      <c r="C28" s="80"/>
      <c r="D28" s="80"/>
      <c r="E28" s="80"/>
      <c r="F28" s="80"/>
      <c r="G28" s="80">
        <f>F28</f>
        <v>0</v>
      </c>
      <c r="H28" s="490">
        <f>+G28-E28</f>
        <v>0</v>
      </c>
      <c r="I28" s="82" t="s">
        <v>6</v>
      </c>
      <c r="K28" s="452">
        <v>0</v>
      </c>
    </row>
    <row r="29" spans="1:16" ht="25.15" customHeight="1">
      <c r="A29" s="77" t="s">
        <v>202</v>
      </c>
      <c r="B29" s="71" t="s">
        <v>223</v>
      </c>
      <c r="C29" s="75">
        <f>SUM(C30)</f>
        <v>2500000</v>
      </c>
      <c r="D29" s="75">
        <f>SUM(D30)</f>
        <v>2500000</v>
      </c>
      <c r="E29" s="75">
        <f>SUM(E30)</f>
        <v>2500000</v>
      </c>
      <c r="F29" s="75">
        <f>F30</f>
        <v>29785.4</v>
      </c>
      <c r="G29" s="75">
        <f>+G30</f>
        <v>828073.27000000014</v>
      </c>
      <c r="H29" s="128">
        <f>+G29-D29</f>
        <v>-1671926.73</v>
      </c>
      <c r="I29" s="74">
        <f>+G29/D29*100</f>
        <v>33.122930800000006</v>
      </c>
      <c r="K29" s="452">
        <v>798287.87000000011</v>
      </c>
    </row>
    <row r="30" spans="1:16" ht="24.95" customHeight="1">
      <c r="A30" s="77" t="s">
        <v>557</v>
      </c>
      <c r="B30" s="83" t="s">
        <v>554</v>
      </c>
      <c r="C30" s="80">
        <v>2500000</v>
      </c>
      <c r="D30" s="80">
        <v>2500000</v>
      </c>
      <c r="E30" s="80">
        <f>1365639+208333+208333+208333+208333+33440+208333+25816+33440</f>
        <v>2500000</v>
      </c>
      <c r="F30" s="80">
        <v>29785.4</v>
      </c>
      <c r="G30" s="80">
        <f>+K30+F30</f>
        <v>828073.27000000014</v>
      </c>
      <c r="H30" s="120">
        <f>+G30-D30</f>
        <v>-1671926.73</v>
      </c>
      <c r="I30" s="82">
        <f>+G30/D30*100</f>
        <v>33.122930800000006</v>
      </c>
      <c r="K30" s="452">
        <v>798287.87000000011</v>
      </c>
    </row>
    <row r="31" spans="1:16" ht="6.6" customHeight="1">
      <c r="A31" s="77"/>
      <c r="B31" s="83"/>
      <c r="C31" s="80"/>
      <c r="D31" s="80"/>
      <c r="E31" s="80"/>
      <c r="F31" s="80"/>
      <c r="G31" s="80"/>
      <c r="H31" s="490"/>
      <c r="I31" s="82"/>
      <c r="K31" s="452"/>
    </row>
    <row r="32" spans="1:16" ht="25.15" customHeight="1">
      <c r="A32" s="77" t="s">
        <v>559</v>
      </c>
      <c r="B32" s="83" t="s">
        <v>224</v>
      </c>
      <c r="C32" s="80"/>
      <c r="D32" s="75">
        <f>+D33</f>
        <v>0</v>
      </c>
      <c r="E32" s="75">
        <f>+E33</f>
        <v>0</v>
      </c>
      <c r="F32" s="75">
        <f>+F33</f>
        <v>0</v>
      </c>
      <c r="G32" s="75">
        <f>+G33</f>
        <v>0</v>
      </c>
      <c r="H32" s="490"/>
      <c r="I32" s="74" t="s">
        <v>6</v>
      </c>
      <c r="K32" s="452">
        <v>0</v>
      </c>
    </row>
    <row r="33" spans="1:11" ht="22.9" customHeight="1">
      <c r="A33" s="77" t="s">
        <v>558</v>
      </c>
      <c r="B33" s="83" t="s">
        <v>555</v>
      </c>
      <c r="C33" s="80"/>
      <c r="D33" s="80">
        <v>0</v>
      </c>
      <c r="E33" s="80">
        <v>0</v>
      </c>
      <c r="F33" s="80">
        <v>0</v>
      </c>
      <c r="G33" s="80">
        <f>+K33+F33</f>
        <v>0</v>
      </c>
      <c r="H33" s="490">
        <f>+G33-E33</f>
        <v>0</v>
      </c>
      <c r="I33" s="82" t="s">
        <v>6</v>
      </c>
      <c r="K33" s="452">
        <v>0</v>
      </c>
    </row>
    <row r="34" spans="1:11" ht="24.95" customHeight="1">
      <c r="A34" s="77" t="s">
        <v>203</v>
      </c>
      <c r="B34" s="71" t="s">
        <v>9</v>
      </c>
      <c r="C34" s="75">
        <f>+C40+C36</f>
        <v>75692165</v>
      </c>
      <c r="D34" s="75">
        <f>+D40+D36</f>
        <v>38968086</v>
      </c>
      <c r="E34" s="75">
        <f>+E40+E36</f>
        <v>60915426</v>
      </c>
      <c r="F34" s="75">
        <f>+F40+F36</f>
        <v>0</v>
      </c>
      <c r="G34" s="75">
        <f>G36+G40</f>
        <v>38968086</v>
      </c>
      <c r="H34" s="128">
        <f>G34-D34</f>
        <v>0</v>
      </c>
      <c r="I34" s="74">
        <f>+G34/D34*100</f>
        <v>100</v>
      </c>
      <c r="K34" s="452">
        <v>38968086</v>
      </c>
    </row>
    <row r="35" spans="1:11" ht="9.9499999999999993" customHeight="1">
      <c r="A35" s="77"/>
      <c r="B35" s="83"/>
      <c r="C35" s="80"/>
      <c r="D35" s="80"/>
      <c r="E35" s="80"/>
      <c r="F35" s="80"/>
      <c r="G35" s="80"/>
      <c r="H35" s="120"/>
      <c r="I35" s="82"/>
      <c r="K35" s="452"/>
    </row>
    <row r="36" spans="1:11" ht="18" customHeight="1">
      <c r="A36" s="77" t="s">
        <v>204</v>
      </c>
      <c r="B36" s="71" t="s">
        <v>273</v>
      </c>
      <c r="C36" s="75">
        <f t="shared" ref="C36:D38" si="3">C37</f>
        <v>73592165</v>
      </c>
      <c r="D36" s="75">
        <f t="shared" si="3"/>
        <v>36868086</v>
      </c>
      <c r="E36" s="75">
        <f>E37</f>
        <v>58815426</v>
      </c>
      <c r="F36" s="75">
        <f t="shared" ref="F36:G38" si="4">F37</f>
        <v>0</v>
      </c>
      <c r="G36" s="75">
        <f t="shared" si="4"/>
        <v>36868086</v>
      </c>
      <c r="H36" s="128">
        <f>H37</f>
        <v>0</v>
      </c>
      <c r="I36" s="74">
        <f>I37</f>
        <v>100</v>
      </c>
      <c r="K36" s="452">
        <v>36868086</v>
      </c>
    </row>
    <row r="37" spans="1:11" ht="18" customHeight="1">
      <c r="A37" s="78" t="s">
        <v>205</v>
      </c>
      <c r="B37" s="83" t="s">
        <v>278</v>
      </c>
      <c r="C37" s="80">
        <f t="shared" si="3"/>
        <v>73592165</v>
      </c>
      <c r="D37" s="80">
        <f t="shared" si="3"/>
        <v>36868086</v>
      </c>
      <c r="E37" s="80">
        <f>E38</f>
        <v>58815426</v>
      </c>
      <c r="F37" s="80">
        <f t="shared" si="4"/>
        <v>0</v>
      </c>
      <c r="G37" s="80">
        <f t="shared" si="4"/>
        <v>36868086</v>
      </c>
      <c r="H37" s="120">
        <f>H38</f>
        <v>0</v>
      </c>
      <c r="I37" s="82">
        <f>G37/D37*100</f>
        <v>100</v>
      </c>
      <c r="K37" s="452">
        <v>36868086</v>
      </c>
    </row>
    <row r="38" spans="1:11" ht="18" customHeight="1">
      <c r="A38" s="78" t="s">
        <v>206</v>
      </c>
      <c r="B38" s="83" t="s">
        <v>279</v>
      </c>
      <c r="C38" s="80">
        <f t="shared" si="3"/>
        <v>73592165</v>
      </c>
      <c r="D38" s="80">
        <f>+D39</f>
        <v>36868086</v>
      </c>
      <c r="E38" s="80">
        <f>E39</f>
        <v>58815426</v>
      </c>
      <c r="F38" s="80">
        <f t="shared" si="4"/>
        <v>0</v>
      </c>
      <c r="G38" s="80">
        <f t="shared" si="4"/>
        <v>36868086</v>
      </c>
      <c r="H38" s="120">
        <f>H39</f>
        <v>0</v>
      </c>
      <c r="I38" s="82">
        <f>G38/D38*100</f>
        <v>100</v>
      </c>
      <c r="K38" s="452">
        <v>36868086</v>
      </c>
    </row>
    <row r="39" spans="1:11" ht="18" customHeight="1">
      <c r="A39" s="78" t="s">
        <v>207</v>
      </c>
      <c r="B39" s="83" t="s">
        <v>280</v>
      </c>
      <c r="C39" s="80">
        <v>73592165</v>
      </c>
      <c r="D39" s="80">
        <v>36868086</v>
      </c>
      <c r="E39" s="80">
        <v>58815426</v>
      </c>
      <c r="F39" s="80">
        <v>0</v>
      </c>
      <c r="G39" s="80">
        <f>K39+F39</f>
        <v>36868086</v>
      </c>
      <c r="H39" s="120">
        <f>+G39-D39</f>
        <v>0</v>
      </c>
      <c r="I39" s="82">
        <f>G39/D39*100</f>
        <v>100</v>
      </c>
      <c r="K39" s="452">
        <v>36868086</v>
      </c>
    </row>
    <row r="40" spans="1:11" ht="24.95" customHeight="1">
      <c r="A40" s="77" t="s">
        <v>208</v>
      </c>
      <c r="B40" s="71" t="s">
        <v>274</v>
      </c>
      <c r="C40" s="75">
        <f>SUM(C41)</f>
        <v>2100000</v>
      </c>
      <c r="D40" s="75">
        <f>SUM(D41)</f>
        <v>2100000</v>
      </c>
      <c r="E40" s="75">
        <f t="shared" ref="E40:E43" si="5">E41</f>
        <v>2100000</v>
      </c>
      <c r="F40" s="75">
        <f>F41</f>
        <v>0</v>
      </c>
      <c r="G40" s="75">
        <f>G41</f>
        <v>2100000</v>
      </c>
      <c r="H40" s="72">
        <f>+G40-E40</f>
        <v>0</v>
      </c>
      <c r="I40" s="74">
        <f>+G40/D40*100</f>
        <v>100</v>
      </c>
      <c r="K40" s="452">
        <v>2100000</v>
      </c>
    </row>
    <row r="41" spans="1:11" ht="24.95" customHeight="1">
      <c r="A41" s="78" t="s">
        <v>560</v>
      </c>
      <c r="B41" s="83" t="s">
        <v>211</v>
      </c>
      <c r="C41" s="80">
        <f t="shared" ref="C41:D43" si="6">C42</f>
        <v>2100000</v>
      </c>
      <c r="D41" s="80">
        <v>2100000</v>
      </c>
      <c r="E41" s="80">
        <f t="shared" si="5"/>
        <v>2100000</v>
      </c>
      <c r="F41" s="80"/>
      <c r="G41" s="80">
        <f>G42</f>
        <v>2100000</v>
      </c>
      <c r="H41" s="490">
        <f>+G41-E41</f>
        <v>0</v>
      </c>
      <c r="I41" s="82">
        <f>+G41/D41*100</f>
        <v>100</v>
      </c>
      <c r="K41" s="452">
        <v>2100000</v>
      </c>
    </row>
    <row r="42" spans="1:11" ht="18" customHeight="1">
      <c r="A42" s="78" t="s">
        <v>560</v>
      </c>
      <c r="B42" s="83" t="s">
        <v>275</v>
      </c>
      <c r="C42" s="80">
        <f t="shared" si="6"/>
        <v>2100000</v>
      </c>
      <c r="D42" s="80">
        <f t="shared" si="6"/>
        <v>2100000</v>
      </c>
      <c r="E42" s="80">
        <f t="shared" si="5"/>
        <v>2100000</v>
      </c>
      <c r="F42" s="80"/>
      <c r="G42" s="80">
        <f>G43</f>
        <v>2100000</v>
      </c>
      <c r="H42" s="490">
        <f>+G42-E42</f>
        <v>0</v>
      </c>
      <c r="I42" s="82">
        <f>G42/D42*100</f>
        <v>100</v>
      </c>
      <c r="K42" s="452">
        <v>2100000</v>
      </c>
    </row>
    <row r="43" spans="1:11" ht="17.45" customHeight="1">
      <c r="A43" s="78" t="s">
        <v>561</v>
      </c>
      <c r="B43" s="83" t="s">
        <v>276</v>
      </c>
      <c r="C43" s="80">
        <f t="shared" si="6"/>
        <v>2100000</v>
      </c>
      <c r="D43" s="80">
        <f t="shared" si="6"/>
        <v>2100000</v>
      </c>
      <c r="E43" s="80">
        <f t="shared" si="5"/>
        <v>2100000</v>
      </c>
      <c r="F43" s="80"/>
      <c r="G43" s="80">
        <f>G44</f>
        <v>2100000</v>
      </c>
      <c r="H43" s="490"/>
      <c r="I43" s="82">
        <f>G43/D43*100</f>
        <v>100</v>
      </c>
      <c r="K43" s="452">
        <v>2100000</v>
      </c>
    </row>
    <row r="44" spans="1:11" ht="17.45" customHeight="1">
      <c r="A44" s="78" t="s">
        <v>562</v>
      </c>
      <c r="B44" s="83" t="s">
        <v>277</v>
      </c>
      <c r="C44" s="80">
        <v>2100000</v>
      </c>
      <c r="D44" s="80">
        <v>2100000</v>
      </c>
      <c r="E44" s="80">
        <f>420000+630000+630000+420000</f>
        <v>2100000</v>
      </c>
      <c r="F44" s="80"/>
      <c r="G44" s="80">
        <f>K44+F44</f>
        <v>2100000</v>
      </c>
      <c r="H44" s="490"/>
      <c r="I44" s="82">
        <f>G44/D44*100</f>
        <v>100</v>
      </c>
      <c r="K44" s="452">
        <v>2100000</v>
      </c>
    </row>
    <row r="45" spans="1:11" ht="16.899999999999999" customHeight="1">
      <c r="A45" s="55"/>
      <c r="B45" s="83"/>
      <c r="C45" s="85"/>
      <c r="D45" s="85"/>
      <c r="E45" s="80"/>
      <c r="F45" s="80"/>
      <c r="G45" s="80"/>
      <c r="H45" s="490"/>
      <c r="I45" s="86"/>
      <c r="K45" s="452"/>
    </row>
    <row r="46" spans="1:11" ht="24.6" hidden="1" customHeight="1">
      <c r="A46" s="48"/>
      <c r="B46" s="71" t="s">
        <v>162</v>
      </c>
      <c r="C46" s="71"/>
      <c r="D46" s="75">
        <f>SUM(D48)</f>
        <v>5210534</v>
      </c>
      <c r="E46" s="75">
        <f>SUM(E48)</f>
        <v>4639377</v>
      </c>
      <c r="F46" s="75">
        <f>SUM(F48:F48)</f>
        <v>1797741</v>
      </c>
      <c r="G46" s="75" t="e">
        <f>#REF!+F46</f>
        <v>#REF!</v>
      </c>
      <c r="H46" s="73" t="e">
        <f>+G46-E46</f>
        <v>#REF!</v>
      </c>
      <c r="I46" s="74" t="e">
        <f>+G46/E46*100</f>
        <v>#REF!</v>
      </c>
      <c r="J46" s="34">
        <v>4639377</v>
      </c>
    </row>
    <row r="47" spans="1:11" ht="9.6" hidden="1" customHeight="1">
      <c r="A47" s="48"/>
      <c r="B47" s="83"/>
      <c r="C47" s="83"/>
      <c r="D47" s="80"/>
      <c r="E47" s="80"/>
      <c r="F47" s="80"/>
      <c r="G47" s="63">
        <f>F47</f>
        <v>0</v>
      </c>
      <c r="H47" s="81" t="s">
        <v>6</v>
      </c>
      <c r="I47" s="82" t="s">
        <v>6</v>
      </c>
      <c r="J47" s="34">
        <v>0</v>
      </c>
    </row>
    <row r="48" spans="1:11" ht="24.6" hidden="1" customHeight="1">
      <c r="A48" s="48"/>
      <c r="B48" s="83" t="s">
        <v>29</v>
      </c>
      <c r="C48" s="83"/>
      <c r="D48" s="80">
        <v>5210534</v>
      </c>
      <c r="E48" s="80">
        <v>4639377</v>
      </c>
      <c r="F48" s="87">
        <f>1779848+17893</f>
        <v>1797741</v>
      </c>
      <c r="G48" s="63" t="e">
        <f>F48+#REF!</f>
        <v>#REF!</v>
      </c>
      <c r="H48" s="81" t="e">
        <f>+G48-E48</f>
        <v>#REF!</v>
      </c>
      <c r="I48" s="82" t="e">
        <f>+G48/E48*100</f>
        <v>#REF!</v>
      </c>
      <c r="J48" s="34">
        <v>4639377</v>
      </c>
    </row>
    <row r="49" spans="1:11" ht="7.15" hidden="1" customHeight="1">
      <c r="A49" s="54"/>
      <c r="B49" s="88"/>
      <c r="C49" s="89"/>
      <c r="D49" s="90"/>
      <c r="E49" s="85" t="s">
        <v>6</v>
      </c>
      <c r="F49" s="91" t="s">
        <v>6</v>
      </c>
      <c r="G49" s="85" t="s">
        <v>6</v>
      </c>
      <c r="H49" s="85" t="s">
        <v>6</v>
      </c>
      <c r="I49" s="92"/>
      <c r="J49" s="34" t="s">
        <v>6</v>
      </c>
    </row>
    <row r="50" spans="1:11" ht="15.95" customHeight="1">
      <c r="A50" s="2" t="s">
        <v>6</v>
      </c>
      <c r="B50" s="93" t="s">
        <v>6</v>
      </c>
      <c r="C50" s="94"/>
      <c r="D50" s="94"/>
      <c r="E50" s="95"/>
      <c r="F50" s="95"/>
      <c r="G50" s="95"/>
      <c r="H50" s="96"/>
      <c r="I50" s="94"/>
    </row>
    <row r="51" spans="1:11">
      <c r="B51" s="97" t="s">
        <v>6</v>
      </c>
      <c r="C51" s="97"/>
      <c r="D51" s="1"/>
      <c r="E51" s="1"/>
      <c r="F51" s="1"/>
      <c r="G51" s="1"/>
      <c r="H51" s="98"/>
      <c r="I51"/>
    </row>
    <row r="52" spans="1:11" ht="15.75">
      <c r="B52" s="47" t="s">
        <v>6</v>
      </c>
      <c r="C52" s="47"/>
      <c r="D52" s="66"/>
      <c r="E52" s="199"/>
      <c r="F52" s="99"/>
      <c r="G52" s="99"/>
      <c r="H52" s="99"/>
      <c r="I52" s="3"/>
    </row>
    <row r="53" spans="1:11" ht="30" customHeight="1">
      <c r="B53" s="100" t="s">
        <v>6</v>
      </c>
      <c r="C53" s="100"/>
      <c r="D53" s="40" t="s">
        <v>6</v>
      </c>
      <c r="E53" s="199"/>
      <c r="F53" s="99"/>
      <c r="G53" s="99"/>
      <c r="H53" s="99"/>
      <c r="I53" s="3"/>
    </row>
    <row r="54" spans="1:11" ht="15.75">
      <c r="B54" s="100" t="s">
        <v>6</v>
      </c>
      <c r="C54" s="100"/>
      <c r="D54" s="1"/>
      <c r="E54" s="99"/>
      <c r="F54" s="99"/>
      <c r="G54" s="99"/>
      <c r="H54" s="99"/>
      <c r="I54" s="3"/>
    </row>
    <row r="55" spans="1:11" ht="15.75">
      <c r="B55" s="47" t="s">
        <v>6</v>
      </c>
      <c r="C55" s="47"/>
      <c r="D55" s="99"/>
      <c r="E55" s="99"/>
      <c r="F55" s="99"/>
      <c r="G55" s="99"/>
      <c r="H55" s="99"/>
      <c r="I55" s="3"/>
    </row>
    <row r="56" spans="1:11" ht="15.75">
      <c r="B56" s="47" t="s">
        <v>6</v>
      </c>
      <c r="C56" s="47"/>
      <c r="D56" s="99"/>
      <c r="E56" s="99"/>
      <c r="F56" s="99"/>
      <c r="G56" s="99"/>
      <c r="H56" s="99"/>
      <c r="I56" s="3"/>
      <c r="K56" s="34" t="s">
        <v>6</v>
      </c>
    </row>
    <row r="57" spans="1:11" ht="15.75">
      <c r="B57" s="47" t="s">
        <v>6</v>
      </c>
      <c r="C57" s="47"/>
      <c r="D57" s="99"/>
      <c r="E57" s="99"/>
      <c r="F57" s="99"/>
      <c r="G57" s="99"/>
      <c r="H57" s="99"/>
      <c r="I57" s="3"/>
    </row>
    <row r="58" spans="1:11" ht="15.75">
      <c r="B58" s="47" t="s">
        <v>6</v>
      </c>
      <c r="C58" s="47"/>
      <c r="D58" s="99"/>
      <c r="E58" s="99"/>
      <c r="F58" s="99"/>
      <c r="G58" s="99"/>
      <c r="H58" s="99"/>
      <c r="I58" s="3"/>
    </row>
    <row r="59" spans="1:11">
      <c r="B59"/>
      <c r="C59"/>
      <c r="D59" s="3"/>
      <c r="E59" s="3"/>
      <c r="F59" s="3"/>
      <c r="G59" s="3"/>
      <c r="H59" s="3"/>
      <c r="I59" s="3"/>
    </row>
    <row r="60" spans="1:11">
      <c r="B60"/>
      <c r="C60"/>
      <c r="D60"/>
      <c r="E60"/>
      <c r="F60"/>
      <c r="G60"/>
      <c r="H60"/>
      <c r="I60"/>
    </row>
    <row r="61" spans="1:11">
      <c r="B61"/>
      <c r="C61"/>
      <c r="D61"/>
      <c r="E61"/>
      <c r="F61"/>
      <c r="G61"/>
      <c r="H61"/>
      <c r="I61"/>
    </row>
    <row r="62" spans="1:11">
      <c r="B62"/>
      <c r="C62"/>
      <c r="D62"/>
      <c r="E62"/>
      <c r="F62"/>
      <c r="G62"/>
      <c r="H62"/>
      <c r="I62"/>
    </row>
    <row r="63" spans="1:11">
      <c r="B63"/>
      <c r="C63"/>
      <c r="D63"/>
      <c r="E63"/>
      <c r="F63"/>
      <c r="G63"/>
      <c r="H63"/>
      <c r="I63"/>
    </row>
    <row r="64" spans="1:11">
      <c r="B64"/>
      <c r="C64"/>
      <c r="D64"/>
      <c r="E64"/>
      <c r="F64"/>
      <c r="G64"/>
      <c r="H64"/>
      <c r="I64"/>
    </row>
    <row r="65" spans="2:9">
      <c r="B65"/>
      <c r="C65"/>
      <c r="D65"/>
      <c r="E65"/>
      <c r="F65"/>
      <c r="G65"/>
      <c r="H65"/>
      <c r="I65"/>
    </row>
    <row r="66" spans="2:9">
      <c r="B66"/>
      <c r="C66"/>
      <c r="D66"/>
      <c r="E66"/>
      <c r="F66"/>
      <c r="G66"/>
      <c r="H66"/>
      <c r="I66"/>
    </row>
    <row r="67" spans="2:9">
      <c r="B67"/>
      <c r="C67"/>
      <c r="D67"/>
      <c r="E67"/>
      <c r="F67"/>
      <c r="G67"/>
      <c r="H67"/>
      <c r="I67"/>
    </row>
    <row r="68" spans="2:9">
      <c r="B68"/>
      <c r="C68"/>
      <c r="D68"/>
      <c r="E68"/>
      <c r="F68"/>
      <c r="G68"/>
      <c r="H68"/>
      <c r="I68"/>
    </row>
    <row r="69" spans="2:9">
      <c r="B69"/>
      <c r="C69"/>
      <c r="D69"/>
      <c r="E69"/>
      <c r="F69"/>
      <c r="G69"/>
      <c r="H69"/>
      <c r="I69"/>
    </row>
    <row r="70" spans="2:9">
      <c r="B70"/>
      <c r="C70"/>
      <c r="D70"/>
      <c r="E70"/>
      <c r="F70"/>
      <c r="G70"/>
      <c r="H70"/>
      <c r="I70"/>
    </row>
    <row r="128" spans="5:5">
      <c r="E128" s="6" t="s">
        <v>6</v>
      </c>
    </row>
  </sheetData>
  <mergeCells count="9">
    <mergeCell ref="A1:I1"/>
    <mergeCell ref="A2:I2"/>
    <mergeCell ref="A3:I3"/>
    <mergeCell ref="A4:I4"/>
    <mergeCell ref="A6:A7"/>
    <mergeCell ref="B6:B7"/>
    <mergeCell ref="F6:G6"/>
    <mergeCell ref="H6:I6"/>
    <mergeCell ref="C6:E6"/>
  </mergeCells>
  <phoneticPr fontId="2" type="noConversion"/>
  <pageMargins left="0.19685039370078741" right="0.19685039370078741" top="0.74803149606299213" bottom="0.98425196850393704" header="0.51181102362204722" footer="0.51181102362204722"/>
  <pageSetup scale="75" firstPageNumber="0" orientation="portrait" horizontalDpi="4294967294" verticalDpi="4294967294" r:id="rId1"/>
  <headerFooter alignWithMargins="0">
    <oddFooter xml:space="preserve">&amp;R&amp;"Arial,Negrita" </oddFooter>
  </headerFooter>
  <colBreaks count="1" manualBreakCount="1">
    <brk id="10" max="1048575" man="1"/>
  </colBreaks>
  <ignoredErrors>
    <ignoredError sqref="E15:F15 G25 D38 G39 G28:H28 F24 G31:H33 G24 G27 G29 H2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>
    <tabColor theme="6" tint="-0.249977111117893"/>
    <pageSetUpPr fitToPage="1"/>
  </sheetPr>
  <dimension ref="A1:X66"/>
  <sheetViews>
    <sheetView showGridLines="0" showZeros="0" zoomScaleNormal="100" workbookViewId="0">
      <selection sqref="A1:I33"/>
    </sheetView>
  </sheetViews>
  <sheetFormatPr baseColWidth="10" defaultColWidth="11.42578125" defaultRowHeight="12.75"/>
  <cols>
    <col min="1" max="1" width="36.140625" customWidth="1"/>
    <col min="2" max="2" width="17.42578125" customWidth="1"/>
    <col min="3" max="3" width="12.140625" customWidth="1"/>
    <col min="4" max="4" width="12.42578125" customWidth="1"/>
    <col min="5" max="5" width="13.7109375" hidden="1" customWidth="1"/>
    <col min="6" max="6" width="14" customWidth="1"/>
    <col min="7" max="7" width="14.140625" customWidth="1"/>
    <col min="8" max="8" width="13.28515625" customWidth="1"/>
    <col min="9" max="9" width="10.140625" customWidth="1"/>
    <col min="10" max="10" width="35.42578125" customWidth="1"/>
    <col min="11" max="11" width="17.42578125" hidden="1" customWidth="1"/>
    <col min="12" max="12" width="24.28515625" style="57" customWidth="1"/>
    <col min="14" max="14" width="15.140625" customWidth="1"/>
    <col min="15" max="15" width="18.42578125" customWidth="1"/>
    <col min="16" max="16" width="23.7109375" customWidth="1"/>
    <col min="17" max="17" width="22.42578125" bestFit="1" customWidth="1"/>
    <col min="19" max="19" width="1.42578125" customWidth="1"/>
    <col min="20" max="20" width="3.140625" customWidth="1"/>
    <col min="21" max="21" width="0.42578125" customWidth="1"/>
    <col min="22" max="22" width="1.5703125" customWidth="1"/>
    <col min="23" max="23" width="0.42578125" customWidth="1"/>
  </cols>
  <sheetData>
    <row r="1" spans="1:24" ht="18" customHeight="1">
      <c r="A1" s="597" t="s">
        <v>166</v>
      </c>
      <c r="B1" s="597"/>
      <c r="C1" s="597"/>
      <c r="D1" s="597"/>
      <c r="E1" s="597"/>
      <c r="F1" s="597"/>
      <c r="G1" s="597"/>
      <c r="H1" s="597"/>
      <c r="I1" s="597"/>
    </row>
    <row r="2" spans="1:24" ht="18" customHeight="1">
      <c r="A2" s="597" t="s">
        <v>167</v>
      </c>
      <c r="B2" s="597"/>
      <c r="C2" s="597"/>
      <c r="D2" s="597"/>
      <c r="E2" s="597"/>
      <c r="F2" s="597"/>
      <c r="G2" s="597"/>
      <c r="H2" s="597"/>
      <c r="I2" s="597"/>
    </row>
    <row r="3" spans="1:24" ht="18" customHeight="1">
      <c r="A3" s="613" t="s">
        <v>215</v>
      </c>
      <c r="B3" s="614"/>
      <c r="C3" s="614"/>
      <c r="D3" s="614"/>
      <c r="E3" s="614"/>
      <c r="F3" s="614"/>
      <c r="G3" s="614"/>
      <c r="H3" s="614"/>
      <c r="I3" s="615"/>
    </row>
    <row r="4" spans="1:24" ht="18" customHeight="1">
      <c r="A4" s="613" t="s">
        <v>582</v>
      </c>
      <c r="B4" s="614"/>
      <c r="C4" s="614"/>
      <c r="D4" s="614"/>
      <c r="E4" s="614"/>
      <c r="F4" s="614"/>
      <c r="G4" s="614"/>
      <c r="H4" s="614"/>
      <c r="I4" s="615"/>
    </row>
    <row r="5" spans="1:24" ht="15" thickBot="1">
      <c r="A5" s="101"/>
      <c r="B5" s="102"/>
      <c r="C5" s="102"/>
      <c r="D5" s="102"/>
      <c r="E5" s="102"/>
      <c r="F5" s="102"/>
      <c r="G5" s="102"/>
      <c r="H5" s="102"/>
    </row>
    <row r="6" spans="1:24" ht="21" customHeight="1">
      <c r="A6" s="616" t="s">
        <v>6</v>
      </c>
      <c r="B6" s="618" t="s">
        <v>31</v>
      </c>
      <c r="C6" s="622" t="s">
        <v>24</v>
      </c>
      <c r="D6" s="623"/>
      <c r="E6" s="624"/>
      <c r="F6" s="620" t="s">
        <v>450</v>
      </c>
      <c r="G6" s="620"/>
      <c r="H6" s="620" t="s">
        <v>1</v>
      </c>
      <c r="I6" s="621"/>
    </row>
    <row r="7" spans="1:24" ht="24.75" customHeight="1" thickBot="1">
      <c r="A7" s="617"/>
      <c r="B7" s="619"/>
      <c r="C7" s="325" t="s">
        <v>58</v>
      </c>
      <c r="D7" s="326" t="s">
        <v>10</v>
      </c>
      <c r="E7" s="326" t="s">
        <v>2</v>
      </c>
      <c r="F7" s="326" t="s">
        <v>28</v>
      </c>
      <c r="G7" s="326" t="s">
        <v>32</v>
      </c>
      <c r="H7" s="326" t="s">
        <v>163</v>
      </c>
      <c r="I7" s="327" t="s">
        <v>5</v>
      </c>
      <c r="K7" s="25"/>
    </row>
    <row r="8" spans="1:24" ht="20.100000000000001" customHeight="1">
      <c r="A8" s="103"/>
      <c r="B8" s="104"/>
      <c r="C8" s="104"/>
      <c r="D8" s="105"/>
      <c r="E8" s="106"/>
      <c r="F8" s="106"/>
      <c r="G8" s="106"/>
      <c r="H8" s="106"/>
      <c r="I8" s="107"/>
    </row>
    <row r="9" spans="1:24" ht="20.100000000000001" customHeight="1">
      <c r="A9" s="108" t="s">
        <v>12</v>
      </c>
      <c r="B9" s="109"/>
      <c r="C9" s="110">
        <f>+C11+C22</f>
        <v>234334098</v>
      </c>
      <c r="D9" s="110">
        <f>+D11+D22</f>
        <v>163920800</v>
      </c>
      <c r="E9" s="110">
        <f>+E11+E22</f>
        <v>219557359</v>
      </c>
      <c r="F9" s="110">
        <f>+F11+F22</f>
        <v>40586838.700000003</v>
      </c>
      <c r="G9" s="110">
        <f>+G11+G22</f>
        <v>160481328.16000003</v>
      </c>
      <c r="H9" s="111">
        <f>+G9-E9</f>
        <v>-59076030.839999974</v>
      </c>
      <c r="I9" s="112">
        <f>+G9/D9*100</f>
        <v>97.901747770874735</v>
      </c>
      <c r="J9" s="44"/>
      <c r="L9" s="289" t="s">
        <v>6</v>
      </c>
    </row>
    <row r="10" spans="1:24" ht="20.100000000000001" customHeight="1">
      <c r="A10" s="108"/>
      <c r="B10" s="109"/>
      <c r="C10" s="110"/>
      <c r="D10" s="110"/>
      <c r="E10" s="110"/>
      <c r="F10" s="110"/>
      <c r="G10" s="110"/>
      <c r="H10" s="111"/>
      <c r="I10" s="112"/>
      <c r="J10" s="44"/>
      <c r="L10" s="290"/>
    </row>
    <row r="11" spans="1:24" ht="20.100000000000001" customHeight="1">
      <c r="A11" s="287" t="s">
        <v>13</v>
      </c>
      <c r="B11" s="109"/>
      <c r="C11" s="110">
        <f>SUM(C13:C20)</f>
        <v>15328172</v>
      </c>
      <c r="D11" s="110">
        <f>SUM(D13:D20)</f>
        <v>15328172</v>
      </c>
      <c r="E11" s="110">
        <f>SUM(E13:E20)</f>
        <v>15328172</v>
      </c>
      <c r="F11" s="110">
        <f>SUM(F13:F20)</f>
        <v>207612.09</v>
      </c>
      <c r="G11" s="110">
        <f>SUM(G13:G20)</f>
        <v>11888700.549999999</v>
      </c>
      <c r="H11" s="111">
        <f>E11-G11</f>
        <v>3439471.4500000011</v>
      </c>
      <c r="I11" s="112">
        <f>+G11/D11*100</f>
        <v>77.561111331475132</v>
      </c>
      <c r="J11" s="44"/>
      <c r="K11" s="1"/>
      <c r="L11" s="289" t="s">
        <v>6</v>
      </c>
    </row>
    <row r="12" spans="1:24" ht="20.100000000000001" customHeight="1">
      <c r="A12" s="113"/>
      <c r="B12" s="114"/>
      <c r="C12" s="115"/>
      <c r="D12" s="115"/>
      <c r="E12" s="115" t="s">
        <v>6</v>
      </c>
      <c r="F12" s="115"/>
      <c r="G12" s="115"/>
      <c r="H12" s="116"/>
      <c r="I12" s="590"/>
      <c r="J12" s="42"/>
    </row>
    <row r="13" spans="1:24" ht="20.100000000000001" customHeight="1">
      <c r="A13" s="117" t="s">
        <v>287</v>
      </c>
      <c r="B13" s="118" t="s">
        <v>563</v>
      </c>
      <c r="C13" s="119">
        <f>+'BALANCE INGRESO'!C18</f>
        <v>700000</v>
      </c>
      <c r="D13" s="119">
        <f>+'BALANCE INGRESO'!D18</f>
        <v>700000</v>
      </c>
      <c r="E13" s="119">
        <f>+'BALANCE INGRESO'!E18</f>
        <v>700000</v>
      </c>
      <c r="F13" s="119">
        <f>+'BALANCE INGRESO'!F18</f>
        <v>18751.599999999999</v>
      </c>
      <c r="G13" s="119">
        <f>+'BALANCE INGRESO'!G18</f>
        <v>1053620.2200000002</v>
      </c>
      <c r="H13" s="120">
        <f t="shared" ref="H13:H20" si="0">+G13-E13</f>
        <v>353620.2200000002</v>
      </c>
      <c r="I13" s="112">
        <f t="shared" ref="I13:I30" si="1">+G13/D13*100</f>
        <v>150.5171742857143</v>
      </c>
      <c r="J13" s="43"/>
      <c r="K13" s="1"/>
      <c r="L13" s="291" t="s">
        <v>6</v>
      </c>
      <c r="Q13" s="19"/>
      <c r="R13" s="20"/>
      <c r="S13" s="20"/>
      <c r="T13" s="21"/>
      <c r="U13" s="21"/>
      <c r="V13" s="21"/>
      <c r="W13" s="21"/>
      <c r="X13" s="21"/>
    </row>
    <row r="14" spans="1:24" ht="20.100000000000001" customHeight="1">
      <c r="A14" s="117" t="s">
        <v>288</v>
      </c>
      <c r="B14" s="118" t="s">
        <v>33</v>
      </c>
      <c r="C14" s="119">
        <f>+'BALANCE INGRESO'!C19</f>
        <v>4776492</v>
      </c>
      <c r="D14" s="119">
        <f>+'BALANCE INGRESO'!D19</f>
        <v>4776492</v>
      </c>
      <c r="E14" s="119">
        <f>+'BALANCE INGRESO'!E19</f>
        <v>4776492</v>
      </c>
      <c r="F14" s="119">
        <f>+'BALANCE INGRESO'!F19</f>
        <v>30530.22</v>
      </c>
      <c r="G14" s="119">
        <f>+'BALANCE INGRESO'!G19</f>
        <v>1505228.9000000001</v>
      </c>
      <c r="H14" s="120">
        <f t="shared" si="0"/>
        <v>-3271263.0999999996</v>
      </c>
      <c r="I14" s="112">
        <f t="shared" si="1"/>
        <v>31.513271664644265</v>
      </c>
      <c r="J14" s="43"/>
      <c r="K14" s="1"/>
      <c r="L14" s="291"/>
      <c r="R14" s="20"/>
      <c r="S14" s="20"/>
      <c r="T14" s="21"/>
      <c r="U14" s="21"/>
      <c r="V14" s="21"/>
      <c r="W14" s="21"/>
      <c r="X14" s="21"/>
    </row>
    <row r="15" spans="1:24" ht="20.100000000000001" customHeight="1">
      <c r="A15" s="122" t="s">
        <v>289</v>
      </c>
      <c r="B15" s="118" t="s">
        <v>282</v>
      </c>
      <c r="C15" s="119">
        <f>+'BALANCE INGRESO'!C26</f>
        <v>4774884</v>
      </c>
      <c r="D15" s="119">
        <f>+'BALANCE INGRESO'!D26</f>
        <v>4774884</v>
      </c>
      <c r="E15" s="119">
        <f>+'BALANCE INGRESO'!E26</f>
        <v>4774884</v>
      </c>
      <c r="F15" s="119">
        <f>+'BALANCE INGRESO'!F26</f>
        <v>91008.97</v>
      </c>
      <c r="G15" s="119">
        <f>+'BALANCE INGRESO'!G26</f>
        <v>5324734.3600000003</v>
      </c>
      <c r="H15" s="120">
        <f t="shared" si="0"/>
        <v>549850.36000000034</v>
      </c>
      <c r="I15" s="112">
        <f t="shared" si="1"/>
        <v>111.51547053289673</v>
      </c>
      <c r="J15" s="43"/>
      <c r="K15" s="1"/>
      <c r="L15" s="291"/>
      <c r="R15" s="20"/>
      <c r="S15" s="20"/>
      <c r="T15" s="21"/>
      <c r="U15" s="21"/>
      <c r="V15" s="21"/>
      <c r="W15" s="21"/>
      <c r="X15" s="21"/>
    </row>
    <row r="16" spans="1:24" ht="20.100000000000001" customHeight="1">
      <c r="A16" s="122" t="s">
        <v>290</v>
      </c>
      <c r="B16" s="118" t="s">
        <v>283</v>
      </c>
      <c r="C16" s="119">
        <f>+'BALANCE INGRESO'!C27</f>
        <v>66714</v>
      </c>
      <c r="D16" s="119">
        <f>+'BALANCE INGRESO'!D27</f>
        <v>66714</v>
      </c>
      <c r="E16" s="119">
        <f>+'BALANCE INGRESO'!E27</f>
        <v>66714</v>
      </c>
      <c r="F16" s="119">
        <f>+'BALANCE INGRESO'!F27</f>
        <v>259.5</v>
      </c>
      <c r="G16" s="119">
        <f>+'BALANCE INGRESO'!G27</f>
        <v>60821.09</v>
      </c>
      <c r="H16" s="120">
        <f t="shared" si="0"/>
        <v>-5892.9100000000035</v>
      </c>
      <c r="I16" s="112">
        <f t="shared" si="1"/>
        <v>91.166906496387554</v>
      </c>
      <c r="J16" s="43"/>
      <c r="K16" s="1"/>
      <c r="L16" s="291"/>
      <c r="R16" s="20"/>
      <c r="S16" s="20"/>
      <c r="T16" s="21"/>
      <c r="U16" s="21"/>
      <c r="V16" s="21"/>
      <c r="W16" s="21"/>
      <c r="X16" s="21"/>
    </row>
    <row r="17" spans="1:24" ht="20.100000000000001" customHeight="1">
      <c r="A17" s="122" t="s">
        <v>291</v>
      </c>
      <c r="B17" s="118" t="s">
        <v>284</v>
      </c>
      <c r="C17" s="119">
        <f>+'BALANCE INGRESO'!C25</f>
        <v>410082</v>
      </c>
      <c r="D17" s="119">
        <f>+'BALANCE INGRESO'!D25</f>
        <v>410082</v>
      </c>
      <c r="E17" s="119">
        <f>+'BALANCE INGRESO'!E25</f>
        <v>410082</v>
      </c>
      <c r="F17" s="119">
        <f>+'BALANCE INGRESO'!F25</f>
        <v>37276.400000000001</v>
      </c>
      <c r="G17" s="119">
        <f>+'BALANCE INGRESO'!G25</f>
        <v>1016222.7099999998</v>
      </c>
      <c r="H17" s="120">
        <f t="shared" si="0"/>
        <v>606140.70999999985</v>
      </c>
      <c r="I17" s="112">
        <f t="shared" si="1"/>
        <v>247.80963563384879</v>
      </c>
      <c r="J17" s="43"/>
      <c r="K17" s="1"/>
      <c r="L17" s="291"/>
      <c r="R17" s="20"/>
      <c r="S17" s="20"/>
      <c r="T17" s="21"/>
      <c r="U17" s="21"/>
      <c r="V17" s="21"/>
      <c r="W17" s="21"/>
      <c r="X17" s="21"/>
    </row>
    <row r="18" spans="1:24" ht="20.100000000000001" customHeight="1">
      <c r="A18" s="122" t="s">
        <v>292</v>
      </c>
      <c r="B18" s="118" t="s">
        <v>564</v>
      </c>
      <c r="C18" s="119">
        <f>+'BALANCE INGRESO'!C30</f>
        <v>2500000</v>
      </c>
      <c r="D18" s="119">
        <f>+'BALANCE INGRESO'!D30</f>
        <v>2500000</v>
      </c>
      <c r="E18" s="119">
        <f>+'BALANCE INGRESO'!E30</f>
        <v>2500000</v>
      </c>
      <c r="F18" s="119">
        <f>+'BALANCE INGRESO'!F30</f>
        <v>29785.4</v>
      </c>
      <c r="G18" s="119">
        <f>+'BALANCE INGRESO'!G30</f>
        <v>828073.27000000014</v>
      </c>
      <c r="H18" s="123">
        <f t="shared" si="0"/>
        <v>-1671926.73</v>
      </c>
      <c r="I18" s="112">
        <f t="shared" si="1"/>
        <v>33.122930800000006</v>
      </c>
      <c r="J18" s="43"/>
      <c r="K18" s="1"/>
      <c r="L18" s="291"/>
      <c r="M18" s="1"/>
      <c r="R18" s="20"/>
      <c r="S18" s="20"/>
      <c r="T18" s="21"/>
      <c r="U18" s="21"/>
      <c r="V18" s="21"/>
      <c r="W18" s="21"/>
      <c r="X18" s="21"/>
    </row>
    <row r="19" spans="1:24" ht="20.100000000000001" customHeight="1">
      <c r="A19" s="122" t="s">
        <v>293</v>
      </c>
      <c r="B19" s="118" t="s">
        <v>565</v>
      </c>
      <c r="C19" s="119"/>
      <c r="D19" s="119" t="s">
        <v>6</v>
      </c>
      <c r="E19" s="119">
        <v>0</v>
      </c>
      <c r="F19" s="119">
        <v>0</v>
      </c>
      <c r="G19" s="119">
        <f>+'BALANCE INGRESO'!G33</f>
        <v>0</v>
      </c>
      <c r="H19" s="123" t="s">
        <v>6</v>
      </c>
      <c r="I19" s="112" t="s">
        <v>6</v>
      </c>
      <c r="J19" s="43"/>
      <c r="K19" s="1"/>
      <c r="L19" s="291"/>
      <c r="R19" s="20"/>
      <c r="S19" s="20"/>
      <c r="T19" s="21"/>
      <c r="U19" s="21"/>
      <c r="V19" s="21"/>
      <c r="W19" s="21"/>
      <c r="X19" s="21"/>
    </row>
    <row r="20" spans="1:24" ht="20.100000000000001" customHeight="1">
      <c r="A20" s="122" t="s">
        <v>294</v>
      </c>
      <c r="B20" s="118" t="s">
        <v>566</v>
      </c>
      <c r="C20" s="119">
        <f>+'BALANCE INGRESO'!C44</f>
        <v>2100000</v>
      </c>
      <c r="D20" s="119">
        <f>+'BALANCE INGRESO'!D44</f>
        <v>2100000</v>
      </c>
      <c r="E20" s="119">
        <f>+'BALANCE INGRESO'!E44</f>
        <v>2100000</v>
      </c>
      <c r="F20" s="119">
        <f>+'BALANCE INGRESO'!F44</f>
        <v>0</v>
      </c>
      <c r="G20" s="119">
        <f>+'BALANCE INGRESO'!G44</f>
        <v>2100000</v>
      </c>
      <c r="H20" s="123">
        <f t="shared" si="0"/>
        <v>0</v>
      </c>
      <c r="I20" s="121">
        <f t="shared" si="1"/>
        <v>100</v>
      </c>
      <c r="J20" s="43"/>
      <c r="K20" s="1"/>
      <c r="L20" s="291"/>
      <c r="R20" s="20"/>
      <c r="S20" s="20"/>
      <c r="T20" s="21"/>
      <c r="U20" s="21"/>
      <c r="V20" s="21"/>
      <c r="W20" s="21"/>
      <c r="X20" s="21"/>
    </row>
    <row r="21" spans="1:24" ht="20.100000000000001" customHeight="1" thickBot="1">
      <c r="A21" s="124"/>
      <c r="B21" s="125"/>
      <c r="C21" s="125"/>
      <c r="D21" s="115"/>
      <c r="E21" s="115" t="s">
        <v>6</v>
      </c>
      <c r="F21" s="115" t="s">
        <v>6</v>
      </c>
      <c r="G21" s="115" t="str">
        <f>F21</f>
        <v xml:space="preserve"> </v>
      </c>
      <c r="H21" s="126"/>
      <c r="I21" s="112" t="s">
        <v>6</v>
      </c>
      <c r="J21" s="42"/>
      <c r="K21" s="1"/>
      <c r="L21" s="291"/>
      <c r="R21" s="20"/>
      <c r="S21" s="20"/>
      <c r="T21" s="21"/>
      <c r="U21" s="21"/>
      <c r="V21" s="21"/>
      <c r="W21" s="21"/>
      <c r="X21" s="21"/>
    </row>
    <row r="22" spans="1:24" ht="20.100000000000001" customHeight="1" thickTop="1">
      <c r="A22" s="287" t="s">
        <v>14</v>
      </c>
      <c r="B22" s="127"/>
      <c r="C22" s="110">
        <f>+C24+C30</f>
        <v>219005926</v>
      </c>
      <c r="D22" s="110">
        <f>+D24+D30</f>
        <v>148592628</v>
      </c>
      <c r="E22" s="110">
        <f>E24+E30</f>
        <v>204229187</v>
      </c>
      <c r="F22" s="110">
        <f>+F24+F30</f>
        <v>40379226.609999999</v>
      </c>
      <c r="G22" s="110">
        <f>+G24+G30</f>
        <v>148592627.61000001</v>
      </c>
      <c r="H22" s="128"/>
      <c r="I22" s="112">
        <f t="shared" si="1"/>
        <v>99.999999737537465</v>
      </c>
      <c r="J22" s="44"/>
      <c r="K22" s="501">
        <v>108213401</v>
      </c>
      <c r="L22" s="291"/>
      <c r="R22" s="22"/>
      <c r="S22" s="22"/>
      <c r="T22" s="21"/>
      <c r="U22" s="21"/>
      <c r="V22" s="21"/>
      <c r="W22" s="21"/>
      <c r="X22" s="21"/>
    </row>
    <row r="23" spans="1:24" ht="20.100000000000001" customHeight="1">
      <c r="A23" s="108" t="s">
        <v>6</v>
      </c>
      <c r="B23" s="127"/>
      <c r="C23" s="110"/>
      <c r="D23" s="110"/>
      <c r="E23" s="110"/>
      <c r="F23" s="110"/>
      <c r="G23" s="110">
        <f>F23</f>
        <v>0</v>
      </c>
      <c r="H23" s="128"/>
      <c r="I23" s="112" t="s">
        <v>6</v>
      </c>
      <c r="J23" s="44"/>
      <c r="K23" s="502">
        <v>0</v>
      </c>
      <c r="L23" s="291"/>
      <c r="R23" s="20"/>
      <c r="S23" s="20"/>
      <c r="T23" s="21"/>
      <c r="U23" s="21"/>
      <c r="V23" s="21"/>
      <c r="W23" s="21"/>
      <c r="X23" s="21"/>
    </row>
    <row r="24" spans="1:24" ht="33" customHeight="1">
      <c r="A24" s="129" t="s">
        <v>34</v>
      </c>
      <c r="B24" s="127" t="s">
        <v>35</v>
      </c>
      <c r="C24" s="110">
        <f>SUM(C26:C28)</f>
        <v>145413761</v>
      </c>
      <c r="D24" s="110">
        <f>SUM(D26:D28)</f>
        <v>111724542</v>
      </c>
      <c r="E24" s="110">
        <f>SUM(E26:E28)</f>
        <v>145413761</v>
      </c>
      <c r="F24" s="110">
        <f>SUM(F26:F28)</f>
        <v>40379226.609999999</v>
      </c>
      <c r="G24" s="110">
        <f>+F24+K24</f>
        <v>111724541.61</v>
      </c>
      <c r="H24" s="128"/>
      <c r="I24" s="112">
        <f t="shared" si="1"/>
        <v>99.99999965092718</v>
      </c>
      <c r="J24" s="44"/>
      <c r="K24" s="502">
        <v>71345315</v>
      </c>
      <c r="L24" s="289" t="s">
        <v>6</v>
      </c>
      <c r="R24" s="22"/>
      <c r="S24" s="22"/>
      <c r="T24" s="21"/>
      <c r="U24" s="21"/>
      <c r="V24" s="21"/>
      <c r="W24" s="21"/>
      <c r="X24" s="21"/>
    </row>
    <row r="25" spans="1:24" ht="17.45" customHeight="1">
      <c r="A25" s="129"/>
      <c r="B25" s="127"/>
      <c r="C25" s="110"/>
      <c r="D25" s="110"/>
      <c r="E25" s="110"/>
      <c r="F25" s="110"/>
      <c r="G25" s="110"/>
      <c r="H25" s="128"/>
      <c r="I25" s="112" t="s">
        <v>6</v>
      </c>
      <c r="J25" s="44"/>
      <c r="K25" s="502"/>
      <c r="L25" s="291"/>
      <c r="Q25" s="1"/>
      <c r="R25" s="22"/>
      <c r="S25" s="22"/>
      <c r="T25" s="21"/>
      <c r="U25" s="21"/>
      <c r="V25" s="21"/>
      <c r="W25" s="21"/>
      <c r="X25" s="21"/>
    </row>
    <row r="26" spans="1:24" ht="20.100000000000001" customHeight="1">
      <c r="A26" s="122" t="s">
        <v>295</v>
      </c>
      <c r="B26" s="125"/>
      <c r="C26" s="119">
        <v>130068447</v>
      </c>
      <c r="D26" s="119">
        <v>101323643</v>
      </c>
      <c r="E26" s="119">
        <v>130068447</v>
      </c>
      <c r="F26" s="119">
        <f>28363105.61+11987721</f>
        <v>40350826.609999999</v>
      </c>
      <c r="G26" s="119">
        <f>+K26+F26</f>
        <v>101323642.61</v>
      </c>
      <c r="H26" s="120"/>
      <c r="I26" s="121">
        <f t="shared" si="1"/>
        <v>99.999999615094765</v>
      </c>
      <c r="J26" s="43"/>
      <c r="K26" s="503">
        <v>60972816</v>
      </c>
      <c r="L26" s="291"/>
      <c r="R26" s="20"/>
      <c r="S26" s="20"/>
      <c r="T26" s="21"/>
      <c r="U26" s="21"/>
      <c r="V26" s="21"/>
      <c r="W26" s="21"/>
      <c r="X26" s="21"/>
    </row>
    <row r="27" spans="1:24" ht="20.100000000000001" customHeight="1">
      <c r="A27" s="122" t="s">
        <v>296</v>
      </c>
      <c r="B27" s="118" t="s">
        <v>6</v>
      </c>
      <c r="C27" s="119">
        <v>170400</v>
      </c>
      <c r="D27" s="119">
        <v>170400</v>
      </c>
      <c r="E27" s="119">
        <f>14200+14200+14200+14200+14200+14200+14200+28400+14200+14200+14200</f>
        <v>170400</v>
      </c>
      <c r="F27" s="119">
        <v>28400</v>
      </c>
      <c r="G27" s="119">
        <f>+K27+F27</f>
        <v>170400</v>
      </c>
      <c r="H27" s="120">
        <f>+G27-E27</f>
        <v>0</v>
      </c>
      <c r="I27" s="121">
        <f t="shared" si="1"/>
        <v>100</v>
      </c>
      <c r="J27" s="41"/>
      <c r="K27" s="503">
        <v>142000</v>
      </c>
      <c r="L27" s="291"/>
      <c r="R27" s="20"/>
      <c r="S27" s="20"/>
      <c r="T27" s="21"/>
      <c r="U27" s="21"/>
      <c r="V27" s="21"/>
      <c r="W27" s="21"/>
      <c r="X27" s="21"/>
    </row>
    <row r="28" spans="1:24" ht="20.100000000000001" customHeight="1">
      <c r="A28" s="122" t="s">
        <v>297</v>
      </c>
      <c r="B28" s="118"/>
      <c r="C28" s="119">
        <v>15174914</v>
      </c>
      <c r="D28" s="119">
        <v>10230499</v>
      </c>
      <c r="E28" s="119">
        <v>15174914</v>
      </c>
      <c r="F28" s="119">
        <v>0</v>
      </c>
      <c r="G28" s="119">
        <f>+K28+F28</f>
        <v>10230499</v>
      </c>
      <c r="H28" s="120">
        <f>+G28-D28</f>
        <v>0</v>
      </c>
      <c r="I28" s="121">
        <f t="shared" si="1"/>
        <v>100</v>
      </c>
      <c r="J28" s="41"/>
      <c r="K28" s="503">
        <v>10230499</v>
      </c>
      <c r="L28" s="291"/>
      <c r="R28" s="20"/>
      <c r="S28" s="20"/>
      <c r="T28" s="21"/>
      <c r="U28" s="21"/>
      <c r="V28" s="21"/>
      <c r="W28" s="21"/>
      <c r="X28" s="21"/>
    </row>
    <row r="29" spans="1:24" ht="20.100000000000001" customHeight="1">
      <c r="A29" s="124" t="s">
        <v>6</v>
      </c>
      <c r="B29" s="125"/>
      <c r="C29" s="115" t="s">
        <v>6</v>
      </c>
      <c r="D29" s="115" t="s">
        <v>6</v>
      </c>
      <c r="E29" s="130" t="s">
        <v>6</v>
      </c>
      <c r="F29" s="119" t="s">
        <v>6</v>
      </c>
      <c r="G29" s="115" t="s">
        <v>6</v>
      </c>
      <c r="H29" s="131"/>
      <c r="I29" s="112" t="s">
        <v>6</v>
      </c>
      <c r="J29" s="42"/>
      <c r="K29" s="504" t="s">
        <v>6</v>
      </c>
      <c r="L29" s="291"/>
      <c r="R29" s="20"/>
      <c r="S29" s="20"/>
      <c r="T29" s="21"/>
      <c r="U29" s="21"/>
      <c r="V29" s="21"/>
      <c r="W29" s="21"/>
      <c r="X29" s="21"/>
    </row>
    <row r="30" spans="1:24" ht="23.25" customHeight="1" thickBot="1">
      <c r="A30" s="129" t="s">
        <v>36</v>
      </c>
      <c r="B30" s="127" t="s">
        <v>37</v>
      </c>
      <c r="C30" s="110">
        <v>73592165</v>
      </c>
      <c r="D30" s="110">
        <v>36868086</v>
      </c>
      <c r="E30" s="110">
        <v>58815426</v>
      </c>
      <c r="F30" s="110">
        <v>0</v>
      </c>
      <c r="G30" s="110">
        <f>+K30+F30</f>
        <v>36868086</v>
      </c>
      <c r="H30" s="111">
        <f>+G30-D30</f>
        <v>0</v>
      </c>
      <c r="I30" s="112">
        <f t="shared" si="1"/>
        <v>100</v>
      </c>
      <c r="J30" s="44"/>
      <c r="K30" s="505">
        <v>36868086</v>
      </c>
      <c r="L30" s="291"/>
      <c r="R30" s="23"/>
      <c r="S30" s="23"/>
      <c r="T30" s="21"/>
      <c r="U30" s="21"/>
      <c r="V30" s="21"/>
      <c r="W30" s="21"/>
      <c r="X30" s="21"/>
    </row>
    <row r="31" spans="1:24" ht="20.100000000000001" customHeight="1" thickTop="1" thickBot="1">
      <c r="A31" s="51" t="s">
        <v>6</v>
      </c>
      <c r="B31" s="52"/>
      <c r="C31" s="52"/>
      <c r="D31" s="53"/>
      <c r="E31" s="53">
        <v>0</v>
      </c>
      <c r="F31" s="56" t="s">
        <v>6</v>
      </c>
      <c r="G31" s="53" t="s">
        <v>6</v>
      </c>
      <c r="H31" s="49"/>
      <c r="I31" s="50"/>
      <c r="K31" t="s">
        <v>6</v>
      </c>
      <c r="L31" s="57" t="s">
        <v>6</v>
      </c>
    </row>
    <row r="32" spans="1:24" ht="15.75">
      <c r="A32" s="38" t="s">
        <v>6</v>
      </c>
      <c r="B32" s="37"/>
      <c r="C32" s="37"/>
      <c r="D32" s="37"/>
      <c r="E32" s="37"/>
      <c r="F32" s="37"/>
      <c r="G32" s="37"/>
      <c r="H32" s="37"/>
      <c r="I32" s="37"/>
    </row>
    <row r="33" spans="1:9" ht="15.75">
      <c r="A33" s="37" t="s">
        <v>6</v>
      </c>
      <c r="B33" s="37"/>
      <c r="C33" s="37"/>
      <c r="D33" s="37"/>
      <c r="E33" s="37" t="s">
        <v>6</v>
      </c>
      <c r="F33" s="37"/>
      <c r="G33" s="37"/>
      <c r="H33" s="37"/>
      <c r="I33" s="37"/>
    </row>
    <row r="66" spans="7:7">
      <c r="G66">
        <f>97395299-7271380-8354382</f>
        <v>81769537</v>
      </c>
    </row>
  </sheetData>
  <mergeCells count="9">
    <mergeCell ref="A1:I1"/>
    <mergeCell ref="A2:I2"/>
    <mergeCell ref="A3:I3"/>
    <mergeCell ref="A4:I4"/>
    <mergeCell ref="A6:A7"/>
    <mergeCell ref="B6:B7"/>
    <mergeCell ref="F6:G6"/>
    <mergeCell ref="H6:I6"/>
    <mergeCell ref="C6:E6"/>
  </mergeCells>
  <phoneticPr fontId="2" type="noConversion"/>
  <pageMargins left="7.874015748031496E-2" right="0" top="0.39370078740157483" bottom="0.39370078740157483" header="0.51181102362204722" footer="0.51181102362204722"/>
  <pageSetup scale="85" firstPageNumber="0" orientation="landscape" r:id="rId1"/>
  <headerFooter alignWithMargins="0"/>
  <ignoredErrors>
    <ignoredError sqref="E22:G22 H27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4">
    <tabColor theme="6" tint="-0.249977111117893"/>
  </sheetPr>
  <dimension ref="A1:K53"/>
  <sheetViews>
    <sheetView showGridLines="0" showZeros="0" zoomScaleNormal="100" workbookViewId="0">
      <selection activeCell="L30" sqref="L30"/>
    </sheetView>
  </sheetViews>
  <sheetFormatPr baseColWidth="10" defaultColWidth="11.42578125" defaultRowHeight="12.75"/>
  <cols>
    <col min="1" max="1" width="41.7109375" style="6" customWidth="1"/>
    <col min="2" max="2" width="13.140625" style="6" customWidth="1"/>
    <col min="3" max="3" width="14.85546875" style="6" customWidth="1"/>
    <col min="4" max="4" width="15" style="6" hidden="1" customWidth="1"/>
    <col min="5" max="5" width="14" style="6" customWidth="1"/>
    <col min="6" max="6" width="13.85546875" style="6" customWidth="1"/>
    <col min="7" max="7" width="4" customWidth="1"/>
    <col min="11" max="11" width="12.7109375" bestFit="1" customWidth="1"/>
  </cols>
  <sheetData>
    <row r="1" spans="1:11" ht="19.899999999999999" customHeight="1">
      <c r="A1" s="600" t="s">
        <v>166</v>
      </c>
      <c r="B1" s="600"/>
      <c r="C1" s="600"/>
      <c r="D1" s="600"/>
      <c r="E1" s="600"/>
      <c r="F1" s="600"/>
    </row>
    <row r="2" spans="1:11" ht="19.899999999999999" customHeight="1">
      <c r="A2" s="600" t="s">
        <v>167</v>
      </c>
      <c r="B2" s="600"/>
      <c r="C2" s="600"/>
      <c r="D2" s="600"/>
      <c r="E2" s="600"/>
      <c r="F2" s="600"/>
    </row>
    <row r="3" spans="1:11" ht="18" customHeight="1">
      <c r="A3" s="600" t="s">
        <v>216</v>
      </c>
      <c r="B3" s="600"/>
      <c r="C3" s="600"/>
      <c r="D3" s="600"/>
      <c r="E3" s="600"/>
      <c r="F3" s="600"/>
    </row>
    <row r="4" spans="1:11" ht="18" customHeight="1">
      <c r="A4" s="600" t="s">
        <v>582</v>
      </c>
      <c r="B4" s="600"/>
      <c r="C4" s="600"/>
      <c r="D4" s="600"/>
      <c r="E4" s="600"/>
      <c r="F4" s="600"/>
    </row>
    <row r="5" spans="1:11" ht="7.9" customHeight="1">
      <c r="A5" s="45"/>
      <c r="B5" s="45"/>
      <c r="C5" s="45"/>
      <c r="D5" s="45"/>
      <c r="E5" s="45"/>
      <c r="F5" s="45" t="s">
        <v>6</v>
      </c>
    </row>
    <row r="6" spans="1:11" ht="20.25" customHeight="1">
      <c r="A6" s="626" t="s">
        <v>0</v>
      </c>
      <c r="B6" s="598" t="s">
        <v>24</v>
      </c>
      <c r="C6" s="599"/>
      <c r="D6" s="599"/>
      <c r="E6" s="628"/>
      <c r="F6" s="629" t="s">
        <v>597</v>
      </c>
    </row>
    <row r="7" spans="1:11" ht="24" customHeight="1">
      <c r="A7" s="627"/>
      <c r="B7" s="328" t="s">
        <v>58</v>
      </c>
      <c r="C7" s="329" t="s">
        <v>10</v>
      </c>
      <c r="D7" s="329" t="s">
        <v>2</v>
      </c>
      <c r="E7" s="330" t="s">
        <v>544</v>
      </c>
      <c r="F7" s="630"/>
    </row>
    <row r="8" spans="1:11" ht="24.95" customHeight="1">
      <c r="A8" s="71" t="s">
        <v>298</v>
      </c>
      <c r="B8" s="132">
        <f>+'BALANCE INGRESO'!C11</f>
        <v>158641933</v>
      </c>
      <c r="C8" s="132">
        <f>+'BALANCE INGRESO'!D11</f>
        <v>124952714</v>
      </c>
      <c r="D8" s="132">
        <f>+'BALANCE INGRESO'!E11</f>
        <v>158641933</v>
      </c>
      <c r="E8" s="75">
        <f>+'BALANCE INGRESO'!G11</f>
        <v>121513242.55000001</v>
      </c>
      <c r="F8" s="133">
        <f>E8/C8*100</f>
        <v>97.247381557474625</v>
      </c>
      <c r="G8" s="4"/>
    </row>
    <row r="9" spans="1:11" ht="12.6" customHeight="1">
      <c r="A9" s="71"/>
      <c r="B9" s="132"/>
      <c r="C9" s="132"/>
      <c r="D9" s="75"/>
      <c r="E9" s="75"/>
      <c r="F9" s="134"/>
      <c r="G9" s="4" t="s">
        <v>6</v>
      </c>
    </row>
    <row r="10" spans="1:11" ht="13.15" customHeight="1">
      <c r="A10" s="135" t="s">
        <v>299</v>
      </c>
      <c r="B10" s="132">
        <f>+'BALANCE GASTO'!B11</f>
        <v>158641933</v>
      </c>
      <c r="C10" s="132">
        <f>+'BALANCE GASTO'!C11</f>
        <v>146093947.75</v>
      </c>
      <c r="D10" s="132">
        <f>+'BALANCE GASTO'!D11</f>
        <v>146093947.75</v>
      </c>
      <c r="E10" s="132">
        <f>+'BALANCE GASTO'!F11</f>
        <v>121680948.11</v>
      </c>
      <c r="F10" s="133">
        <f>E10/C10*100</f>
        <v>83.289520191639838</v>
      </c>
    </row>
    <row r="11" spans="1:11" ht="7.15" customHeight="1">
      <c r="A11" s="136"/>
      <c r="B11" s="132" t="s">
        <v>6</v>
      </c>
      <c r="C11" s="132" t="s">
        <v>6</v>
      </c>
      <c r="D11" s="137"/>
      <c r="E11" s="137" t="s">
        <v>6</v>
      </c>
      <c r="F11" s="138"/>
    </row>
    <row r="12" spans="1:11" ht="17.45" customHeight="1">
      <c r="A12" s="139" t="s">
        <v>226</v>
      </c>
      <c r="B12" s="140">
        <f>+'BALANCE GASTO'!B13</f>
        <v>145122874</v>
      </c>
      <c r="C12" s="140">
        <f>+'BALANCE GASTO'!C13</f>
        <v>137813166.05000001</v>
      </c>
      <c r="D12" s="140">
        <f>+'BALANCE GASTO'!D13</f>
        <v>137813166.05000001</v>
      </c>
      <c r="E12" s="140">
        <f>+'BALANCE GASTO'!F13</f>
        <v>116796593.7</v>
      </c>
      <c r="F12" s="141">
        <f>E12/C12*100</f>
        <v>84.74995317764126</v>
      </c>
      <c r="K12" s="19"/>
    </row>
    <row r="13" spans="1:11" ht="16.149999999999999" customHeight="1">
      <c r="A13" s="142" t="s">
        <v>228</v>
      </c>
      <c r="B13" s="132">
        <v>0</v>
      </c>
      <c r="C13" s="132" t="s">
        <v>30</v>
      </c>
      <c r="D13" s="140">
        <v>0</v>
      </c>
      <c r="E13" s="132" t="s">
        <v>6</v>
      </c>
      <c r="F13" s="141" t="s">
        <v>6</v>
      </c>
      <c r="G13" t="s">
        <v>6</v>
      </c>
      <c r="K13" s="19"/>
    </row>
    <row r="14" spans="1:11" ht="17.45" customHeight="1">
      <c r="A14" s="142" t="s">
        <v>229</v>
      </c>
      <c r="B14" s="140">
        <f>+'BALANCE GASTO'!B20</f>
        <v>13519059</v>
      </c>
      <c r="C14" s="140">
        <f>+'BALANCE GASTO'!C20</f>
        <v>8280781.7000000002</v>
      </c>
      <c r="D14" s="140">
        <f>+'BALANCE GASTO'!D20</f>
        <v>8280781.7000000002</v>
      </c>
      <c r="E14" s="140">
        <f>+'BALANCE GASTO'!F20</f>
        <v>4884354.41</v>
      </c>
      <c r="F14" s="141">
        <f>E14/C14*100</f>
        <v>58.984218965704649</v>
      </c>
      <c r="K14" s="19"/>
    </row>
    <row r="15" spans="1:11" ht="10.15" customHeight="1">
      <c r="A15" s="142"/>
      <c r="B15" s="492"/>
      <c r="C15" s="140"/>
      <c r="D15" s="140"/>
      <c r="E15" s="140"/>
      <c r="F15" s="141" t="s">
        <v>6</v>
      </c>
      <c r="J15" s="1" t="s">
        <v>6</v>
      </c>
      <c r="K15" s="19"/>
    </row>
    <row r="16" spans="1:11" ht="17.45" customHeight="1">
      <c r="A16" s="135" t="s">
        <v>300</v>
      </c>
      <c r="B16" s="493"/>
      <c r="C16" s="143">
        <f>+C8-C10</f>
        <v>-21141233.75</v>
      </c>
      <c r="D16" s="143">
        <v>0</v>
      </c>
      <c r="E16" s="506">
        <f>E8-E10</f>
        <v>-167705.55999998748</v>
      </c>
      <c r="F16" s="141" t="s">
        <v>6</v>
      </c>
      <c r="K16" s="19"/>
    </row>
    <row r="17" spans="1:11" ht="12" customHeight="1">
      <c r="A17" s="142" t="s">
        <v>6</v>
      </c>
      <c r="B17" s="492"/>
      <c r="C17" s="140"/>
      <c r="D17" s="140"/>
      <c r="E17" s="140"/>
      <c r="F17" s="141" t="s">
        <v>6</v>
      </c>
      <c r="K17" s="19"/>
    </row>
    <row r="18" spans="1:11" ht="15" customHeight="1">
      <c r="A18" s="135" t="s">
        <v>301</v>
      </c>
      <c r="B18" s="132">
        <f>SUM(B20)</f>
        <v>75692165</v>
      </c>
      <c r="C18" s="132">
        <f>SUM(C20:C21)</f>
        <v>31460304</v>
      </c>
      <c r="D18" s="132">
        <f>+D20</f>
        <v>31460304</v>
      </c>
      <c r="E18" s="132">
        <f>SUM(E20:E21)</f>
        <v>24092446.820000004</v>
      </c>
      <c r="F18" s="133">
        <f>+F20</f>
        <v>76.5804641302894</v>
      </c>
    </row>
    <row r="19" spans="1:11" ht="6" customHeight="1">
      <c r="A19" s="142"/>
      <c r="B19" s="492"/>
      <c r="C19" s="140" t="s">
        <v>6</v>
      </c>
      <c r="D19" s="140" t="s">
        <v>6</v>
      </c>
      <c r="E19" s="140"/>
      <c r="F19" s="141" t="s">
        <v>6</v>
      </c>
    </row>
    <row r="20" spans="1:11" ht="17.45" customHeight="1">
      <c r="A20" s="142" t="s">
        <v>481</v>
      </c>
      <c r="B20" s="140">
        <f>+'BALANCE GASTO'!B37</f>
        <v>75692165</v>
      </c>
      <c r="C20" s="140">
        <f>+'BALANCE GASTO'!C37</f>
        <v>31460304</v>
      </c>
      <c r="D20" s="140">
        <f>+'BALANCE GASTO'!D37</f>
        <v>31460304</v>
      </c>
      <c r="E20" s="140">
        <f>+'BALANCE GASTO'!F37</f>
        <v>24092446.820000004</v>
      </c>
      <c r="F20" s="141">
        <f>E20/C20*100</f>
        <v>76.5804641302894</v>
      </c>
      <c r="G20" t="s">
        <v>6</v>
      </c>
    </row>
    <row r="21" spans="1:11" ht="14.45" customHeight="1">
      <c r="A21" s="142" t="s">
        <v>225</v>
      </c>
      <c r="B21" s="492"/>
      <c r="C21" s="140">
        <v>0</v>
      </c>
      <c r="D21" s="140">
        <v>0</v>
      </c>
      <c r="E21" s="140" t="s">
        <v>6</v>
      </c>
      <c r="F21" s="141" t="s">
        <v>6</v>
      </c>
    </row>
    <row r="22" spans="1:11" ht="11.45" customHeight="1">
      <c r="A22" s="142"/>
      <c r="B22" s="492"/>
      <c r="C22" s="140"/>
      <c r="D22" s="140"/>
      <c r="E22" s="140" t="s">
        <v>6</v>
      </c>
      <c r="F22" s="141" t="s">
        <v>6</v>
      </c>
    </row>
    <row r="23" spans="1:11" ht="12.6" customHeight="1">
      <c r="A23" s="135" t="s">
        <v>302</v>
      </c>
      <c r="B23" s="132">
        <f>SUM(B25:B27)</f>
        <v>75692165</v>
      </c>
      <c r="C23" s="132">
        <f>SUM(C25:C27)</f>
        <v>38968086</v>
      </c>
      <c r="D23" s="132">
        <f>SUM(D25:D27)</f>
        <v>60915426</v>
      </c>
      <c r="E23" s="132">
        <f>SUM(E25:E27)</f>
        <v>38968086</v>
      </c>
      <c r="F23" s="133">
        <f>E23/C23*100</f>
        <v>100</v>
      </c>
    </row>
    <row r="24" spans="1:11" ht="9" customHeight="1">
      <c r="A24" s="142"/>
      <c r="B24" s="492"/>
      <c r="C24" s="140"/>
      <c r="D24" s="140"/>
      <c r="E24" s="140"/>
      <c r="F24" s="141" t="s">
        <v>6</v>
      </c>
    </row>
    <row r="25" spans="1:11" ht="15.6" customHeight="1">
      <c r="A25" s="142" t="s">
        <v>38</v>
      </c>
      <c r="B25" s="140">
        <f>+'BALANCE INGRESO'!C40</f>
        <v>2100000</v>
      </c>
      <c r="C25" s="140">
        <f>+'BALANCE INGRESO'!D40</f>
        <v>2100000</v>
      </c>
      <c r="D25" s="140">
        <f>+'BALANCE INGRESO'!E40</f>
        <v>2100000</v>
      </c>
      <c r="E25" s="140">
        <f>+'BALANCE INGRESO'!G41</f>
        <v>2100000</v>
      </c>
      <c r="F25" s="141">
        <f>E25/C25*100</f>
        <v>100</v>
      </c>
    </row>
    <row r="26" spans="1:11" ht="16.149999999999999" customHeight="1">
      <c r="A26" s="142" t="s">
        <v>482</v>
      </c>
      <c r="B26" s="492"/>
      <c r="C26" s="140">
        <v>0</v>
      </c>
      <c r="D26" s="140">
        <v>0</v>
      </c>
      <c r="E26" s="140">
        <v>0</v>
      </c>
      <c r="F26" s="141" t="s">
        <v>6</v>
      </c>
      <c r="I26" t="s">
        <v>6</v>
      </c>
    </row>
    <row r="27" spans="1:11" ht="15" customHeight="1">
      <c r="A27" s="142" t="s">
        <v>39</v>
      </c>
      <c r="B27" s="140">
        <f>+'BALANCE INGRESO'!C37</f>
        <v>73592165</v>
      </c>
      <c r="C27" s="140">
        <f>+'BALANCE INGRESO'!D37</f>
        <v>36868086</v>
      </c>
      <c r="D27" s="140">
        <f>+'BALANCE INGRESO'!E37</f>
        <v>58815426</v>
      </c>
      <c r="E27" s="140">
        <f>+'BALANCE INGRESO'!G37</f>
        <v>36868086</v>
      </c>
      <c r="F27" s="141">
        <f>E27/C27*100</f>
        <v>100</v>
      </c>
    </row>
    <row r="28" spans="1:11" ht="8.25" customHeight="1">
      <c r="A28" s="144"/>
      <c r="B28" s="494"/>
      <c r="C28" s="145" t="s">
        <v>6</v>
      </c>
      <c r="D28" s="145" t="s">
        <v>6</v>
      </c>
      <c r="E28" s="137" t="s">
        <v>6</v>
      </c>
      <c r="F28" s="138" t="s">
        <v>6</v>
      </c>
    </row>
    <row r="29" spans="1:11" ht="24.95" customHeight="1">
      <c r="A29" s="146" t="s">
        <v>483</v>
      </c>
      <c r="B29" s="495">
        <f>B16-B18+B23</f>
        <v>0</v>
      </c>
      <c r="C29" s="496" t="s">
        <v>6</v>
      </c>
      <c r="D29" s="496" t="s">
        <v>6</v>
      </c>
      <c r="E29" s="587">
        <f>E16-E18+E23+1</f>
        <v>14707934.620000008</v>
      </c>
      <c r="F29" s="147" t="s">
        <v>6</v>
      </c>
    </row>
    <row r="30" spans="1:11" ht="11.45" customHeight="1">
      <c r="A30" s="148" t="s">
        <v>6</v>
      </c>
      <c r="B30" s="148"/>
      <c r="C30" s="149"/>
      <c r="D30" s="149"/>
      <c r="E30" s="149"/>
      <c r="F30" s="149"/>
      <c r="G30" s="12"/>
      <c r="H30" s="6"/>
      <c r="I30" s="6"/>
    </row>
    <row r="31" spans="1:11" ht="13.5" customHeight="1">
      <c r="A31" t="s">
        <v>6</v>
      </c>
      <c r="B31"/>
      <c r="C31"/>
      <c r="D31"/>
      <c r="E31"/>
      <c r="F31"/>
      <c r="G31" s="6"/>
      <c r="H31" s="17"/>
      <c r="I31" s="6"/>
    </row>
    <row r="32" spans="1:11" ht="18.600000000000001" customHeight="1">
      <c r="A32"/>
      <c r="B32"/>
      <c r="C32"/>
      <c r="D32"/>
      <c r="E32" s="625" t="s">
        <v>6</v>
      </c>
      <c r="F32" s="625"/>
      <c r="G32" s="6"/>
      <c r="H32" s="18" t="s">
        <v>6</v>
      </c>
      <c r="I32" s="6"/>
    </row>
    <row r="33" spans="1:8" ht="14.25" customHeight="1">
      <c r="C33" s="12"/>
      <c r="D33" s="12"/>
      <c r="E33" s="12"/>
      <c r="F33" s="12"/>
    </row>
    <row r="34" spans="1:8" ht="11.25" customHeight="1">
      <c r="A34" s="12" t="s">
        <v>6</v>
      </c>
      <c r="B34" s="12"/>
    </row>
    <row r="35" spans="1:8" ht="11.25" customHeight="1">
      <c r="A35" s="12"/>
      <c r="B35" s="12"/>
      <c r="H35" t="s">
        <v>6</v>
      </c>
    </row>
    <row r="36" spans="1:8" ht="11.25" customHeight="1">
      <c r="A36" s="12"/>
      <c r="B36" s="12"/>
    </row>
    <row r="53" spans="5:5">
      <c r="E53" s="6" t="s">
        <v>6</v>
      </c>
    </row>
  </sheetData>
  <mergeCells count="8">
    <mergeCell ref="A1:F1"/>
    <mergeCell ref="A2:F2"/>
    <mergeCell ref="E32:F32"/>
    <mergeCell ref="A3:F3"/>
    <mergeCell ref="A4:F4"/>
    <mergeCell ref="A6:A7"/>
    <mergeCell ref="B6:E6"/>
    <mergeCell ref="F6:F7"/>
  </mergeCells>
  <phoneticPr fontId="2" type="noConversion"/>
  <pageMargins left="0.70866141732283472" right="0.59055118110236227" top="0.39370078740157483" bottom="0.39370078740157483" header="0.51181102362204722" footer="0.51181102362204722"/>
  <pageSetup scale="80" firstPageNumber="0" orientation="portrait" r:id="rId1"/>
  <headerFooter alignWithMargins="0"/>
  <ignoredErrors>
    <ignoredError sqref="D18:E18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5">
    <tabColor theme="6" tint="-0.249977111117893"/>
  </sheetPr>
  <dimension ref="A1:J91"/>
  <sheetViews>
    <sheetView showGridLines="0" showZeros="0" workbookViewId="0">
      <selection activeCell="R37" sqref="R37"/>
    </sheetView>
  </sheetViews>
  <sheetFormatPr baseColWidth="10" defaultColWidth="11.42578125" defaultRowHeight="12.75"/>
  <cols>
    <col min="1" max="1" width="33" style="6" customWidth="1"/>
    <col min="2" max="2" width="10.7109375" style="6" customWidth="1"/>
    <col min="3" max="3" width="1.7109375" style="6" hidden="1" customWidth="1"/>
    <col min="4" max="4" width="12.7109375" style="6" customWidth="1"/>
    <col min="5" max="5" width="13" style="6" hidden="1" customWidth="1"/>
    <col min="6" max="6" width="13.140625" style="6" customWidth="1"/>
    <col min="7" max="7" width="13.85546875" style="6" hidden="1" customWidth="1"/>
    <col min="8" max="8" width="14.28515625" style="6" customWidth="1"/>
  </cols>
  <sheetData>
    <row r="1" spans="1:9" ht="17.45" customHeight="1">
      <c r="A1" s="597" t="s">
        <v>166</v>
      </c>
      <c r="B1" s="597"/>
      <c r="C1" s="597"/>
      <c r="D1" s="597"/>
      <c r="E1" s="597"/>
      <c r="F1" s="597"/>
      <c r="G1" s="597"/>
      <c r="H1" s="597"/>
    </row>
    <row r="2" spans="1:9" ht="17.45" customHeight="1">
      <c r="A2" s="597" t="s">
        <v>167</v>
      </c>
      <c r="B2" s="597"/>
      <c r="C2" s="597"/>
      <c r="D2" s="597"/>
      <c r="E2" s="597"/>
      <c r="F2" s="597"/>
      <c r="G2" s="597"/>
      <c r="H2" s="597"/>
    </row>
    <row r="3" spans="1:9" ht="18" customHeight="1">
      <c r="A3" s="597" t="s">
        <v>217</v>
      </c>
      <c r="B3" s="597"/>
      <c r="C3" s="597"/>
      <c r="D3" s="597"/>
      <c r="E3" s="597"/>
      <c r="F3" s="597"/>
      <c r="G3" s="597"/>
      <c r="H3" s="597"/>
    </row>
    <row r="4" spans="1:9" ht="18" customHeight="1">
      <c r="A4" s="597" t="s">
        <v>583</v>
      </c>
      <c r="B4" s="597"/>
      <c r="C4" s="597"/>
      <c r="D4" s="597"/>
      <c r="E4" s="597"/>
      <c r="F4" s="597"/>
      <c r="G4" s="597"/>
      <c r="H4" s="597"/>
    </row>
    <row r="5" spans="1:9" ht="3" customHeight="1">
      <c r="A5" s="99"/>
      <c r="B5" s="99"/>
      <c r="C5" s="99"/>
      <c r="D5" s="99"/>
      <c r="E5" s="99"/>
      <c r="F5" s="99"/>
      <c r="G5" s="99"/>
      <c r="H5" s="99"/>
    </row>
    <row r="6" spans="1:9" ht="8.25" customHeight="1">
      <c r="A6" s="99"/>
      <c r="B6" s="99"/>
      <c r="C6" s="99"/>
      <c r="D6" s="3"/>
      <c r="E6" s="3"/>
      <c r="F6" s="3"/>
      <c r="G6" s="3"/>
      <c r="H6" s="45"/>
    </row>
    <row r="7" spans="1:9" ht="20.100000000000001" customHeight="1">
      <c r="A7" s="631" t="s">
        <v>0</v>
      </c>
      <c r="B7" s="633" t="s">
        <v>24</v>
      </c>
      <c r="C7" s="633"/>
      <c r="D7" s="633"/>
      <c r="E7" s="633"/>
      <c r="F7" s="633"/>
      <c r="G7" s="331"/>
      <c r="H7" s="629" t="s">
        <v>597</v>
      </c>
    </row>
    <row r="8" spans="1:9" ht="24" customHeight="1">
      <c r="A8" s="632"/>
      <c r="B8" s="332" t="s">
        <v>58</v>
      </c>
      <c r="C8" s="333" t="s">
        <v>10</v>
      </c>
      <c r="D8" s="328" t="s">
        <v>10</v>
      </c>
      <c r="E8" s="328" t="s">
        <v>2</v>
      </c>
      <c r="F8" s="328" t="s">
        <v>544</v>
      </c>
      <c r="G8" s="334" t="s">
        <v>16</v>
      </c>
      <c r="H8" s="630"/>
    </row>
    <row r="9" spans="1:9" ht="14.25" customHeight="1">
      <c r="A9" s="151"/>
      <c r="B9" s="152"/>
      <c r="C9" s="153"/>
      <c r="D9" s="154"/>
      <c r="E9" s="155"/>
      <c r="F9" s="155"/>
      <c r="G9" s="155"/>
      <c r="H9" s="156"/>
    </row>
    <row r="10" spans="1:9" ht="18" customHeight="1">
      <c r="A10" s="275" t="s">
        <v>17</v>
      </c>
      <c r="B10" s="157"/>
      <c r="C10" s="158"/>
      <c r="D10" s="158"/>
      <c r="E10" s="158"/>
      <c r="F10" s="158"/>
      <c r="G10" s="158"/>
      <c r="H10" s="159"/>
    </row>
    <row r="11" spans="1:9" ht="9" customHeight="1">
      <c r="A11" s="71"/>
      <c r="B11" s="160"/>
      <c r="C11" s="160"/>
      <c r="D11" s="160"/>
      <c r="E11" s="160"/>
      <c r="F11" s="160"/>
      <c r="G11" s="160"/>
      <c r="H11" s="76"/>
    </row>
    <row r="12" spans="1:9" ht="15" customHeight="1">
      <c r="A12" s="71" t="s">
        <v>227</v>
      </c>
      <c r="B12" s="161">
        <f>B15</f>
        <v>124952.71400000001</v>
      </c>
      <c r="C12" s="161" t="e">
        <f>+C15</f>
        <v>#REF!</v>
      </c>
      <c r="D12" s="161">
        <f>+D15</f>
        <v>124952.71400000001</v>
      </c>
      <c r="E12" s="161">
        <f>+E15+E20</f>
        <v>158641.93299999999</v>
      </c>
      <c r="F12" s="161">
        <f>+F15</f>
        <v>121513.24255000001</v>
      </c>
      <c r="G12" s="162">
        <f>+F12-D12</f>
        <v>-3439.4714499999973</v>
      </c>
      <c r="H12" s="74">
        <f>F12/D12*100</f>
        <v>97.247381557474625</v>
      </c>
    </row>
    <row r="13" spans="1:9" ht="10.9" customHeight="1">
      <c r="A13" s="163"/>
      <c r="B13" s="164"/>
      <c r="C13" s="164"/>
      <c r="D13" s="164"/>
      <c r="E13" s="164"/>
      <c r="F13" s="164"/>
      <c r="G13" s="164"/>
      <c r="H13" s="165" t="s">
        <v>6</v>
      </c>
    </row>
    <row r="14" spans="1:9" ht="15" customHeight="1">
      <c r="A14" s="71" t="s">
        <v>40</v>
      </c>
      <c r="B14" s="164"/>
      <c r="C14" s="164"/>
      <c r="D14" s="164"/>
      <c r="E14" s="164"/>
      <c r="F14" s="164"/>
      <c r="G14" s="164"/>
      <c r="H14" s="165" t="s">
        <v>6</v>
      </c>
    </row>
    <row r="15" spans="1:9" ht="15" customHeight="1">
      <c r="A15" s="71" t="s">
        <v>41</v>
      </c>
      <c r="B15" s="161">
        <f>SUM(B16:B19)</f>
        <v>124952.71400000001</v>
      </c>
      <c r="C15" s="161" t="e">
        <f>SUM(C16:C19)</f>
        <v>#REF!</v>
      </c>
      <c r="D15" s="161">
        <f>SUM(D16:D19)</f>
        <v>124952.71400000001</v>
      </c>
      <c r="E15" s="161">
        <f>+E16+E17+E18+E19</f>
        <v>158641.93299999999</v>
      </c>
      <c r="F15" s="161">
        <f>+('BALANCE INGRESO'!G13)/1000</f>
        <v>121513.24255000001</v>
      </c>
      <c r="G15" s="162">
        <f>+F15-D15</f>
        <v>-3439.4714499999973</v>
      </c>
      <c r="H15" s="74">
        <f>F15/D15*100</f>
        <v>97.247381557474625</v>
      </c>
    </row>
    <row r="16" spans="1:9" ht="15" customHeight="1">
      <c r="A16" s="83" t="s">
        <v>42</v>
      </c>
      <c r="B16" s="166">
        <f>+('BALANCE INGRESO'!D15)/1000</f>
        <v>5476.4920000000002</v>
      </c>
      <c r="C16" s="166" t="e">
        <f>+('BALANCE INGRESO'!#REF!)/1000</f>
        <v>#REF!</v>
      </c>
      <c r="D16" s="166">
        <f>+('BALANCE INGRESO'!D15)/1000</f>
        <v>5476.4920000000002</v>
      </c>
      <c r="E16" s="166">
        <f>+('BALANCE INGRESO'!E15)/1000</f>
        <v>5476.4920000000002</v>
      </c>
      <c r="F16" s="166">
        <f>+('BALANCE INGRESO'!G15)/1000</f>
        <v>2558.8491200000003</v>
      </c>
      <c r="G16" s="167">
        <f>+F16-D16</f>
        <v>-2917.6428799999999</v>
      </c>
      <c r="H16" s="82">
        <f>F16/D16*100</f>
        <v>46.72423734025358</v>
      </c>
      <c r="I16" t="s">
        <v>6</v>
      </c>
    </row>
    <row r="17" spans="1:10" ht="15" customHeight="1">
      <c r="A17" s="83" t="s">
        <v>178</v>
      </c>
      <c r="B17" s="166">
        <f>+('BALANCE INGRESO'!D20)/1000</f>
        <v>111724.542</v>
      </c>
      <c r="C17" s="166">
        <f>+('BALANCE INGRESO'!D20)/1000</f>
        <v>111724.542</v>
      </c>
      <c r="D17" s="166">
        <f>+('BALANCE INGRESO'!D20)/1000</f>
        <v>111724.542</v>
      </c>
      <c r="E17" s="166">
        <f>+('BALANCE INGRESO'!E20)/1000</f>
        <v>145413.761</v>
      </c>
      <c r="F17" s="166">
        <f>+('BALANCE INGRESO'!G20)/1000</f>
        <v>111724.542</v>
      </c>
      <c r="G17" s="167">
        <f>+F17-D17</f>
        <v>0</v>
      </c>
      <c r="H17" s="82">
        <f t="shared" ref="H17:H19" si="0">F17/D17*100</f>
        <v>100</v>
      </c>
      <c r="J17" t="s">
        <v>6</v>
      </c>
    </row>
    <row r="18" spans="1:10" ht="15" customHeight="1">
      <c r="A18" s="83" t="s">
        <v>43</v>
      </c>
      <c r="B18" s="166">
        <f>+('BALANCE INGRESO'!D24)/1000</f>
        <v>5251.68</v>
      </c>
      <c r="C18" s="166" t="e">
        <f>+('BALANCE INGRESO'!#REF!)/1000</f>
        <v>#REF!</v>
      </c>
      <c r="D18" s="166">
        <f>+('BALANCE INGRESO'!D24)/1000</f>
        <v>5251.68</v>
      </c>
      <c r="E18" s="166">
        <f>+('BALANCE INGRESO'!E24)/1000</f>
        <v>5251.68</v>
      </c>
      <c r="F18" s="166">
        <f>+('BALANCE INGRESO'!G24)/1000</f>
        <v>6401.7781599999998</v>
      </c>
      <c r="G18" s="167">
        <f>+F18-D18</f>
        <v>1150.0981599999996</v>
      </c>
      <c r="H18" s="82">
        <f t="shared" si="0"/>
        <v>121.89962373945097</v>
      </c>
    </row>
    <row r="19" spans="1:10" ht="15" customHeight="1">
      <c r="A19" s="83" t="s">
        <v>44</v>
      </c>
      <c r="B19" s="166">
        <f>+('BALANCE INGRESO'!D29)/1000</f>
        <v>2500</v>
      </c>
      <c r="C19" s="166" t="e">
        <f>+('BALANCE INGRESO'!#REF!)/1000</f>
        <v>#REF!</v>
      </c>
      <c r="D19" s="166">
        <f>+('BALANCE INGRESO'!D29)/1000</f>
        <v>2500</v>
      </c>
      <c r="E19" s="166">
        <f>+('BALANCE INGRESO'!E29)/1000</f>
        <v>2500</v>
      </c>
      <c r="F19" s="166">
        <f>+('BALANCE INGRESO'!G29)/1000</f>
        <v>828.07327000000009</v>
      </c>
      <c r="G19" s="167">
        <f>+F19-D19</f>
        <v>-1671.9267299999999</v>
      </c>
      <c r="H19" s="82">
        <f t="shared" si="0"/>
        <v>33.122930800000006</v>
      </c>
    </row>
    <row r="20" spans="1:10" ht="15" customHeight="1">
      <c r="A20" s="71" t="s">
        <v>230</v>
      </c>
      <c r="B20" s="166"/>
      <c r="C20" s="166"/>
      <c r="D20" s="161">
        <v>2944.9</v>
      </c>
      <c r="E20" s="161">
        <v>0</v>
      </c>
      <c r="F20" s="161" t="s">
        <v>6</v>
      </c>
      <c r="G20" s="162"/>
      <c r="H20" s="74" t="s">
        <v>6</v>
      </c>
    </row>
    <row r="21" spans="1:10" ht="9" customHeight="1">
      <c r="A21" s="163"/>
      <c r="B21" s="164"/>
      <c r="C21" s="164"/>
      <c r="D21" s="164"/>
      <c r="E21" s="164"/>
      <c r="F21" s="164"/>
      <c r="G21" s="164"/>
      <c r="H21" s="165" t="s">
        <v>6</v>
      </c>
    </row>
    <row r="22" spans="1:10" ht="15" customHeight="1">
      <c r="A22" s="71" t="s">
        <v>231</v>
      </c>
      <c r="B22" s="161">
        <f>SUM(B24:B26)</f>
        <v>75692.164999999994</v>
      </c>
      <c r="C22" s="161" t="e">
        <f>SUM(C24:C26)</f>
        <v>#REF!</v>
      </c>
      <c r="D22" s="161">
        <f>SUM(D24:D26)</f>
        <v>38968.086000000003</v>
      </c>
      <c r="E22" s="161">
        <f>SUM(E24:E26)</f>
        <v>60915.425999999999</v>
      </c>
      <c r="F22" s="161">
        <f>SUM(F24:F26)</f>
        <v>38968.086000000003</v>
      </c>
      <c r="G22" s="162">
        <f>+F22-D22</f>
        <v>0</v>
      </c>
      <c r="H22" s="74">
        <f t="shared" ref="H22:H46" si="1">F22/E22*100</f>
        <v>63.970801090679394</v>
      </c>
    </row>
    <row r="23" spans="1:10" ht="9" customHeight="1">
      <c r="A23" s="163"/>
      <c r="B23" s="164"/>
      <c r="C23" s="164"/>
      <c r="D23" s="164"/>
      <c r="E23" s="164"/>
      <c r="F23" s="164"/>
      <c r="G23" s="168"/>
      <c r="H23" s="165" t="s">
        <v>6</v>
      </c>
    </row>
    <row r="24" spans="1:10" ht="15" customHeight="1">
      <c r="A24" s="83" t="s">
        <v>232</v>
      </c>
      <c r="B24" s="166">
        <f>+('BALANCE INGRESO'!C40)/1000</f>
        <v>2100</v>
      </c>
      <c r="C24" s="166" t="e">
        <f>+('BALANCE INGRESO'!#REF!)/1000</f>
        <v>#REF!</v>
      </c>
      <c r="D24" s="166">
        <f>+('BALANCE INGRESO'!D40)/1000</f>
        <v>2100</v>
      </c>
      <c r="E24" s="166">
        <f>+('BALANCE INGRESO'!E40)/1000</f>
        <v>2100</v>
      </c>
      <c r="F24" s="166">
        <f>+('BALANCE INGRESO'!G40)/1000</f>
        <v>2100</v>
      </c>
      <c r="G24" s="167">
        <f>+F24-D24</f>
        <v>0</v>
      </c>
      <c r="H24" s="82">
        <f>F24/D24*100</f>
        <v>100</v>
      </c>
    </row>
    <row r="25" spans="1:10" ht="15" customHeight="1">
      <c r="A25" s="83" t="s">
        <v>233</v>
      </c>
      <c r="B25" s="166">
        <v>0</v>
      </c>
      <c r="C25" s="166">
        <v>0</v>
      </c>
      <c r="D25" s="166">
        <v>0</v>
      </c>
      <c r="E25" s="166">
        <v>0</v>
      </c>
      <c r="F25" s="166">
        <v>0</v>
      </c>
      <c r="G25" s="167">
        <f>+F25-D25</f>
        <v>0</v>
      </c>
      <c r="H25" s="82" t="s">
        <v>6</v>
      </c>
    </row>
    <row r="26" spans="1:10" ht="15" customHeight="1">
      <c r="A26" s="83" t="s">
        <v>234</v>
      </c>
      <c r="B26" s="161">
        <f>SUM(B27)</f>
        <v>73592.164999999994</v>
      </c>
      <c r="C26" s="161" t="e">
        <f>SUM(C27)</f>
        <v>#REF!</v>
      </c>
      <c r="D26" s="161">
        <f>SUM(D27)</f>
        <v>36868.086000000003</v>
      </c>
      <c r="E26" s="161">
        <f>SUM(E27)</f>
        <v>58815.425999999999</v>
      </c>
      <c r="F26" s="161">
        <f>SUM(F27)</f>
        <v>36868.086000000003</v>
      </c>
      <c r="G26" s="162">
        <f>+F26-D26</f>
        <v>0</v>
      </c>
      <c r="H26" s="74">
        <f t="shared" si="1"/>
        <v>62.684381475023244</v>
      </c>
    </row>
    <row r="27" spans="1:10" ht="15" customHeight="1">
      <c r="A27" s="83" t="s">
        <v>235</v>
      </c>
      <c r="B27" s="166">
        <f>+('BALANCE INGRESO'!C39)/1000</f>
        <v>73592.164999999994</v>
      </c>
      <c r="C27" s="166" t="e">
        <f>+('BALANCE INGRESO'!#REF!)/1000</f>
        <v>#REF!</v>
      </c>
      <c r="D27" s="166">
        <f>+('BALANCE INGRESO'!D39)/1000</f>
        <v>36868.086000000003</v>
      </c>
      <c r="E27" s="166">
        <f>+('BALANCE INGRESO'!E39)/1000</f>
        <v>58815.425999999999</v>
      </c>
      <c r="F27" s="166">
        <f>+('BALANCE INGRESO'!G37)/1000</f>
        <v>36868.086000000003</v>
      </c>
      <c r="G27" s="167">
        <f>+F27-D27</f>
        <v>0</v>
      </c>
      <c r="H27" s="82">
        <f>F27/D27*100</f>
        <v>100</v>
      </c>
    </row>
    <row r="28" spans="1:10" ht="15" customHeight="1">
      <c r="A28" s="83" t="s">
        <v>45</v>
      </c>
      <c r="B28" s="166"/>
      <c r="C28" s="166"/>
      <c r="D28" s="166"/>
      <c r="E28" s="166"/>
      <c r="F28" s="166"/>
      <c r="G28" s="167"/>
      <c r="H28" s="82" t="s">
        <v>6</v>
      </c>
    </row>
    <row r="29" spans="1:10" ht="9" customHeight="1">
      <c r="A29" s="83"/>
      <c r="B29" s="166"/>
      <c r="C29" s="166"/>
      <c r="D29" s="166"/>
      <c r="E29" s="166"/>
      <c r="F29" s="166"/>
      <c r="G29" s="167"/>
      <c r="H29" s="82" t="s">
        <v>6</v>
      </c>
    </row>
    <row r="30" spans="1:10" ht="18" customHeight="1">
      <c r="A30" s="71" t="s">
        <v>46</v>
      </c>
      <c r="B30" s="161">
        <f>+B12+B22</f>
        <v>200644.87900000002</v>
      </c>
      <c r="C30" s="161" t="e">
        <f>+C12+C22</f>
        <v>#REF!</v>
      </c>
      <c r="D30" s="161">
        <f>+D12+D22</f>
        <v>163920.80000000002</v>
      </c>
      <c r="E30" s="161">
        <f>+E12+E22</f>
        <v>219557.359</v>
      </c>
      <c r="F30" s="161">
        <f>+F12+F22</f>
        <v>160481.32855000001</v>
      </c>
      <c r="G30" s="162">
        <f>+F30-D30</f>
        <v>-3439.4714500000118</v>
      </c>
      <c r="H30" s="74">
        <f t="shared" si="1"/>
        <v>73.093122125776716</v>
      </c>
    </row>
    <row r="31" spans="1:10" ht="9" customHeight="1">
      <c r="A31" s="83"/>
      <c r="B31" s="79"/>
      <c r="C31" s="166"/>
      <c r="D31" s="166"/>
      <c r="E31" s="166"/>
      <c r="F31" s="166"/>
      <c r="G31" s="166"/>
      <c r="H31" s="82" t="s">
        <v>6</v>
      </c>
    </row>
    <row r="32" spans="1:10" ht="18" customHeight="1">
      <c r="A32" s="275" t="s">
        <v>18</v>
      </c>
      <c r="B32" s="169"/>
      <c r="C32" s="166"/>
      <c r="D32" s="166"/>
      <c r="E32" s="166"/>
      <c r="F32" s="166"/>
      <c r="G32" s="166"/>
      <c r="H32" s="82" t="s">
        <v>6</v>
      </c>
    </row>
    <row r="33" spans="1:9" ht="9" customHeight="1">
      <c r="A33" s="83"/>
      <c r="B33" s="79"/>
      <c r="C33" s="166"/>
      <c r="D33" s="166"/>
      <c r="E33" s="166"/>
      <c r="F33" s="166"/>
      <c r="G33" s="166"/>
      <c r="H33" s="82" t="s">
        <v>6</v>
      </c>
    </row>
    <row r="34" spans="1:9" ht="15" customHeight="1">
      <c r="A34" s="71" t="s">
        <v>236</v>
      </c>
      <c r="B34" s="161">
        <f>+B36+B43+B44</f>
        <v>158641.93299999999</v>
      </c>
      <c r="C34" s="161" t="e">
        <f>+C36+C43+C44</f>
        <v>#REF!</v>
      </c>
      <c r="D34" s="161">
        <f>+D36+D43+D44</f>
        <v>146093.94774999999</v>
      </c>
      <c r="E34" s="161">
        <f>+E36+E43+E44</f>
        <v>146093.94774999999</v>
      </c>
      <c r="F34" s="161">
        <f>+F36+F43+F44</f>
        <v>121680.94811000001</v>
      </c>
      <c r="G34" s="161">
        <f>+D34-F34</f>
        <v>24412.99963999998</v>
      </c>
      <c r="H34" s="74">
        <f t="shared" si="1"/>
        <v>83.289520191639838</v>
      </c>
    </row>
    <row r="35" spans="1:9" ht="7.15" customHeight="1">
      <c r="A35" s="83"/>
      <c r="B35" s="166"/>
      <c r="C35" s="166"/>
      <c r="D35" s="166"/>
      <c r="E35" s="166"/>
      <c r="F35" s="166"/>
      <c r="G35" s="166"/>
      <c r="H35" s="82" t="s">
        <v>6</v>
      </c>
    </row>
    <row r="36" spans="1:9" ht="18" customHeight="1">
      <c r="A36" s="71" t="s">
        <v>237</v>
      </c>
      <c r="B36" s="161">
        <f>SUM(A37:B41)</f>
        <v>145122.87399999998</v>
      </c>
      <c r="C36" s="161" t="e">
        <f>SUM(C37:C41)</f>
        <v>#REF!</v>
      </c>
      <c r="D36" s="161">
        <f>SUM(D37:D41)</f>
        <v>137813.16605</v>
      </c>
      <c r="E36" s="161">
        <f>SUM(E37:E41)</f>
        <v>137813.16605</v>
      </c>
      <c r="F36" s="161">
        <f>SUM(F37:F41)</f>
        <v>116796.59370000001</v>
      </c>
      <c r="G36" s="161">
        <f t="shared" ref="G36:G41" si="2">+D36-F36</f>
        <v>21016.572349999988</v>
      </c>
      <c r="H36" s="74">
        <f t="shared" si="1"/>
        <v>84.749953177641274</v>
      </c>
      <c r="I36" s="5"/>
    </row>
    <row r="37" spans="1:9" ht="20.25" customHeight="1">
      <c r="A37" s="83" t="s">
        <v>238</v>
      </c>
      <c r="B37" s="166">
        <f>'EJEC GASTOS'!B9/1000</f>
        <v>116348.656</v>
      </c>
      <c r="C37" s="166" t="e">
        <f>(+#REF!)/1000</f>
        <v>#REF!</v>
      </c>
      <c r="D37" s="166">
        <f>'EJEC GASTOS'!C9/1000</f>
        <v>117401.446</v>
      </c>
      <c r="E37" s="166">
        <f>'EJEC GASTOS'!D9/1000</f>
        <v>117401.446</v>
      </c>
      <c r="F37" s="166">
        <f>'EJEC GASTOS'!F9/1000</f>
        <v>104439.50491000002</v>
      </c>
      <c r="G37" s="166">
        <f t="shared" si="2"/>
        <v>12961.941089999978</v>
      </c>
      <c r="H37" s="82">
        <f>F37/D37*100</f>
        <v>88.959300305381262</v>
      </c>
      <c r="I37" s="5"/>
    </row>
    <row r="38" spans="1:9" ht="17.25" customHeight="1">
      <c r="A38" s="83" t="s">
        <v>239</v>
      </c>
      <c r="B38" s="166">
        <f>'EJEC GASTOS'!B36/1000</f>
        <v>18526.745999999999</v>
      </c>
      <c r="C38" s="166" t="e">
        <f>(+#REF!)/1000</f>
        <v>#REF!</v>
      </c>
      <c r="D38" s="166">
        <f>'EJEC GASTOS'!C36/1000</f>
        <v>12422.0332</v>
      </c>
      <c r="E38" s="166">
        <f>'EJEC GASTOS'!D36/1000</f>
        <v>12422.0332</v>
      </c>
      <c r="F38" s="166">
        <f>'EJEC GASTOS'!F36/1000</f>
        <v>7009.1410299999998</v>
      </c>
      <c r="G38" s="166">
        <f t="shared" si="2"/>
        <v>5412.8921700000001</v>
      </c>
      <c r="H38" s="82">
        <f>F38/D38*100</f>
        <v>56.425070816909425</v>
      </c>
      <c r="I38" s="5"/>
    </row>
    <row r="39" spans="1:9" ht="15.75" customHeight="1">
      <c r="A39" s="83" t="s">
        <v>240</v>
      </c>
      <c r="B39" s="166">
        <f>'EJEC GASTOS'!B101/1000</f>
        <v>7743.9030000000002</v>
      </c>
      <c r="C39" s="166" t="e">
        <f>(+#REF!)/1000</f>
        <v>#REF!</v>
      </c>
      <c r="D39" s="166">
        <f>'EJEC GASTOS'!C101/1000</f>
        <v>5800.7222199999997</v>
      </c>
      <c r="E39" s="166">
        <f>'EJEC GASTOS'!D101/1000</f>
        <v>5800.7222199999997</v>
      </c>
      <c r="F39" s="166">
        <f>'EJEC GASTOS'!F101/1000</f>
        <v>3656.4181799999997</v>
      </c>
      <c r="G39" s="166">
        <f t="shared" si="2"/>
        <v>2144.30404</v>
      </c>
      <c r="H39" s="82">
        <f>F39/D39*100</f>
        <v>63.033843740926457</v>
      </c>
      <c r="I39" s="5"/>
    </row>
    <row r="40" spans="1:9" ht="15" customHeight="1">
      <c r="A40" s="83" t="s">
        <v>241</v>
      </c>
      <c r="B40" s="166" t="s">
        <v>6</v>
      </c>
      <c r="C40" s="166" t="e">
        <f>(+#REF!)/1000</f>
        <v>#REF!</v>
      </c>
      <c r="D40" s="166" t="s">
        <v>6</v>
      </c>
      <c r="E40" s="166" t="s">
        <v>6</v>
      </c>
      <c r="F40" s="166" t="s">
        <v>6</v>
      </c>
      <c r="G40" s="166" t="e">
        <f>+D40-F40</f>
        <v>#VALUE!</v>
      </c>
      <c r="H40" s="82" t="s">
        <v>6</v>
      </c>
      <c r="I40" s="5"/>
    </row>
    <row r="41" spans="1:9" ht="17.25" customHeight="1">
      <c r="A41" s="83" t="s">
        <v>484</v>
      </c>
      <c r="B41" s="166">
        <f>'EJEC GASTOS'!B170/1000</f>
        <v>2503.569</v>
      </c>
      <c r="C41" s="166" t="e">
        <f>(+#REF!)/1000</f>
        <v>#REF!</v>
      </c>
      <c r="D41" s="166">
        <f>'EJEC GASTOS'!C170/1000</f>
        <v>2188.9646299999999</v>
      </c>
      <c r="E41" s="166">
        <f>'EJEC GASTOS'!D170/1000</f>
        <v>2188.9646299999999</v>
      </c>
      <c r="F41" s="166">
        <f>'EJEC GASTOS'!F170/1000</f>
        <v>1691.5295800000001</v>
      </c>
      <c r="G41" s="166">
        <f t="shared" si="2"/>
        <v>497.43504999999982</v>
      </c>
      <c r="H41" s="82">
        <f>F41/D41*100</f>
        <v>77.275327194300075</v>
      </c>
      <c r="I41" s="5"/>
    </row>
    <row r="42" spans="1:9" ht="9" customHeight="1">
      <c r="A42" s="83" t="s">
        <v>6</v>
      </c>
      <c r="B42" s="166">
        <v>0</v>
      </c>
      <c r="C42" s="166">
        <v>0</v>
      </c>
      <c r="D42" s="166">
        <v>0</v>
      </c>
      <c r="E42" s="166" t="s">
        <v>6</v>
      </c>
      <c r="F42" s="166" t="s">
        <v>6</v>
      </c>
      <c r="G42" s="166"/>
      <c r="H42" s="82" t="s">
        <v>6</v>
      </c>
    </row>
    <row r="43" spans="1:9" ht="15" customHeight="1">
      <c r="A43" s="71" t="s">
        <v>242</v>
      </c>
      <c r="B43" s="161">
        <f>'EJEC GASTOS'!B175/1000</f>
        <v>13519.058999999999</v>
      </c>
      <c r="C43" s="161" t="e">
        <f>(+#REF!)/1000</f>
        <v>#REF!</v>
      </c>
      <c r="D43" s="161">
        <f>'EJEC GASTOS'!C175/1000</f>
        <v>8280.7816999999995</v>
      </c>
      <c r="E43" s="161">
        <f>'EJEC GASTOS'!D175/1000</f>
        <v>8280.7816999999995</v>
      </c>
      <c r="F43" s="161">
        <f>'EJEC GASTOS'!F175/1000</f>
        <v>4884.3544099999999</v>
      </c>
      <c r="G43" s="161">
        <f>+D43-F43</f>
        <v>3396.4272899999996</v>
      </c>
      <c r="H43" s="74">
        <f>F43/D43*100</f>
        <v>58.984218965704649</v>
      </c>
    </row>
    <row r="44" spans="1:9" ht="15" customHeight="1">
      <c r="A44" s="71" t="s">
        <v>243</v>
      </c>
      <c r="B44" s="79"/>
      <c r="C44" s="166">
        <v>0</v>
      </c>
      <c r="D44" s="166">
        <v>0</v>
      </c>
      <c r="E44" s="166">
        <v>0</v>
      </c>
      <c r="F44" s="166">
        <v>0</v>
      </c>
      <c r="G44" s="166">
        <f>+D44-F44</f>
        <v>0</v>
      </c>
      <c r="H44" s="82" t="s">
        <v>6</v>
      </c>
    </row>
    <row r="45" spans="1:9" ht="8.25" customHeight="1">
      <c r="A45" s="83"/>
      <c r="B45" s="79"/>
      <c r="C45" s="166"/>
      <c r="D45" s="166"/>
      <c r="E45" s="166"/>
      <c r="F45" s="166"/>
      <c r="G45" s="166"/>
      <c r="H45" s="82" t="s">
        <v>6</v>
      </c>
    </row>
    <row r="46" spans="1:9" ht="15" customHeight="1">
      <c r="A46" s="71" t="s">
        <v>244</v>
      </c>
      <c r="B46" s="161">
        <f>SUM(B48)</f>
        <v>75692.164999999994</v>
      </c>
      <c r="C46" s="161" t="e">
        <f>SUM(C48)</f>
        <v>#REF!</v>
      </c>
      <c r="D46" s="161">
        <f>SUM(D48)</f>
        <v>31460.304</v>
      </c>
      <c r="E46" s="161">
        <f>SUM(E48)</f>
        <v>31460.304</v>
      </c>
      <c r="F46" s="161">
        <f>SUM(F48)</f>
        <v>24092.446820000005</v>
      </c>
      <c r="G46" s="161">
        <f>+D46-F46</f>
        <v>7367.8571799999954</v>
      </c>
      <c r="H46" s="74">
        <f t="shared" si="1"/>
        <v>76.5804641302894</v>
      </c>
      <c r="I46" t="s">
        <v>6</v>
      </c>
    </row>
    <row r="47" spans="1:9" ht="7.15" customHeight="1">
      <c r="A47" s="83"/>
      <c r="B47" s="79"/>
      <c r="C47" s="166"/>
      <c r="D47" s="79"/>
      <c r="E47" s="166"/>
      <c r="F47" s="166"/>
      <c r="G47" s="166"/>
      <c r="H47" s="82" t="s">
        <v>6</v>
      </c>
    </row>
    <row r="48" spans="1:9" ht="15" customHeight="1">
      <c r="A48" s="83" t="s">
        <v>245</v>
      </c>
      <c r="B48" s="386">
        <f>+'BALANCE GASTO'!B37/1000</f>
        <v>75692.164999999994</v>
      </c>
      <c r="C48" s="166" t="e">
        <f>+(#REF!)/1000</f>
        <v>#REF!</v>
      </c>
      <c r="D48" s="386">
        <f>+'BALANCE GASTO'!C37/1000</f>
        <v>31460.304</v>
      </c>
      <c r="E48" s="386">
        <f>+'BALANCE GASTO'!D37/1000</f>
        <v>31460.304</v>
      </c>
      <c r="F48" s="386">
        <f>+'BALANCE GASTO'!F37/1000</f>
        <v>24092.446820000005</v>
      </c>
      <c r="G48" s="166">
        <f>+D48-F48</f>
        <v>7367.8571799999954</v>
      </c>
      <c r="H48" s="82">
        <f>F48/D48*100</f>
        <v>76.5804641302894</v>
      </c>
    </row>
    <row r="49" spans="1:8" ht="14.25" customHeight="1">
      <c r="A49" s="83" t="s">
        <v>246</v>
      </c>
      <c r="B49" s="79"/>
      <c r="C49" s="166">
        <v>0</v>
      </c>
      <c r="D49" s="79"/>
      <c r="E49" s="166">
        <v>0</v>
      </c>
      <c r="F49" s="166">
        <v>0</v>
      </c>
      <c r="G49" s="166">
        <f>+D49-F49</f>
        <v>0</v>
      </c>
      <c r="H49" s="82" t="s">
        <v>6</v>
      </c>
    </row>
    <row r="50" spans="1:8" ht="15" customHeight="1">
      <c r="A50" s="83" t="s">
        <v>247</v>
      </c>
      <c r="B50" s="79"/>
      <c r="C50" s="166" t="s">
        <v>6</v>
      </c>
      <c r="D50" s="79"/>
      <c r="E50" s="166" t="s">
        <v>6</v>
      </c>
      <c r="F50" s="166" t="s">
        <v>6</v>
      </c>
      <c r="G50" s="166" t="s">
        <v>6</v>
      </c>
      <c r="H50" s="82" t="s">
        <v>6</v>
      </c>
    </row>
    <row r="51" spans="1:8" ht="15" customHeight="1">
      <c r="A51" s="83" t="s">
        <v>248</v>
      </c>
      <c r="B51" s="79"/>
      <c r="C51" s="166">
        <v>0</v>
      </c>
      <c r="D51" s="79"/>
      <c r="E51" s="166">
        <v>0</v>
      </c>
      <c r="F51" s="166">
        <v>0</v>
      </c>
      <c r="G51" s="166">
        <f>+D51-F51</f>
        <v>0</v>
      </c>
      <c r="H51" s="82" t="s">
        <v>6</v>
      </c>
    </row>
    <row r="52" spans="1:8" ht="8.25" customHeight="1">
      <c r="A52" s="83"/>
      <c r="B52" s="79"/>
      <c r="C52" s="166"/>
      <c r="D52" s="79"/>
      <c r="E52" s="166"/>
      <c r="F52" s="166"/>
      <c r="G52" s="166"/>
      <c r="H52" s="82" t="s">
        <v>6</v>
      </c>
    </row>
    <row r="53" spans="1:8" ht="18" customHeight="1">
      <c r="A53" s="71" t="s">
        <v>47</v>
      </c>
      <c r="B53" s="161">
        <f t="shared" ref="B53:G53" si="3">+B34+B46</f>
        <v>234334.098</v>
      </c>
      <c r="C53" s="161" t="e">
        <f t="shared" si="3"/>
        <v>#REF!</v>
      </c>
      <c r="D53" s="161">
        <f>+D34+D46</f>
        <v>177554.25175</v>
      </c>
      <c r="E53" s="161">
        <f t="shared" si="3"/>
        <v>177554.25175</v>
      </c>
      <c r="F53" s="161">
        <f t="shared" si="3"/>
        <v>145773.39493000001</v>
      </c>
      <c r="G53" s="161">
        <f t="shared" si="3"/>
        <v>31780.856819999975</v>
      </c>
      <c r="H53" s="74">
        <f>F53/D53*100</f>
        <v>82.100762720822885</v>
      </c>
    </row>
    <row r="54" spans="1:8" ht="9" customHeight="1">
      <c r="A54" s="83"/>
      <c r="B54" s="79"/>
      <c r="C54" s="166"/>
      <c r="D54" s="166"/>
      <c r="E54" s="166"/>
      <c r="F54" s="166"/>
      <c r="G54" s="166"/>
      <c r="H54" s="82" t="s">
        <v>6</v>
      </c>
    </row>
    <row r="55" spans="1:8" ht="18.600000000000001" customHeight="1">
      <c r="A55" s="229" t="s">
        <v>19</v>
      </c>
      <c r="B55" s="170"/>
      <c r="C55" s="171" t="s">
        <v>6</v>
      </c>
      <c r="D55" s="171" t="s">
        <v>6</v>
      </c>
      <c r="E55" s="172" t="s">
        <v>6</v>
      </c>
      <c r="F55" s="173">
        <f>F30-F53</f>
        <v>14707.933619999996</v>
      </c>
      <c r="G55" s="172" t="s">
        <v>6</v>
      </c>
      <c r="H55" s="174" t="s">
        <v>6</v>
      </c>
    </row>
    <row r="56" spans="1:8" ht="15" customHeight="1">
      <c r="A56" s="175"/>
      <c r="B56" s="3"/>
      <c r="C56" s="175"/>
      <c r="D56" s="176"/>
      <c r="E56" s="176"/>
      <c r="F56" s="176"/>
      <c r="G56" s="177"/>
      <c r="H56" s="178"/>
    </row>
    <row r="57" spans="1:8" ht="22.5" customHeight="1">
      <c r="A57" s="47"/>
      <c r="B57" s="47"/>
      <c r="C57" s="47"/>
      <c r="D57" s="3"/>
      <c r="E57" s="3" t="s">
        <v>6</v>
      </c>
      <c r="F57" s="3"/>
      <c r="G57" s="46"/>
      <c r="H57" s="45"/>
    </row>
    <row r="58" spans="1:8" ht="15" customHeight="1">
      <c r="A58" t="s">
        <v>6</v>
      </c>
      <c r="B58"/>
      <c r="C58"/>
      <c r="D58"/>
      <c r="E58"/>
      <c r="F58"/>
      <c r="G58" s="46"/>
      <c r="H58" s="45"/>
    </row>
    <row r="59" spans="1:8" ht="15" customHeight="1">
      <c r="A59"/>
      <c r="B59"/>
      <c r="C59"/>
      <c r="D59"/>
      <c r="E59" s="179" t="s">
        <v>6</v>
      </c>
      <c r="F59" s="179"/>
      <c r="G59" s="46"/>
      <c r="H59" s="45"/>
    </row>
    <row r="60" spans="1:8" ht="15" customHeight="1">
      <c r="A60" s="99"/>
      <c r="B60" s="99"/>
      <c r="C60" s="99"/>
      <c r="D60" s="180"/>
      <c r="E60" s="180"/>
      <c r="F60" s="180" t="s">
        <v>6</v>
      </c>
      <c r="G60" s="46"/>
      <c r="H60" s="45"/>
    </row>
    <row r="61" spans="1:8" ht="15" customHeight="1">
      <c r="A61" s="99"/>
      <c r="B61" s="99"/>
      <c r="C61" s="99"/>
      <c r="D61" s="180"/>
      <c r="E61" s="180"/>
      <c r="F61" s="180"/>
      <c r="G61" s="46"/>
      <c r="H61" s="45"/>
    </row>
    <row r="62" spans="1:8" ht="15" customHeight="1">
      <c r="A62" s="99"/>
      <c r="B62" s="99"/>
      <c r="C62" s="99"/>
      <c r="D62" s="180"/>
      <c r="E62" s="180"/>
      <c r="F62" s="180"/>
      <c r="G62" s="46"/>
      <c r="H62" s="45"/>
    </row>
    <row r="63" spans="1:8" ht="15" customHeight="1">
      <c r="A63" s="3"/>
      <c r="B63" s="3"/>
      <c r="C63" s="3"/>
      <c r="D63" s="3"/>
      <c r="E63" s="3"/>
      <c r="F63"/>
      <c r="G63" s="46"/>
      <c r="H63" s="45"/>
    </row>
    <row r="64" spans="1:8" ht="15" customHeight="1">
      <c r="A64" s="3"/>
      <c r="B64" s="3"/>
      <c r="C64" s="3"/>
      <c r="D64" s="3"/>
      <c r="E64" s="3"/>
      <c r="F64"/>
      <c r="G64"/>
      <c r="H64" s="45"/>
    </row>
    <row r="65" spans="1:8" ht="15" customHeight="1">
      <c r="A65" s="3"/>
      <c r="B65" s="3"/>
      <c r="C65" s="3"/>
      <c r="D65"/>
      <c r="E65"/>
      <c r="F65"/>
      <c r="G65"/>
      <c r="H65" s="45"/>
    </row>
    <row r="66" spans="1:8">
      <c r="A66" s="3"/>
      <c r="B66" s="3"/>
      <c r="C66" s="3"/>
      <c r="D66"/>
      <c r="E66"/>
      <c r="F66"/>
      <c r="G66"/>
      <c r="H66" s="45"/>
    </row>
    <row r="67" spans="1:8">
      <c r="A67" s="3"/>
      <c r="B67" s="3"/>
      <c r="C67" s="3"/>
      <c r="D67"/>
      <c r="E67"/>
      <c r="F67"/>
      <c r="G67"/>
      <c r="H67" s="45"/>
    </row>
    <row r="68" spans="1:8">
      <c r="A68" s="3"/>
      <c r="B68" s="3"/>
      <c r="C68" s="3"/>
      <c r="D68"/>
      <c r="E68"/>
      <c r="F68"/>
      <c r="G68"/>
      <c r="H68" s="45"/>
    </row>
    <row r="69" spans="1:8" ht="15">
      <c r="A69" s="3"/>
      <c r="B69" s="3"/>
      <c r="C69" s="3"/>
      <c r="D69" s="66"/>
      <c r="E69" s="66"/>
      <c r="F69" s="66"/>
      <c r="G69" s="101"/>
      <c r="H69" s="45"/>
    </row>
    <row r="70" spans="1:8" ht="15">
      <c r="A70" s="3"/>
      <c r="B70" s="3"/>
      <c r="C70" s="3"/>
      <c r="D70" s="66"/>
      <c r="E70" s="66"/>
      <c r="F70" s="66"/>
      <c r="G70" s="101"/>
      <c r="H70" s="45"/>
    </row>
    <row r="71" spans="1:8">
      <c r="A71" s="3"/>
      <c r="B71" s="3"/>
      <c r="C71" s="3"/>
      <c r="D71"/>
      <c r="E71"/>
      <c r="F71"/>
      <c r="G71"/>
      <c r="H71" s="45"/>
    </row>
    <row r="72" spans="1:8">
      <c r="A72"/>
      <c r="B72"/>
      <c r="C72"/>
      <c r="D72"/>
      <c r="E72"/>
      <c r="F72"/>
      <c r="G72"/>
      <c r="H72" s="45"/>
    </row>
    <row r="73" spans="1:8">
      <c r="A73"/>
      <c r="B73"/>
      <c r="C73"/>
      <c r="D73"/>
      <c r="E73"/>
      <c r="F73"/>
      <c r="G73"/>
      <c r="H73" s="45"/>
    </row>
    <row r="74" spans="1:8">
      <c r="A74"/>
      <c r="B74"/>
      <c r="C74"/>
      <c r="D74"/>
      <c r="E74"/>
      <c r="F74"/>
      <c r="G74"/>
      <c r="H74" s="45"/>
    </row>
    <row r="75" spans="1:8">
      <c r="A75"/>
      <c r="B75"/>
      <c r="C75"/>
      <c r="D75"/>
      <c r="E75"/>
      <c r="F75"/>
      <c r="G75"/>
      <c r="H75" s="45"/>
    </row>
    <row r="76" spans="1:8">
      <c r="A76"/>
      <c r="B76"/>
      <c r="C76"/>
      <c r="D76"/>
      <c r="E76"/>
      <c r="F76"/>
      <c r="G76"/>
      <c r="H76" s="45"/>
    </row>
    <row r="77" spans="1:8">
      <c r="H77" s="14"/>
    </row>
    <row r="78" spans="1:8">
      <c r="H78" s="14"/>
    </row>
    <row r="79" spans="1:8">
      <c r="H79" s="14"/>
    </row>
    <row r="80" spans="1:8">
      <c r="H80" s="14"/>
    </row>
    <row r="81" spans="8:8">
      <c r="H81" s="14"/>
    </row>
    <row r="82" spans="8:8">
      <c r="H82" s="14"/>
    </row>
    <row r="83" spans="8:8">
      <c r="H83" s="14"/>
    </row>
    <row r="84" spans="8:8">
      <c r="H84" s="14"/>
    </row>
    <row r="85" spans="8:8">
      <c r="H85" s="14"/>
    </row>
    <row r="86" spans="8:8">
      <c r="H86" s="14"/>
    </row>
    <row r="87" spans="8:8">
      <c r="H87" s="14"/>
    </row>
    <row r="88" spans="8:8">
      <c r="H88" s="14"/>
    </row>
    <row r="89" spans="8:8">
      <c r="H89" s="14"/>
    </row>
    <row r="90" spans="8:8">
      <c r="H90" s="14"/>
    </row>
    <row r="91" spans="8:8">
      <c r="H91" s="14"/>
    </row>
  </sheetData>
  <mergeCells count="7">
    <mergeCell ref="A1:H1"/>
    <mergeCell ref="A2:H2"/>
    <mergeCell ref="A7:A8"/>
    <mergeCell ref="A3:H3"/>
    <mergeCell ref="A4:H4"/>
    <mergeCell ref="B7:F7"/>
    <mergeCell ref="H7:H8"/>
  </mergeCells>
  <phoneticPr fontId="2" type="noConversion"/>
  <pageMargins left="1.1417322834645669" right="0.86614173228346458" top="0.6692913385826772" bottom="0.59055118110236227" header="0.51181102362204722" footer="0.51181102362204722"/>
  <pageSetup scale="85" firstPageNumber="0" orientation="portrait" r:id="rId1"/>
  <headerFooter alignWithMargins="0"/>
  <ignoredErrors>
    <ignoredError sqref="E12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6">
    <tabColor theme="6" tint="-0.249977111117893"/>
  </sheetPr>
  <dimension ref="A1:Q189"/>
  <sheetViews>
    <sheetView showGridLines="0" showZeros="0" workbookViewId="0">
      <selection activeCell="T39" sqref="T39"/>
    </sheetView>
  </sheetViews>
  <sheetFormatPr baseColWidth="10" defaultColWidth="11.42578125" defaultRowHeight="12.75"/>
  <cols>
    <col min="1" max="1" width="33.7109375" style="6" customWidth="1"/>
    <col min="2" max="2" width="12.42578125" style="6" customWidth="1"/>
    <col min="3" max="3" width="13.28515625" style="6" customWidth="1"/>
    <col min="4" max="4" width="11.28515625" style="6" hidden="1" customWidth="1"/>
    <col min="5" max="5" width="10.42578125" style="6" hidden="1" customWidth="1"/>
    <col min="6" max="7" width="11.42578125" style="6" customWidth="1"/>
    <col min="8" max="8" width="12.7109375" style="6" customWidth="1"/>
    <col min="9" max="9" width="10.28515625" style="6" hidden="1" customWidth="1"/>
    <col min="10" max="10" width="11.28515625" style="6" customWidth="1"/>
    <col min="11" max="11" width="10.85546875" style="6" customWidth="1"/>
    <col min="12" max="12" width="16.7109375" hidden="1" customWidth="1"/>
    <col min="13" max="13" width="13.5703125" customWidth="1"/>
    <col min="14" max="14" width="12.7109375" bestFit="1" customWidth="1"/>
  </cols>
  <sheetData>
    <row r="1" spans="1:14" ht="18" customHeight="1">
      <c r="A1" s="597" t="s">
        <v>286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</row>
    <row r="2" spans="1:14" ht="18" customHeight="1">
      <c r="A2" s="597" t="s">
        <v>167</v>
      </c>
      <c r="B2" s="597"/>
      <c r="C2" s="597"/>
      <c r="D2" s="597"/>
      <c r="E2" s="597"/>
      <c r="F2" s="597"/>
      <c r="G2" s="597"/>
      <c r="H2" s="597"/>
      <c r="I2" s="597"/>
      <c r="J2" s="597"/>
      <c r="K2" s="597"/>
    </row>
    <row r="3" spans="1:14" ht="18" customHeight="1">
      <c r="A3" s="597" t="s">
        <v>221</v>
      </c>
      <c r="B3" s="597"/>
      <c r="C3" s="597"/>
      <c r="D3" s="597"/>
      <c r="E3" s="597"/>
      <c r="F3" s="597"/>
      <c r="G3" s="597"/>
      <c r="H3" s="597"/>
      <c r="I3" s="597"/>
      <c r="J3" s="597"/>
      <c r="K3" s="597"/>
    </row>
    <row r="4" spans="1:14" ht="18" customHeight="1">
      <c r="A4" s="597" t="s">
        <v>582</v>
      </c>
      <c r="B4" s="597"/>
      <c r="C4" s="597"/>
      <c r="D4" s="597"/>
      <c r="E4" s="597"/>
      <c r="F4" s="597"/>
      <c r="G4" s="597"/>
      <c r="H4" s="597"/>
      <c r="I4" s="597"/>
      <c r="J4" s="597"/>
      <c r="K4" s="597"/>
    </row>
    <row r="5" spans="1:14" ht="13.5" thickBot="1">
      <c r="A5" s="3" t="s">
        <v>6</v>
      </c>
      <c r="B5" s="3"/>
      <c r="C5" s="3"/>
      <c r="D5" s="3"/>
      <c r="E5" s="3"/>
      <c r="F5" s="3"/>
      <c r="G5" s="3"/>
      <c r="H5" s="3"/>
      <c r="I5" s="3"/>
      <c r="J5" s="3"/>
      <c r="K5" s="3" t="s">
        <v>6</v>
      </c>
      <c r="L5" t="s">
        <v>6</v>
      </c>
    </row>
    <row r="6" spans="1:14" ht="20.100000000000001" customHeight="1">
      <c r="A6" s="634" t="s">
        <v>0</v>
      </c>
      <c r="B6" s="638" t="s">
        <v>58</v>
      </c>
      <c r="C6" s="639" t="s">
        <v>48</v>
      </c>
      <c r="D6" s="640"/>
      <c r="E6" s="640"/>
      <c r="F6" s="640"/>
      <c r="G6" s="640"/>
      <c r="H6" s="641"/>
      <c r="I6" s="366" t="s">
        <v>594</v>
      </c>
      <c r="J6" s="642" t="s">
        <v>593</v>
      </c>
      <c r="K6" s="636" t="s">
        <v>597</v>
      </c>
      <c r="L6" t="s">
        <v>6</v>
      </c>
    </row>
    <row r="7" spans="1:14" ht="21.75" customHeight="1">
      <c r="A7" s="635"/>
      <c r="B7" s="601"/>
      <c r="C7" s="367" t="s">
        <v>10</v>
      </c>
      <c r="D7" s="367" t="s">
        <v>2</v>
      </c>
      <c r="E7" s="423" t="s">
        <v>28</v>
      </c>
      <c r="F7" s="368" t="s">
        <v>544</v>
      </c>
      <c r="G7" s="369" t="s">
        <v>493</v>
      </c>
      <c r="H7" s="368" t="s">
        <v>155</v>
      </c>
      <c r="I7" s="354" t="s">
        <v>15</v>
      </c>
      <c r="J7" s="643"/>
      <c r="K7" s="637"/>
      <c r="L7" t="s">
        <v>3</v>
      </c>
      <c r="M7" t="s">
        <v>6</v>
      </c>
    </row>
    <row r="8" spans="1:14" ht="7.9" customHeight="1">
      <c r="A8" s="349"/>
      <c r="B8" s="350"/>
      <c r="C8" s="351"/>
      <c r="D8" s="351"/>
      <c r="E8" s="424"/>
      <c r="F8" s="351"/>
      <c r="G8" s="351"/>
      <c r="H8" s="351"/>
      <c r="I8" s="351"/>
      <c r="J8" s="351"/>
      <c r="K8" s="352"/>
    </row>
    <row r="9" spans="1:14" ht="24.75" customHeight="1">
      <c r="A9" s="353" t="s">
        <v>50</v>
      </c>
      <c r="B9" s="370">
        <f>+B11+B35</f>
        <v>234334098</v>
      </c>
      <c r="C9" s="370">
        <f>+C11+C35</f>
        <v>177554251.75</v>
      </c>
      <c r="D9" s="370">
        <f>++D11+D35</f>
        <v>177554251.75</v>
      </c>
      <c r="E9" s="425">
        <f>+E11+E35</f>
        <v>13200065.57</v>
      </c>
      <c r="F9" s="370">
        <f>+F11+F35</f>
        <v>145773394.93000001</v>
      </c>
      <c r="G9" s="370">
        <f>+G11+G35</f>
        <v>126189937.62999998</v>
      </c>
      <c r="H9" s="370">
        <f>++H11+H37</f>
        <v>128304274.37000002</v>
      </c>
      <c r="I9" s="370">
        <f>+D9-F9</f>
        <v>31780856.819999993</v>
      </c>
      <c r="J9" s="370">
        <f>+C9-F9</f>
        <v>31780856.819999993</v>
      </c>
      <c r="K9" s="384">
        <f>+F9/D9*100</f>
        <v>82.100762720822885</v>
      </c>
      <c r="L9">
        <f>84817700.79</f>
        <v>84817700.790000007</v>
      </c>
    </row>
    <row r="10" spans="1:14" ht="11.1" customHeight="1">
      <c r="A10" s="181"/>
      <c r="B10" s="182"/>
      <c r="C10" s="183"/>
      <c r="D10" s="183"/>
      <c r="E10" s="426"/>
      <c r="F10" s="183" t="s">
        <v>6</v>
      </c>
      <c r="G10" s="183"/>
      <c r="H10" s="183" t="s">
        <v>6</v>
      </c>
      <c r="I10" s="183" t="s">
        <v>6</v>
      </c>
      <c r="J10" s="183" t="s">
        <v>6</v>
      </c>
      <c r="K10" s="184" t="s">
        <v>6</v>
      </c>
      <c r="L10" t="s">
        <v>6</v>
      </c>
    </row>
    <row r="11" spans="1:14">
      <c r="A11" s="382" t="s">
        <v>252</v>
      </c>
      <c r="B11" s="373">
        <f>+B13+B20</f>
        <v>158641933</v>
      </c>
      <c r="C11" s="373">
        <f>+C13+C20</f>
        <v>146093947.75</v>
      </c>
      <c r="D11" s="373">
        <f>+D13+D20</f>
        <v>146093947.75</v>
      </c>
      <c r="E11" s="427">
        <f>+E13+E20</f>
        <v>12477499.01</v>
      </c>
      <c r="F11" s="373">
        <f>+F20+F13</f>
        <v>121680948.11</v>
      </c>
      <c r="G11" s="373">
        <f>+G20+G13</f>
        <v>111138097.21999998</v>
      </c>
      <c r="H11" s="373">
        <f>+H20+H13</f>
        <v>116705131.62000002</v>
      </c>
      <c r="I11" s="373">
        <f>+D11-F11</f>
        <v>24412999.640000001</v>
      </c>
      <c r="J11" s="373">
        <f>+B11-F11</f>
        <v>36960984.890000001</v>
      </c>
      <c r="K11" s="374">
        <f>+F11/D11*100</f>
        <v>83.289520191639838</v>
      </c>
      <c r="L11">
        <f>71948551.65-1</f>
        <v>71948550.650000006</v>
      </c>
      <c r="N11" t="s">
        <v>6</v>
      </c>
    </row>
    <row r="12" spans="1:14" ht="10.35" customHeight="1">
      <c r="A12" s="60"/>
      <c r="B12" s="383"/>
      <c r="C12" s="373"/>
      <c r="D12" s="373"/>
      <c r="E12" s="427"/>
      <c r="F12" s="373" t="s">
        <v>6</v>
      </c>
      <c r="G12" s="373"/>
      <c r="H12" s="373"/>
      <c r="I12" s="373"/>
      <c r="J12" s="373" t="s">
        <v>6</v>
      </c>
      <c r="K12" s="374"/>
      <c r="L12" t="s">
        <v>6</v>
      </c>
      <c r="N12" t="s">
        <v>6</v>
      </c>
    </row>
    <row r="13" spans="1:14" ht="18" customHeight="1">
      <c r="A13" s="382" t="s">
        <v>254</v>
      </c>
      <c r="B13" s="373">
        <f t="shared" ref="B13:H13" si="0">SUM(B15:B18)</f>
        <v>145122874</v>
      </c>
      <c r="C13" s="373">
        <f t="shared" si="0"/>
        <v>137813166.05000001</v>
      </c>
      <c r="D13" s="373">
        <f t="shared" si="0"/>
        <v>137813166.05000001</v>
      </c>
      <c r="E13" s="427">
        <f t="shared" si="0"/>
        <v>11108421.6</v>
      </c>
      <c r="F13" s="373">
        <f>SUM(F15:F18)</f>
        <v>116796593.7</v>
      </c>
      <c r="G13" s="373">
        <f>SUM(G15:G18)</f>
        <v>106260281.11999999</v>
      </c>
      <c r="H13" s="373">
        <f t="shared" si="0"/>
        <v>111879231.30000001</v>
      </c>
      <c r="I13" s="373">
        <f>+D13-F13</f>
        <v>21016572.350000009</v>
      </c>
      <c r="J13" s="373">
        <f>+B13-F13</f>
        <v>28326280.299999997</v>
      </c>
      <c r="K13" s="374">
        <f>+F13/D13*100</f>
        <v>84.74995317764126</v>
      </c>
      <c r="L13">
        <v>71049250.590000004</v>
      </c>
      <c r="M13" s="1" t="s">
        <v>6</v>
      </c>
    </row>
    <row r="14" spans="1:14" ht="11.1" customHeight="1">
      <c r="A14" s="60"/>
      <c r="B14" s="182"/>
      <c r="C14" s="183"/>
      <c r="D14" s="183"/>
      <c r="E14" s="426"/>
      <c r="F14" s="183" t="s">
        <v>6</v>
      </c>
      <c r="G14" s="183"/>
      <c r="H14" s="183"/>
      <c r="I14" s="183"/>
      <c r="J14" s="183"/>
      <c r="K14" s="184"/>
      <c r="L14" t="s">
        <v>6</v>
      </c>
    </row>
    <row r="15" spans="1:14" ht="18" customHeight="1">
      <c r="A15" s="377" t="s">
        <v>51</v>
      </c>
      <c r="B15" s="375">
        <f>'EJEC GASTOS'!B9</f>
        <v>116348656</v>
      </c>
      <c r="C15" s="375">
        <f>'EJEC GASTOS'!C9</f>
        <v>117401446</v>
      </c>
      <c r="D15" s="375">
        <f>'EJEC GASTOS'!D9</f>
        <v>117401446</v>
      </c>
      <c r="E15" s="428">
        <f>'EJEC GASTOS'!E9</f>
        <v>11005316.719999999</v>
      </c>
      <c r="F15" s="375">
        <f>'EJEC GASTOS'!F9</f>
        <v>104439504.91000001</v>
      </c>
      <c r="G15" s="375">
        <f>'EJEC GASTOS'!G9</f>
        <v>95586592.590000004</v>
      </c>
      <c r="H15" s="375">
        <f>'EJEC GASTOS'!H9</f>
        <v>103069197.13000001</v>
      </c>
      <c r="I15" s="375">
        <f>+D15-F15</f>
        <v>12961941.089999989</v>
      </c>
      <c r="J15" s="375">
        <f>+C15-F15</f>
        <v>12961941.089999989</v>
      </c>
      <c r="K15" s="376">
        <f>+F15/D15*100</f>
        <v>88.959300305381262</v>
      </c>
      <c r="L15">
        <v>67328817.609999999</v>
      </c>
    </row>
    <row r="16" spans="1:14" ht="18" customHeight="1">
      <c r="A16" s="377" t="s">
        <v>179</v>
      </c>
      <c r="B16" s="375">
        <f>'EJEC GASTOS'!B36</f>
        <v>18526746</v>
      </c>
      <c r="C16" s="375">
        <f>'EJEC GASTOS'!C36</f>
        <v>12422033.199999999</v>
      </c>
      <c r="D16" s="375">
        <f>'EJEC GASTOS'!D36</f>
        <v>12422033.199999999</v>
      </c>
      <c r="E16" s="428">
        <f>'EJEC GASTOS'!E36</f>
        <v>81539.22</v>
      </c>
      <c r="F16" s="375">
        <f>'EJEC GASTOS'!F36</f>
        <v>7009141.0299999993</v>
      </c>
      <c r="G16" s="375">
        <f>'EJEC GASTOS'!G36</f>
        <v>6533561.629999999</v>
      </c>
      <c r="H16" s="375">
        <f>'EJEC GASTOS'!H36</f>
        <v>5081016.9399999985</v>
      </c>
      <c r="I16" s="375">
        <f>+D16-F16</f>
        <v>5412892.1699999999</v>
      </c>
      <c r="J16" s="375">
        <f>+C16-F16</f>
        <v>5412892.1699999999</v>
      </c>
      <c r="K16" s="376">
        <f>+F16/D16*100</f>
        <v>56.425070816909425</v>
      </c>
      <c r="L16">
        <v>2361674.9099999997</v>
      </c>
    </row>
    <row r="17" spans="1:16" ht="18" customHeight="1">
      <c r="A17" s="377" t="s">
        <v>52</v>
      </c>
      <c r="B17" s="375">
        <f>'EJEC GASTOS'!B101</f>
        <v>7743903</v>
      </c>
      <c r="C17" s="375">
        <f>'EJEC GASTOS'!C101</f>
        <v>5800722.2199999997</v>
      </c>
      <c r="D17" s="375">
        <f>'EJEC GASTOS'!D101</f>
        <v>5800722.2199999997</v>
      </c>
      <c r="E17" s="428">
        <f>'EJEC GASTOS'!E101</f>
        <v>21565.66</v>
      </c>
      <c r="F17" s="375">
        <f>'EJEC GASTOS'!F101</f>
        <v>3656418.1799999997</v>
      </c>
      <c r="G17" s="375">
        <f>'EJEC GASTOS'!G101</f>
        <v>2862264.3200000003</v>
      </c>
      <c r="H17" s="375">
        <f>'EJEC GASTOS'!H101</f>
        <v>2470581.33</v>
      </c>
      <c r="I17" s="375">
        <f>'EJEC GASTOS'!J101</f>
        <v>2144304.04</v>
      </c>
      <c r="J17" s="375">
        <f>+C17-F17</f>
        <v>2144304.04</v>
      </c>
      <c r="K17" s="376">
        <f>+F17/D17*100</f>
        <v>63.033843740926457</v>
      </c>
      <c r="L17">
        <v>1178096.594</v>
      </c>
    </row>
    <row r="18" spans="1:16" ht="18.75" customHeight="1">
      <c r="A18" s="377" t="s">
        <v>475</v>
      </c>
      <c r="B18" s="375">
        <f>'EJEC GASTOS'!B170</f>
        <v>2503569</v>
      </c>
      <c r="C18" s="375">
        <f>'EJEC GASTOS'!C170</f>
        <v>2188964.63</v>
      </c>
      <c r="D18" s="375">
        <f>'EJEC GASTOS'!D170</f>
        <v>2188964.63</v>
      </c>
      <c r="E18" s="428">
        <f>'EJEC GASTOS'!E170</f>
        <v>0</v>
      </c>
      <c r="F18" s="375">
        <f>'EJEC GASTOS'!F170</f>
        <v>1691529.58</v>
      </c>
      <c r="G18" s="375">
        <f>'EJEC GASTOS'!G170</f>
        <v>1277862.58</v>
      </c>
      <c r="H18" s="375">
        <f>'EJEC GASTOS'!H170</f>
        <v>1258435.8999999999</v>
      </c>
      <c r="I18" s="375">
        <f>'EJEC GASTOS'!J102</f>
        <v>197463.51</v>
      </c>
      <c r="J18" s="375">
        <f>+C18-F18</f>
        <v>497435.04999999981</v>
      </c>
      <c r="K18" s="376">
        <f>+F18/D18*100</f>
        <v>77.275327194300075</v>
      </c>
      <c r="L18">
        <v>105848.37</v>
      </c>
      <c r="N18" s="19"/>
    </row>
    <row r="19" spans="1:16" ht="9.75" customHeight="1">
      <c r="A19" s="60"/>
      <c r="B19" s="371"/>
      <c r="C19" s="371"/>
      <c r="D19" s="371"/>
      <c r="E19" s="429"/>
      <c r="F19" s="371" t="s">
        <v>6</v>
      </c>
      <c r="G19" s="371"/>
      <c r="H19" s="371"/>
      <c r="I19" s="371"/>
      <c r="J19" s="371"/>
      <c r="K19" s="372" t="s">
        <v>6</v>
      </c>
      <c r="L19" t="s">
        <v>6</v>
      </c>
      <c r="P19" t="s">
        <v>6</v>
      </c>
    </row>
    <row r="20" spans="1:16" ht="18" customHeight="1">
      <c r="A20" s="382" t="s">
        <v>255</v>
      </c>
      <c r="B20" s="373">
        <f>'EJEC GASTOS'!B175</f>
        <v>13519059</v>
      </c>
      <c r="C20" s="373">
        <f>'EJEC GASTOS'!C175</f>
        <v>8280781.7000000002</v>
      </c>
      <c r="D20" s="373">
        <f>'EJEC GASTOS'!D175</f>
        <v>8280781.7000000002</v>
      </c>
      <c r="E20" s="427">
        <f>+E22</f>
        <v>1369077.4100000001</v>
      </c>
      <c r="F20" s="373">
        <f>'EJEC GASTOS'!F175</f>
        <v>4884354.41</v>
      </c>
      <c r="G20" s="373">
        <f>'EJEC GASTOS'!G175</f>
        <v>4877816.1000000006</v>
      </c>
      <c r="H20" s="373">
        <f>'EJEC GASTOS'!H175</f>
        <v>4825900.3200000012</v>
      </c>
      <c r="I20" s="373">
        <f>+D20-F20</f>
        <v>3396427.29</v>
      </c>
      <c r="J20" s="373">
        <f>+C20-F20</f>
        <v>3396427.29</v>
      </c>
      <c r="K20" s="374">
        <f>+F20/D20*100</f>
        <v>58.984218965704649</v>
      </c>
      <c r="L20">
        <v>899301.06000000017</v>
      </c>
    </row>
    <row r="21" spans="1:16" ht="12.75" customHeight="1">
      <c r="A21" s="60" t="s">
        <v>148</v>
      </c>
      <c r="B21" s="371"/>
      <c r="C21" s="371"/>
      <c r="D21" s="371"/>
      <c r="E21" s="429"/>
      <c r="F21" s="371" t="s">
        <v>6</v>
      </c>
      <c r="G21" s="371"/>
      <c r="H21" s="371"/>
      <c r="I21" s="371"/>
      <c r="J21" s="371"/>
      <c r="K21" s="372" t="s">
        <v>6</v>
      </c>
      <c r="L21" t="s">
        <v>6</v>
      </c>
    </row>
    <row r="22" spans="1:16" ht="18" customHeight="1">
      <c r="A22" s="377" t="s">
        <v>543</v>
      </c>
      <c r="B22" s="371">
        <f>SUM(B28)</f>
        <v>13393044</v>
      </c>
      <c r="C22" s="371">
        <f>SUM(C28)</f>
        <v>8111685.2400000002</v>
      </c>
      <c r="D22" s="371">
        <f>SUM(D28)</f>
        <v>8111685.2400000002</v>
      </c>
      <c r="E22" s="429">
        <f>+E28</f>
        <v>1369077.4100000001</v>
      </c>
      <c r="F22" s="371">
        <f>+F28</f>
        <v>4834707.9500000011</v>
      </c>
      <c r="G22" s="371">
        <f>+G28</f>
        <v>4828169.6400000006</v>
      </c>
      <c r="H22" s="371">
        <f>SUM(H28)</f>
        <v>4825000.3200000012</v>
      </c>
      <c r="I22" s="371">
        <f>+D22-F22</f>
        <v>3276977.2899999991</v>
      </c>
      <c r="J22" s="371">
        <f t="shared" ref="J22:J31" si="1">+C22-F22</f>
        <v>3276977.2899999991</v>
      </c>
      <c r="K22" s="372">
        <f>+F22/D22*100</f>
        <v>59.601769631781245</v>
      </c>
      <c r="L22">
        <v>59671.520000000004</v>
      </c>
    </row>
    <row r="23" spans="1:16" ht="12.75" hidden="1" customHeight="1">
      <c r="A23" s="60" t="s">
        <v>53</v>
      </c>
      <c r="B23" s="371"/>
      <c r="C23" s="371" t="s">
        <v>6</v>
      </c>
      <c r="D23" s="371" t="s">
        <v>6</v>
      </c>
      <c r="E23" s="429"/>
      <c r="F23" s="371" t="e">
        <f>+#REF!+L23</f>
        <v>#REF!</v>
      </c>
      <c r="G23" s="375">
        <f>'EJEC GASTOS'!G43</f>
        <v>20410.53</v>
      </c>
      <c r="H23" s="371"/>
      <c r="I23" s="371"/>
      <c r="J23" s="375" t="e">
        <f t="shared" si="1"/>
        <v>#VALUE!</v>
      </c>
      <c r="K23" s="372" t="s">
        <v>6</v>
      </c>
      <c r="L23">
        <v>1231</v>
      </c>
    </row>
    <row r="24" spans="1:16" ht="12.75" hidden="1" customHeight="1">
      <c r="A24" s="60" t="s">
        <v>180</v>
      </c>
      <c r="B24" s="371"/>
      <c r="C24" s="371"/>
      <c r="D24" s="371"/>
      <c r="E24" s="429"/>
      <c r="F24" s="371" t="e">
        <f>+#REF!+L24</f>
        <v>#REF!</v>
      </c>
      <c r="G24" s="375">
        <f>'EJEC GASTOS'!G108</f>
        <v>5816.63</v>
      </c>
      <c r="H24" s="371"/>
      <c r="I24" s="371"/>
      <c r="J24" s="375" t="e">
        <f t="shared" si="1"/>
        <v>#REF!</v>
      </c>
      <c r="K24" s="372" t="s">
        <v>6</v>
      </c>
      <c r="L24">
        <v>1231</v>
      </c>
    </row>
    <row r="25" spans="1:16" ht="12.75" hidden="1" customHeight="1">
      <c r="A25" s="60" t="s">
        <v>181</v>
      </c>
      <c r="B25" s="371"/>
      <c r="C25" s="371"/>
      <c r="D25" s="371"/>
      <c r="E25" s="429"/>
      <c r="F25" s="371" t="e">
        <f>+#REF!+L25</f>
        <v>#REF!</v>
      </c>
      <c r="G25" s="375">
        <f>'EJEC GASTOS'!G177</f>
        <v>45331.44</v>
      </c>
      <c r="H25" s="371"/>
      <c r="I25" s="371"/>
      <c r="J25" s="375" t="e">
        <f t="shared" si="1"/>
        <v>#REF!</v>
      </c>
      <c r="K25" s="372" t="s">
        <v>6</v>
      </c>
      <c r="L25">
        <v>1231</v>
      </c>
    </row>
    <row r="26" spans="1:16" ht="12.75" hidden="1" customHeight="1">
      <c r="A26" s="60" t="s">
        <v>54</v>
      </c>
      <c r="B26" s="371"/>
      <c r="C26" s="371"/>
      <c r="D26" s="371"/>
      <c r="E26" s="429"/>
      <c r="F26" s="371" t="e">
        <f>+#REF!+L26</f>
        <v>#REF!</v>
      </c>
      <c r="G26" s="371"/>
      <c r="H26" s="371"/>
      <c r="I26" s="371"/>
      <c r="J26" s="375" t="e">
        <f t="shared" si="1"/>
        <v>#REF!</v>
      </c>
      <c r="K26" s="372" t="s">
        <v>6</v>
      </c>
      <c r="L26">
        <v>1231</v>
      </c>
    </row>
    <row r="27" spans="1:16" ht="12.75" customHeight="1">
      <c r="A27" s="60"/>
      <c r="B27" s="371"/>
      <c r="C27" s="371"/>
      <c r="D27" s="371"/>
      <c r="E27" s="429"/>
      <c r="F27" s="371"/>
      <c r="G27" s="371"/>
      <c r="H27" s="371"/>
      <c r="I27" s="371"/>
      <c r="J27" s="375">
        <f t="shared" si="1"/>
        <v>0</v>
      </c>
      <c r="K27" s="372"/>
    </row>
    <row r="28" spans="1:16" ht="18" customHeight="1">
      <c r="A28" s="377" t="s">
        <v>250</v>
      </c>
      <c r="B28" s="375">
        <f>'EJEC GASTOS'!B176+'EJEC GASTOS'!B178+'EJEC GASTOS'!B183+'EJEC GASTOS'!B187</f>
        <v>13393044</v>
      </c>
      <c r="C28" s="375">
        <f>'EJEC GASTOS'!C176+'EJEC GASTOS'!C178+'EJEC GASTOS'!C183+'EJEC GASTOS'!C187</f>
        <v>8111685.2400000002</v>
      </c>
      <c r="D28" s="375">
        <f>'EJEC GASTOS'!D176+'EJEC GASTOS'!D178+'EJEC GASTOS'!D183+'EJEC GASTOS'!D187</f>
        <v>8111685.2400000002</v>
      </c>
      <c r="E28" s="428">
        <f>'EJEC GASTOS'!E176+'EJEC GASTOS'!E178+'EJEC GASTOS'!E183</f>
        <v>1369077.4100000001</v>
      </c>
      <c r="F28" s="375">
        <f>'EJEC GASTOS'!F176+'EJEC GASTOS'!F178+'EJEC GASTOS'!F183</f>
        <v>4834707.9500000011</v>
      </c>
      <c r="G28" s="375">
        <f>'EJEC GASTOS'!G176+'EJEC GASTOS'!G178+'EJEC GASTOS'!G183</f>
        <v>4828169.6400000006</v>
      </c>
      <c r="H28" s="375">
        <f>'EJEC GASTOS'!H176+'EJEC GASTOS'!H178+'EJEC GASTOS'!H183</f>
        <v>4825000.3200000012</v>
      </c>
      <c r="I28" s="375">
        <f>+I22</f>
        <v>3276977.2899999991</v>
      </c>
      <c r="J28" s="375">
        <f t="shared" si="1"/>
        <v>3276977.2899999991</v>
      </c>
      <c r="K28" s="376">
        <f>+F28/D28*100</f>
        <v>59.601769631781245</v>
      </c>
      <c r="L28">
        <v>59671.520000000004</v>
      </c>
      <c r="N28" s="1"/>
      <c r="O28" s="1"/>
    </row>
    <row r="29" spans="1:16" ht="18" customHeight="1">
      <c r="A29" s="377" t="s">
        <v>251</v>
      </c>
      <c r="B29" s="375"/>
      <c r="C29" s="375" t="s">
        <v>6</v>
      </c>
      <c r="D29" s="375" t="s">
        <v>6</v>
      </c>
      <c r="E29" s="428"/>
      <c r="F29" s="375" t="s">
        <v>6</v>
      </c>
      <c r="G29" s="375"/>
      <c r="H29" s="375"/>
      <c r="I29" s="375"/>
      <c r="J29" s="375" t="s">
        <v>6</v>
      </c>
      <c r="K29" s="376" t="s">
        <v>6</v>
      </c>
      <c r="L29" t="s">
        <v>6</v>
      </c>
    </row>
    <row r="30" spans="1:16" ht="18" customHeight="1">
      <c r="A30" s="377" t="s">
        <v>488</v>
      </c>
      <c r="B30" s="375"/>
      <c r="C30" s="375" t="s">
        <v>6</v>
      </c>
      <c r="D30" s="375" t="s">
        <v>6</v>
      </c>
      <c r="E30" s="428"/>
      <c r="F30" s="375" t="s">
        <v>6</v>
      </c>
      <c r="G30" s="375"/>
      <c r="H30" s="375"/>
      <c r="I30" s="375"/>
      <c r="J30" s="375" t="s">
        <v>6</v>
      </c>
      <c r="K30" s="376" t="s">
        <v>6</v>
      </c>
      <c r="L30">
        <v>0</v>
      </c>
      <c r="N30" s="1"/>
    </row>
    <row r="31" spans="1:16" ht="18" customHeight="1">
      <c r="A31" s="377" t="s">
        <v>249</v>
      </c>
      <c r="B31" s="375">
        <f>'EJEC GASTOS'!B189</f>
        <v>126015</v>
      </c>
      <c r="C31" s="375">
        <f>'EJEC GASTOS'!C189</f>
        <v>134079.94999999998</v>
      </c>
      <c r="D31" s="375">
        <f>'EJEC GASTOS'!D189</f>
        <v>134079.94999999998</v>
      </c>
      <c r="E31" s="428">
        <f>'EJEC GASTOS'!E189</f>
        <v>0</v>
      </c>
      <c r="F31" s="375">
        <f>'EJEC GASTOS'!F189</f>
        <v>40579.949999999997</v>
      </c>
      <c r="G31" s="375">
        <f>'EJEC GASTOS'!G189</f>
        <v>40579.949999999997</v>
      </c>
      <c r="H31" s="375">
        <f>'EJEC GASTOS'!H189</f>
        <v>900</v>
      </c>
      <c r="I31" s="375">
        <f>+D31-F31</f>
        <v>93499.999999999985</v>
      </c>
      <c r="J31" s="375">
        <f t="shared" si="1"/>
        <v>93499.999999999985</v>
      </c>
      <c r="K31" s="376">
        <f>+F31/D31*100</f>
        <v>30.265487121676287</v>
      </c>
      <c r="L31">
        <v>5963.5599999999995</v>
      </c>
    </row>
    <row r="32" spans="1:16" ht="18" customHeight="1">
      <c r="A32" s="377" t="s">
        <v>567</v>
      </c>
      <c r="B32" s="375"/>
      <c r="C32" s="375">
        <v>45000</v>
      </c>
      <c r="D32" s="375">
        <v>45000</v>
      </c>
      <c r="E32" s="428"/>
      <c r="F32" s="375">
        <f>'EJEC GASTOS'!F194-1</f>
        <v>9065.51</v>
      </c>
      <c r="G32" s="375">
        <f>'EJEC GASTOS'!G194</f>
        <v>9066.51</v>
      </c>
      <c r="H32" s="375"/>
      <c r="I32" s="375">
        <f>+D32-F32</f>
        <v>35934.49</v>
      </c>
      <c r="J32" s="375"/>
      <c r="K32" s="376">
        <f>+F32/D32*100</f>
        <v>20.145577777777778</v>
      </c>
    </row>
    <row r="33" spans="1:17" ht="12.6" customHeight="1">
      <c r="A33" s="60" t="s">
        <v>6</v>
      </c>
      <c r="B33" s="371"/>
      <c r="C33" s="371"/>
      <c r="D33" s="371"/>
      <c r="E33" s="429"/>
      <c r="F33" s="371"/>
      <c r="G33" s="371"/>
      <c r="H33" s="371"/>
      <c r="I33" s="371"/>
      <c r="J33" s="371"/>
      <c r="K33" s="372"/>
    </row>
    <row r="34" spans="1:17" ht="7.9" customHeight="1">
      <c r="A34" s="60" t="s">
        <v>6</v>
      </c>
      <c r="B34" s="371"/>
      <c r="C34" s="371"/>
      <c r="D34" s="371"/>
      <c r="E34" s="429"/>
      <c r="F34" s="371" t="s">
        <v>6</v>
      </c>
      <c r="G34" s="371"/>
      <c r="H34" s="371"/>
      <c r="I34" s="371" t="s">
        <v>6</v>
      </c>
      <c r="J34" s="371" t="s">
        <v>6</v>
      </c>
      <c r="K34" s="372" t="s">
        <v>6</v>
      </c>
      <c r="L34">
        <v>0</v>
      </c>
    </row>
    <row r="35" spans="1:17">
      <c r="A35" s="382" t="s">
        <v>253</v>
      </c>
      <c r="B35" s="373">
        <f>+B37+B43</f>
        <v>75692165</v>
      </c>
      <c r="C35" s="373">
        <f>+C37+C43</f>
        <v>31460304</v>
      </c>
      <c r="D35" s="373">
        <f>+D56+D43+D37</f>
        <v>31460304</v>
      </c>
      <c r="E35" s="427">
        <f>+E37</f>
        <v>722566.56</v>
      </c>
      <c r="F35" s="373">
        <f>+F37</f>
        <v>24092446.820000004</v>
      </c>
      <c r="G35" s="373">
        <f>+G37</f>
        <v>15051840.41</v>
      </c>
      <c r="H35" s="373">
        <f>+H37</f>
        <v>11599142.75</v>
      </c>
      <c r="I35" s="373">
        <f>+D35-F35</f>
        <v>7367857.179999996</v>
      </c>
      <c r="J35" s="373">
        <f>+C35-F35</f>
        <v>7367857.179999996</v>
      </c>
      <c r="K35" s="374">
        <f>+F35/D35*100</f>
        <v>76.5804641302894</v>
      </c>
      <c r="L35">
        <v>12869150.130000001</v>
      </c>
    </row>
    <row r="36" spans="1:17" ht="4.5" customHeight="1">
      <c r="A36" s="60"/>
      <c r="B36" s="373"/>
      <c r="C36" s="373" t="s">
        <v>6</v>
      </c>
      <c r="D36" s="443" t="s">
        <v>6</v>
      </c>
      <c r="E36" s="430"/>
      <c r="F36" s="373" t="s">
        <v>6</v>
      </c>
      <c r="G36" s="373"/>
      <c r="H36" s="6" t="s">
        <v>6</v>
      </c>
      <c r="I36" s="373"/>
      <c r="J36" s="373"/>
      <c r="K36" s="374" t="s">
        <v>6</v>
      </c>
      <c r="L36" t="s">
        <v>6</v>
      </c>
    </row>
    <row r="37" spans="1:17">
      <c r="A37" s="382" t="s">
        <v>256</v>
      </c>
      <c r="B37" s="373">
        <f>+B39+B40+B41</f>
        <v>75692165</v>
      </c>
      <c r="C37" s="373">
        <f>+C39+C40+C41-1</f>
        <v>31460304</v>
      </c>
      <c r="D37" s="373">
        <f>+D39+D40+D41</f>
        <v>31460304</v>
      </c>
      <c r="E37" s="427">
        <f>SUM(E39:E41)</f>
        <v>722566.56</v>
      </c>
      <c r="F37" s="373">
        <f>+F39+F40+F41+1</f>
        <v>24092446.820000004</v>
      </c>
      <c r="G37" s="373">
        <f>SUM(G39:G41)</f>
        <v>15051840.41</v>
      </c>
      <c r="H37" s="373">
        <f>+H39+H40+H41</f>
        <v>11599142.75</v>
      </c>
      <c r="I37" s="373">
        <f>+D37-F37</f>
        <v>7367857.179999996</v>
      </c>
      <c r="J37" s="373">
        <f>+C37-F37</f>
        <v>7367857.179999996</v>
      </c>
      <c r="K37" s="374">
        <f>+F37/D37*100</f>
        <v>76.5804641302894</v>
      </c>
      <c r="L37">
        <v>12869150.130000001</v>
      </c>
      <c r="M37" s="1" t="s">
        <v>6</v>
      </c>
      <c r="N37" t="s">
        <v>6</v>
      </c>
    </row>
    <row r="38" spans="1:17" ht="6" customHeight="1">
      <c r="A38" s="60"/>
      <c r="B38" s="371"/>
      <c r="C38" s="371"/>
      <c r="D38" s="371"/>
      <c r="E38" s="429"/>
      <c r="F38" s="371" t="s">
        <v>6</v>
      </c>
      <c r="G38" s="371"/>
      <c r="H38" s="371"/>
      <c r="I38" s="371" t="s">
        <v>6</v>
      </c>
      <c r="J38" s="371" t="s">
        <v>6</v>
      </c>
      <c r="K38" s="372"/>
      <c r="L38" t="s">
        <v>6</v>
      </c>
    </row>
    <row r="39" spans="1:17">
      <c r="A39" s="377" t="s">
        <v>182</v>
      </c>
      <c r="B39" s="375">
        <f>'[2]C-A8A'!B9</f>
        <v>28748221</v>
      </c>
      <c r="C39" s="375">
        <f>PROYECTOS!E9</f>
        <v>7584480</v>
      </c>
      <c r="D39" s="375">
        <f>PROYECTOS!G9</f>
        <v>7584480</v>
      </c>
      <c r="E39" s="428">
        <f>PROYECTOS!H9</f>
        <v>721837.56</v>
      </c>
      <c r="F39" s="428">
        <f>PROYECTOS!I9</f>
        <v>5217868.6700000009</v>
      </c>
      <c r="G39" s="375">
        <f>PROYECTOS!J9</f>
        <v>2423719</v>
      </c>
      <c r="H39" s="375">
        <f>PROYECTOS!K9</f>
        <v>1617619.67</v>
      </c>
      <c r="I39" s="375">
        <f>+D39-F39</f>
        <v>2366611.3299999991</v>
      </c>
      <c r="J39" s="375">
        <f>+C39-F39</f>
        <v>2366611.3299999991</v>
      </c>
      <c r="K39" s="376">
        <f>+F39/D39*100</f>
        <v>68.796656725312758</v>
      </c>
      <c r="L39" s="26">
        <v>12221531.41</v>
      </c>
      <c r="N39" s="1"/>
      <c r="O39" s="1"/>
      <c r="Q39" s="16"/>
    </row>
    <row r="40" spans="1:17">
      <c r="A40" s="377" t="s">
        <v>189</v>
      </c>
      <c r="B40" s="375">
        <f>'[2]C-A8A'!B19</f>
        <v>25866664</v>
      </c>
      <c r="C40" s="375">
        <f>PROYECTOS!E19</f>
        <v>15272542</v>
      </c>
      <c r="D40" s="375">
        <f>PROYECTOS!G19</f>
        <v>15272542</v>
      </c>
      <c r="E40" s="428">
        <f>PROYECTOS!H19</f>
        <v>729</v>
      </c>
      <c r="F40" s="375">
        <f>PROYECTOS!I19</f>
        <v>12959776.600000001</v>
      </c>
      <c r="G40" s="375">
        <f>PROYECTOS!J19</f>
        <v>8652205.8599999994</v>
      </c>
      <c r="H40" s="375">
        <f>PROYECTOS!K19</f>
        <v>6771282.1600000001</v>
      </c>
      <c r="I40" s="375">
        <f>+D40-F40</f>
        <v>2312765.3999999985</v>
      </c>
      <c r="J40" s="375">
        <f>+C40-F40</f>
        <v>2312765.3999999985</v>
      </c>
      <c r="K40" s="376">
        <f>+F40/D40*100</f>
        <v>84.856709511749912</v>
      </c>
      <c r="L40" s="26">
        <v>647618.71999999986</v>
      </c>
      <c r="N40" s="1"/>
      <c r="O40" s="1"/>
      <c r="Q40" s="16"/>
    </row>
    <row r="41" spans="1:17">
      <c r="A41" s="377" t="s">
        <v>190</v>
      </c>
      <c r="B41" s="375">
        <f>'[2]C-A8A'!B41</f>
        <v>21077280</v>
      </c>
      <c r="C41" s="375">
        <f>PROYECTOS!E41</f>
        <v>8603283</v>
      </c>
      <c r="D41" s="375">
        <f>PROYECTOS!G41</f>
        <v>8603282</v>
      </c>
      <c r="E41" s="428">
        <f>PROYECTOS!H41</f>
        <v>0</v>
      </c>
      <c r="F41" s="375">
        <f>PROYECTOS!I41</f>
        <v>5914800.5500000007</v>
      </c>
      <c r="G41" s="375">
        <f>PROYECTOS!J41</f>
        <v>3975915.55</v>
      </c>
      <c r="H41" s="375">
        <f>PROYECTOS!K41</f>
        <v>3210240.92</v>
      </c>
      <c r="I41" s="375">
        <f>+D41-F41</f>
        <v>2688481.4499999993</v>
      </c>
      <c r="J41" s="375">
        <f>+C41-F41</f>
        <v>2688482.4499999993</v>
      </c>
      <c r="K41" s="376">
        <f>+F41/D41*100</f>
        <v>68.750513466837432</v>
      </c>
      <c r="L41" s="26">
        <v>0</v>
      </c>
      <c r="N41" s="1"/>
      <c r="O41" s="1"/>
    </row>
    <row r="42" spans="1:17" ht="7.5" customHeight="1">
      <c r="A42" s="60"/>
      <c r="B42" s="371"/>
      <c r="C42" s="371"/>
      <c r="D42" s="371"/>
      <c r="E42" s="429"/>
      <c r="F42" s="371" t="s">
        <v>6</v>
      </c>
      <c r="G42" s="371"/>
      <c r="H42" s="371"/>
      <c r="I42" s="371" t="s">
        <v>6</v>
      </c>
      <c r="J42" s="371" t="s">
        <v>6</v>
      </c>
      <c r="K42" s="372" t="s">
        <v>6</v>
      </c>
      <c r="L42" t="s">
        <v>6</v>
      </c>
    </row>
    <row r="43" spans="1:17">
      <c r="A43" s="382" t="s">
        <v>257</v>
      </c>
      <c r="B43" s="371"/>
      <c r="C43" s="371">
        <v>0</v>
      </c>
      <c r="D43" s="371">
        <v>0</v>
      </c>
      <c r="E43" s="429"/>
      <c r="F43" s="371" t="s">
        <v>6</v>
      </c>
      <c r="G43" s="371"/>
      <c r="H43" s="371">
        <v>0</v>
      </c>
      <c r="I43" s="371" t="s">
        <v>6</v>
      </c>
      <c r="J43" s="371" t="s">
        <v>6</v>
      </c>
      <c r="K43" s="372" t="s">
        <v>6</v>
      </c>
      <c r="L43" t="s">
        <v>6</v>
      </c>
    </row>
    <row r="44" spans="1:17" ht="9" customHeight="1">
      <c r="A44" s="377"/>
      <c r="B44" s="371"/>
      <c r="C44" s="371"/>
      <c r="D44" s="371"/>
      <c r="E44" s="429"/>
      <c r="F44" s="371" t="s">
        <v>6</v>
      </c>
      <c r="G44" s="371"/>
      <c r="H44" s="371" t="s">
        <v>6</v>
      </c>
      <c r="I44" s="371" t="s">
        <v>6</v>
      </c>
      <c r="J44" s="371" t="s">
        <v>6</v>
      </c>
      <c r="K44" s="372" t="s">
        <v>6</v>
      </c>
      <c r="L44" t="s">
        <v>6</v>
      </c>
    </row>
    <row r="45" spans="1:17">
      <c r="A45" s="377" t="s">
        <v>183</v>
      </c>
      <c r="B45" s="371"/>
      <c r="C45" s="371"/>
      <c r="D45" s="371"/>
      <c r="E45" s="429"/>
      <c r="F45" s="371" t="s">
        <v>6</v>
      </c>
      <c r="G45" s="371"/>
      <c r="H45" s="371"/>
      <c r="I45" s="371" t="s">
        <v>6</v>
      </c>
      <c r="J45" s="371" t="s">
        <v>6</v>
      </c>
      <c r="K45" s="372" t="s">
        <v>6</v>
      </c>
      <c r="L45" t="s">
        <v>6</v>
      </c>
    </row>
    <row r="46" spans="1:17">
      <c r="A46" s="377" t="s">
        <v>184</v>
      </c>
      <c r="B46" s="371"/>
      <c r="C46" s="371"/>
      <c r="D46" s="371"/>
      <c r="E46" s="429"/>
      <c r="F46" s="371" t="s">
        <v>6</v>
      </c>
      <c r="G46" s="371"/>
      <c r="H46" s="371"/>
      <c r="I46" s="371" t="s">
        <v>6</v>
      </c>
      <c r="J46" s="371" t="s">
        <v>6</v>
      </c>
      <c r="K46" s="372" t="s">
        <v>6</v>
      </c>
      <c r="L46" t="s">
        <v>6</v>
      </c>
    </row>
    <row r="47" spans="1:17">
      <c r="A47" s="377" t="s">
        <v>185</v>
      </c>
      <c r="B47" s="371"/>
      <c r="C47" s="371"/>
      <c r="D47" s="371"/>
      <c r="E47" s="429"/>
      <c r="F47" s="371" t="s">
        <v>6</v>
      </c>
      <c r="G47" s="371"/>
      <c r="H47" s="371"/>
      <c r="I47" s="371" t="s">
        <v>6</v>
      </c>
      <c r="J47" s="371" t="s">
        <v>6</v>
      </c>
      <c r="K47" s="372" t="s">
        <v>6</v>
      </c>
      <c r="L47" t="s">
        <v>6</v>
      </c>
    </row>
    <row r="48" spans="1:17">
      <c r="A48" s="377" t="s">
        <v>186</v>
      </c>
      <c r="B48" s="371"/>
      <c r="C48" s="371" t="s">
        <v>6</v>
      </c>
      <c r="D48" s="371" t="s">
        <v>6</v>
      </c>
      <c r="E48" s="429"/>
      <c r="F48" s="371" t="s">
        <v>6</v>
      </c>
      <c r="G48" s="371"/>
      <c r="H48" s="371"/>
      <c r="I48" s="371" t="s">
        <v>6</v>
      </c>
      <c r="J48" s="371" t="s">
        <v>6</v>
      </c>
      <c r="K48" s="372" t="s">
        <v>6</v>
      </c>
      <c r="L48" t="s">
        <v>6</v>
      </c>
    </row>
    <row r="49" spans="1:12">
      <c r="A49" s="377" t="s">
        <v>187</v>
      </c>
      <c r="B49" s="371"/>
      <c r="C49" s="371" t="s">
        <v>6</v>
      </c>
      <c r="D49" s="371" t="s">
        <v>6</v>
      </c>
      <c r="E49" s="429"/>
      <c r="F49" s="371" t="s">
        <v>6</v>
      </c>
      <c r="G49" s="371"/>
      <c r="H49" s="371"/>
      <c r="I49" s="371" t="s">
        <v>30</v>
      </c>
      <c r="J49" s="371" t="s">
        <v>6</v>
      </c>
      <c r="K49" s="372" t="s">
        <v>6</v>
      </c>
      <c r="L49" t="s">
        <v>6</v>
      </c>
    </row>
    <row r="50" spans="1:12" ht="6.75" customHeight="1">
      <c r="A50" s="60"/>
      <c r="B50" s="183"/>
      <c r="C50" s="183"/>
      <c r="D50" s="183"/>
      <c r="E50" s="426"/>
      <c r="F50" s="183" t="s">
        <v>6</v>
      </c>
      <c r="G50" s="183"/>
      <c r="H50" s="183"/>
      <c r="I50" s="183" t="s">
        <v>6</v>
      </c>
      <c r="J50" s="183" t="s">
        <v>6</v>
      </c>
      <c r="K50" s="184" t="s">
        <v>6</v>
      </c>
      <c r="L50" t="s">
        <v>6</v>
      </c>
    </row>
    <row r="51" spans="1:12" ht="13.5">
      <c r="A51" s="382" t="s">
        <v>258</v>
      </c>
      <c r="B51" s="183"/>
      <c r="C51" s="183">
        <v>0</v>
      </c>
      <c r="D51" s="183">
        <v>0</v>
      </c>
      <c r="E51" s="426"/>
      <c r="F51" s="183" t="s">
        <v>6</v>
      </c>
      <c r="G51" s="183"/>
      <c r="H51" s="183">
        <v>0</v>
      </c>
      <c r="I51" s="183" t="s">
        <v>30</v>
      </c>
      <c r="J51" s="183" t="s">
        <v>6</v>
      </c>
      <c r="K51" s="184" t="s">
        <v>6</v>
      </c>
      <c r="L51" t="s">
        <v>6</v>
      </c>
    </row>
    <row r="52" spans="1:12" ht="7.5" customHeight="1">
      <c r="A52" s="60"/>
      <c r="B52" s="183"/>
      <c r="C52" s="183" t="s">
        <v>6</v>
      </c>
      <c r="D52" s="183"/>
      <c r="E52" s="426"/>
      <c r="F52" s="183" t="s">
        <v>6</v>
      </c>
      <c r="G52" s="183"/>
      <c r="H52" s="183"/>
      <c r="I52" s="183" t="s">
        <v>6</v>
      </c>
      <c r="J52" s="183" t="s">
        <v>6</v>
      </c>
      <c r="K52" s="184" t="s">
        <v>6</v>
      </c>
      <c r="L52" t="s">
        <v>6</v>
      </c>
    </row>
    <row r="53" spans="1:12" ht="13.5">
      <c r="A53" s="377" t="s">
        <v>55</v>
      </c>
      <c r="B53" s="183"/>
      <c r="C53" s="183" t="s">
        <v>6</v>
      </c>
      <c r="D53" s="183"/>
      <c r="E53" s="426"/>
      <c r="F53" s="183" t="s">
        <v>6</v>
      </c>
      <c r="G53" s="183"/>
      <c r="H53" s="183"/>
      <c r="I53" s="183" t="s">
        <v>6</v>
      </c>
      <c r="J53" s="183" t="s">
        <v>6</v>
      </c>
      <c r="K53" s="184" t="s">
        <v>6</v>
      </c>
      <c r="L53" t="s">
        <v>6</v>
      </c>
    </row>
    <row r="54" spans="1:12" ht="13.5">
      <c r="A54" s="377" t="s">
        <v>188</v>
      </c>
      <c r="B54" s="183"/>
      <c r="C54" s="183" t="s">
        <v>6</v>
      </c>
      <c r="D54" s="183"/>
      <c r="E54" s="426"/>
      <c r="F54" s="183" t="s">
        <v>6</v>
      </c>
      <c r="G54" s="183"/>
      <c r="H54" s="183"/>
      <c r="I54" s="183" t="s">
        <v>6</v>
      </c>
      <c r="J54" s="183" t="s">
        <v>6</v>
      </c>
      <c r="K54" s="184" t="s">
        <v>6</v>
      </c>
      <c r="L54" t="s">
        <v>6</v>
      </c>
    </row>
    <row r="55" spans="1:12" ht="4.5" customHeight="1">
      <c r="A55" s="378"/>
      <c r="B55" s="185"/>
      <c r="C55" s="186"/>
      <c r="D55" s="186"/>
      <c r="E55" s="431"/>
      <c r="F55" s="186" t="s">
        <v>6</v>
      </c>
      <c r="G55" s="186"/>
      <c r="H55" s="186"/>
      <c r="I55" s="186" t="s">
        <v>6</v>
      </c>
      <c r="J55" s="186" t="s">
        <v>6</v>
      </c>
      <c r="K55" s="187" t="s">
        <v>6</v>
      </c>
      <c r="L55" t="s">
        <v>6</v>
      </c>
    </row>
    <row r="56" spans="1:12" ht="15" hidden="1">
      <c r="A56" s="379" t="s">
        <v>541</v>
      </c>
      <c r="B56" s="188"/>
      <c r="C56" s="59">
        <f>SUM(C57)</f>
        <v>0</v>
      </c>
      <c r="D56" s="59">
        <f>SUM(D57)</f>
        <v>0</v>
      </c>
      <c r="E56" s="432"/>
      <c r="F56" s="59" t="e">
        <f>+#REF!+L55</f>
        <v>#REF!</v>
      </c>
      <c r="G56" s="59"/>
      <c r="H56" s="59">
        <f>SUM(H57)</f>
        <v>32083</v>
      </c>
      <c r="I56" s="59" t="e">
        <f>+D56-F56</f>
        <v>#REF!</v>
      </c>
      <c r="J56" s="59" t="e">
        <f>+C56-F56</f>
        <v>#REF!</v>
      </c>
      <c r="K56" s="189" t="e">
        <f>+F56/D56*100</f>
        <v>#REF!</v>
      </c>
    </row>
    <row r="57" spans="1:12" ht="12.75" hidden="1" customHeight="1">
      <c r="A57" s="377" t="s">
        <v>56</v>
      </c>
      <c r="B57" s="190"/>
      <c r="C57" s="61">
        <v>0</v>
      </c>
      <c r="D57" s="61">
        <v>0</v>
      </c>
      <c r="E57" s="433"/>
      <c r="F57" s="59" t="e">
        <f>+#REF!+L56</f>
        <v>#REF!</v>
      </c>
      <c r="G57" s="59"/>
      <c r="H57" s="61">
        <v>32083</v>
      </c>
      <c r="I57" s="59" t="e">
        <f>+D57-F57</f>
        <v>#REF!</v>
      </c>
      <c r="J57" s="59" t="e">
        <f>+C57-F57</f>
        <v>#REF!</v>
      </c>
      <c r="K57" s="65" t="e">
        <f>+F57/D57*100</f>
        <v>#REF!</v>
      </c>
    </row>
    <row r="58" spans="1:12" ht="14.25" hidden="1">
      <c r="A58" s="380" t="s">
        <v>57</v>
      </c>
      <c r="B58" s="191"/>
      <c r="C58" s="61">
        <v>0</v>
      </c>
      <c r="D58" s="61">
        <v>0</v>
      </c>
      <c r="E58" s="433"/>
      <c r="F58" s="59" t="e">
        <f>+#REF!+L57</f>
        <v>#REF!</v>
      </c>
      <c r="G58" s="59"/>
      <c r="H58" s="61"/>
      <c r="I58" s="61"/>
      <c r="J58" s="59" t="e">
        <f>+C58-F58</f>
        <v>#REF!</v>
      </c>
      <c r="K58" s="65"/>
    </row>
    <row r="59" spans="1:12" ht="6" customHeight="1" thickBot="1">
      <c r="A59" s="381"/>
      <c r="B59" s="192"/>
      <c r="C59" s="193"/>
      <c r="D59" s="193"/>
      <c r="E59" s="434"/>
      <c r="F59" s="194" t="s">
        <v>6</v>
      </c>
      <c r="G59" s="194"/>
      <c r="H59" s="193"/>
      <c r="I59" s="193"/>
      <c r="J59" s="194" t="s">
        <v>6</v>
      </c>
      <c r="K59" s="195"/>
    </row>
    <row r="60" spans="1:12" ht="15.75">
      <c r="A60" s="99"/>
      <c r="B60" s="99"/>
      <c r="C60" s="39"/>
      <c r="D60" s="39"/>
      <c r="E60" s="39"/>
      <c r="F60" s="39"/>
      <c r="G60" s="39"/>
      <c r="H60" s="39"/>
      <c r="I60" s="39"/>
      <c r="J60" s="39"/>
      <c r="K60" s="196"/>
    </row>
    <row r="61" spans="1:12">
      <c r="A61" s="12" t="s">
        <v>30</v>
      </c>
      <c r="B61" s="12"/>
      <c r="C61" s="15"/>
      <c r="D61" s="15"/>
      <c r="E61" s="15"/>
      <c r="F61" s="13"/>
      <c r="G61" s="13"/>
      <c r="H61" s="13"/>
      <c r="I61" s="13"/>
      <c r="J61" s="13"/>
      <c r="K61" s="14"/>
    </row>
    <row r="62" spans="1:12">
      <c r="A62" s="12" t="s">
        <v>6</v>
      </c>
      <c r="B62" s="12"/>
      <c r="C62" s="15"/>
      <c r="D62" s="15"/>
      <c r="E62" s="15"/>
      <c r="F62" s="13"/>
      <c r="G62" s="13"/>
      <c r="H62" s="13"/>
      <c r="I62" s="13"/>
      <c r="J62" s="13"/>
      <c r="K62" s="14"/>
    </row>
    <row r="63" spans="1:12">
      <c r="A63" s="12" t="s">
        <v>6</v>
      </c>
      <c r="B63" s="12"/>
      <c r="C63" s="15"/>
      <c r="D63" s="15"/>
      <c r="E63" s="15"/>
      <c r="F63" s="13"/>
      <c r="G63" s="13"/>
      <c r="H63" s="13"/>
      <c r="I63" s="13"/>
      <c r="J63" s="13"/>
      <c r="K63" s="14"/>
    </row>
    <row r="64" spans="1:12">
      <c r="A64" s="12" t="s">
        <v>6</v>
      </c>
      <c r="B64" s="12"/>
      <c r="C64" s="11"/>
      <c r="D64" s="11"/>
      <c r="E64" s="11"/>
      <c r="F64" s="11"/>
      <c r="G64" s="11"/>
      <c r="H64" s="11"/>
      <c r="I64" s="11"/>
      <c r="J64" s="11"/>
      <c r="K64" s="14"/>
    </row>
    <row r="65" spans="1:11">
      <c r="A65" s="12" t="s">
        <v>6</v>
      </c>
      <c r="B65" s="12"/>
      <c r="C65" s="11"/>
      <c r="D65" s="11"/>
      <c r="E65" s="11"/>
      <c r="F65" s="11"/>
      <c r="G65" s="11"/>
      <c r="H65" s="11"/>
      <c r="I65" s="11"/>
      <c r="J65" s="11"/>
      <c r="K65" s="14"/>
    </row>
    <row r="66" spans="1:11">
      <c r="A66" s="12" t="s">
        <v>6</v>
      </c>
      <c r="B66" s="12"/>
      <c r="C66" s="11"/>
      <c r="D66" s="11"/>
      <c r="E66" s="11"/>
      <c r="F66" s="11"/>
      <c r="G66" s="11"/>
      <c r="H66" s="11"/>
      <c r="I66" s="11"/>
      <c r="J66" s="11"/>
      <c r="K66" s="14"/>
    </row>
    <row r="67" spans="1:11">
      <c r="A67" s="12" t="s">
        <v>6</v>
      </c>
      <c r="B67" s="12"/>
      <c r="C67" s="11"/>
      <c r="D67" s="11"/>
      <c r="E67" s="11"/>
      <c r="F67" s="11"/>
      <c r="G67" s="11"/>
      <c r="H67" s="11"/>
      <c r="I67" s="11"/>
      <c r="J67" s="11"/>
      <c r="K67" s="14"/>
    </row>
    <row r="68" spans="1:11">
      <c r="A68" s="12" t="s">
        <v>6</v>
      </c>
      <c r="B68" s="12"/>
      <c r="C68" s="11"/>
      <c r="D68" s="11"/>
      <c r="E68" s="11"/>
      <c r="F68" s="11"/>
      <c r="G68" s="11"/>
      <c r="H68" s="11"/>
      <c r="I68" s="11"/>
      <c r="J68" s="11"/>
      <c r="K68" s="14"/>
    </row>
    <row r="69" spans="1:11">
      <c r="A69" s="12" t="s">
        <v>6</v>
      </c>
      <c r="B69" s="12"/>
      <c r="C69" s="11"/>
      <c r="D69" s="11"/>
      <c r="E69" s="11"/>
      <c r="F69" s="11"/>
      <c r="G69" s="11"/>
      <c r="H69" s="11"/>
      <c r="I69" s="11"/>
      <c r="J69" s="11"/>
      <c r="K69" s="14"/>
    </row>
    <row r="70" spans="1:11" ht="74.25" customHeight="1">
      <c r="A70" s="12" t="s">
        <v>6</v>
      </c>
      <c r="B70" s="12"/>
      <c r="C70" s="11"/>
      <c r="D70" s="11"/>
      <c r="E70" s="11"/>
      <c r="F70" s="11"/>
      <c r="G70" s="11"/>
      <c r="H70" s="11"/>
      <c r="I70" s="11"/>
      <c r="J70" s="11"/>
      <c r="K70" s="14"/>
    </row>
    <row r="71" spans="1:11">
      <c r="A71" s="6" t="s">
        <v>6</v>
      </c>
      <c r="C71" s="11"/>
      <c r="D71" s="11"/>
      <c r="E71" s="11"/>
      <c r="F71" s="11"/>
      <c r="G71" s="11"/>
      <c r="H71" s="11"/>
      <c r="I71" s="11"/>
      <c r="J71" s="11"/>
      <c r="K71" s="14"/>
    </row>
    <row r="72" spans="1:11">
      <c r="C72" s="11"/>
      <c r="D72" s="11"/>
      <c r="E72" s="11"/>
      <c r="F72" s="11"/>
      <c r="G72" s="11"/>
      <c r="H72" s="11"/>
      <c r="I72" s="11"/>
      <c r="J72" s="11"/>
      <c r="K72" s="14"/>
    </row>
    <row r="73" spans="1:11">
      <c r="A73" s="6" t="s">
        <v>6</v>
      </c>
      <c r="C73" s="11"/>
      <c r="D73" s="11"/>
      <c r="E73" s="11"/>
      <c r="F73" s="11"/>
      <c r="G73" s="11"/>
      <c r="H73" s="11"/>
      <c r="I73" s="11"/>
      <c r="J73" s="11"/>
      <c r="K73" s="14"/>
    </row>
    <row r="74" spans="1:11">
      <c r="A74" s="6" t="s">
        <v>6</v>
      </c>
      <c r="C74" s="11"/>
      <c r="D74" s="11"/>
      <c r="E74" s="11"/>
      <c r="F74" s="11"/>
      <c r="G74" s="11"/>
      <c r="H74" s="11"/>
      <c r="I74" s="11"/>
      <c r="J74" s="11"/>
      <c r="K74" s="14"/>
    </row>
    <row r="75" spans="1:11">
      <c r="C75" s="11"/>
      <c r="D75" s="11"/>
      <c r="E75" s="11"/>
      <c r="F75" s="11"/>
      <c r="G75" s="11"/>
      <c r="H75" s="11"/>
      <c r="I75" s="11"/>
      <c r="J75" s="11"/>
      <c r="K75" s="14"/>
    </row>
    <row r="76" spans="1:11">
      <c r="C76" s="11"/>
      <c r="D76" s="11"/>
      <c r="E76" s="11"/>
      <c r="F76" s="11"/>
      <c r="G76" s="11"/>
      <c r="H76" s="11"/>
      <c r="I76" s="11"/>
      <c r="J76" s="11"/>
      <c r="K76" s="14"/>
    </row>
    <row r="77" spans="1:11">
      <c r="C77" s="11"/>
      <c r="D77" s="11"/>
      <c r="E77" s="11"/>
      <c r="F77" s="11"/>
      <c r="G77" s="11"/>
      <c r="H77" s="11"/>
      <c r="I77" s="11"/>
      <c r="J77" s="11"/>
      <c r="K77" s="14"/>
    </row>
    <row r="78" spans="1:11">
      <c r="C78" s="11"/>
      <c r="D78" s="11"/>
      <c r="E78" s="11"/>
      <c r="F78" s="11"/>
      <c r="G78" s="11"/>
      <c r="H78" s="11"/>
      <c r="I78" s="11"/>
      <c r="J78" s="11"/>
      <c r="K78" s="14"/>
    </row>
    <row r="79" spans="1:11">
      <c r="C79" s="11"/>
      <c r="D79" s="11"/>
      <c r="E79" s="11"/>
      <c r="F79" s="11"/>
      <c r="G79" s="11"/>
      <c r="H79" s="11"/>
      <c r="I79" s="11"/>
      <c r="J79" s="11"/>
      <c r="K79" s="14"/>
    </row>
    <row r="80" spans="1:11">
      <c r="C80" s="11"/>
      <c r="D80" s="11"/>
      <c r="E80" s="11"/>
      <c r="F80" s="11"/>
      <c r="G80" s="11"/>
      <c r="H80" s="11"/>
      <c r="I80" s="11"/>
      <c r="J80" s="11"/>
      <c r="K80" s="14"/>
    </row>
    <row r="81" spans="3:11">
      <c r="C81" s="11"/>
      <c r="D81" s="11"/>
      <c r="E81" s="11"/>
      <c r="F81" s="11"/>
      <c r="G81" s="11"/>
      <c r="H81" s="11"/>
      <c r="I81" s="11"/>
      <c r="J81" s="11"/>
      <c r="K81" s="14"/>
    </row>
    <row r="82" spans="3:11">
      <c r="C82" s="11"/>
      <c r="D82" s="11"/>
      <c r="E82" s="11"/>
      <c r="F82" s="11"/>
      <c r="G82" s="11"/>
      <c r="H82" s="11"/>
      <c r="I82" s="11"/>
      <c r="J82" s="11"/>
      <c r="K82" s="14"/>
    </row>
    <row r="83" spans="3:11">
      <c r="C83" s="11"/>
      <c r="D83" s="11"/>
      <c r="E83" s="11"/>
      <c r="F83" s="11"/>
      <c r="G83" s="11"/>
      <c r="H83" s="11"/>
      <c r="I83" s="11"/>
      <c r="J83" s="11"/>
      <c r="K83" s="14"/>
    </row>
    <row r="84" spans="3:11">
      <c r="C84" s="11"/>
      <c r="D84" s="11"/>
      <c r="E84" s="11"/>
      <c r="F84" s="11"/>
      <c r="G84" s="11"/>
      <c r="H84" s="11"/>
      <c r="I84" s="11"/>
      <c r="J84" s="11"/>
      <c r="K84" s="14"/>
    </row>
    <row r="85" spans="3:11">
      <c r="C85" s="11"/>
      <c r="D85" s="11"/>
      <c r="E85" s="11"/>
      <c r="F85" s="11"/>
      <c r="G85" s="11"/>
      <c r="H85" s="11"/>
      <c r="I85" s="11"/>
      <c r="J85" s="11"/>
      <c r="K85" s="14"/>
    </row>
    <row r="86" spans="3:11">
      <c r="C86" s="11"/>
      <c r="D86" s="11"/>
      <c r="E86" s="11"/>
      <c r="F86" s="11"/>
      <c r="G86" s="11"/>
      <c r="H86" s="11"/>
      <c r="I86" s="11"/>
      <c r="J86" s="11"/>
      <c r="K86" s="14"/>
    </row>
    <row r="87" spans="3:11">
      <c r="C87" s="11"/>
      <c r="D87" s="11"/>
      <c r="E87" s="11"/>
      <c r="F87" s="11"/>
      <c r="G87" s="11"/>
      <c r="H87" s="11"/>
      <c r="I87" s="11"/>
      <c r="J87" s="11"/>
      <c r="K87" s="14"/>
    </row>
    <row r="88" spans="3:11">
      <c r="C88" s="11"/>
      <c r="D88" s="11"/>
      <c r="E88" s="11"/>
      <c r="F88" s="11"/>
      <c r="G88" s="11"/>
      <c r="H88" s="11"/>
      <c r="I88" s="11"/>
      <c r="J88" s="11"/>
      <c r="K88" s="14"/>
    </row>
    <row r="89" spans="3:11">
      <c r="C89" s="11"/>
      <c r="D89" s="11"/>
      <c r="E89" s="11"/>
      <c r="F89" s="11"/>
      <c r="G89" s="11"/>
      <c r="H89" s="11"/>
      <c r="I89" s="11"/>
      <c r="J89" s="11"/>
      <c r="K89" s="14"/>
    </row>
    <row r="90" spans="3:11">
      <c r="C90" s="11"/>
      <c r="D90" s="11"/>
      <c r="E90" s="11"/>
      <c r="F90" s="11"/>
      <c r="G90" s="11"/>
      <c r="H90" s="11"/>
      <c r="I90" s="11"/>
      <c r="J90" s="11"/>
      <c r="K90" s="14"/>
    </row>
    <row r="91" spans="3:11">
      <c r="C91" s="11"/>
      <c r="D91" s="11"/>
      <c r="E91" s="11"/>
      <c r="F91" s="11"/>
      <c r="G91" s="11"/>
      <c r="H91" s="11"/>
      <c r="I91" s="11"/>
      <c r="J91" s="11"/>
      <c r="K91" s="14"/>
    </row>
    <row r="92" spans="3:11">
      <c r="C92" s="11"/>
      <c r="D92" s="11"/>
      <c r="E92" s="11"/>
      <c r="F92" s="11"/>
      <c r="G92" s="11"/>
      <c r="H92" s="11"/>
      <c r="I92" s="11"/>
      <c r="J92" s="11"/>
      <c r="K92" s="14"/>
    </row>
    <row r="93" spans="3:11">
      <c r="C93" s="11"/>
      <c r="D93" s="11"/>
      <c r="E93" s="11"/>
      <c r="F93" s="11"/>
      <c r="G93" s="11"/>
      <c r="H93" s="11"/>
      <c r="I93" s="11"/>
      <c r="J93" s="11"/>
      <c r="K93" s="14"/>
    </row>
    <row r="94" spans="3:11">
      <c r="C94" s="11"/>
      <c r="D94" s="11"/>
      <c r="E94" s="11"/>
      <c r="F94" s="11"/>
      <c r="G94" s="11"/>
      <c r="H94" s="11"/>
      <c r="I94" s="11"/>
      <c r="J94" s="11"/>
      <c r="K94" s="14"/>
    </row>
    <row r="95" spans="3:11">
      <c r="C95" s="11"/>
      <c r="D95" s="11"/>
      <c r="E95" s="11"/>
      <c r="F95" s="11"/>
      <c r="G95" s="11"/>
      <c r="H95" s="11"/>
      <c r="I95" s="11"/>
      <c r="J95" s="11"/>
      <c r="K95" s="14"/>
    </row>
    <row r="96" spans="3:11">
      <c r="C96" s="11"/>
      <c r="D96" s="11"/>
      <c r="E96" s="11"/>
      <c r="F96" s="11"/>
      <c r="G96" s="11"/>
      <c r="H96" s="11"/>
      <c r="I96" s="11"/>
      <c r="J96" s="11"/>
      <c r="K96" s="14"/>
    </row>
    <row r="97" spans="3:11">
      <c r="C97" s="11"/>
      <c r="D97" s="11"/>
      <c r="E97" s="11"/>
      <c r="F97" s="11"/>
      <c r="G97" s="11"/>
      <c r="H97" s="11"/>
      <c r="I97" s="11"/>
      <c r="J97" s="11"/>
      <c r="K97" s="14"/>
    </row>
    <row r="98" spans="3:11">
      <c r="C98" s="11"/>
      <c r="D98" s="11"/>
      <c r="E98" s="11"/>
      <c r="F98" s="11"/>
      <c r="G98" s="11"/>
      <c r="H98" s="11"/>
      <c r="I98" s="11"/>
      <c r="J98" s="11"/>
      <c r="K98" s="14"/>
    </row>
    <row r="99" spans="3:11">
      <c r="C99" s="11"/>
      <c r="D99" s="11"/>
      <c r="E99" s="11"/>
      <c r="F99" s="11"/>
      <c r="G99" s="11"/>
      <c r="H99" s="11"/>
      <c r="I99" s="11"/>
      <c r="J99" s="11"/>
      <c r="K99" s="14"/>
    </row>
    <row r="100" spans="3:11">
      <c r="C100" s="11"/>
      <c r="D100" s="11"/>
      <c r="E100" s="11"/>
      <c r="F100" s="11"/>
      <c r="G100" s="11"/>
      <c r="H100" s="11"/>
      <c r="I100" s="11"/>
      <c r="J100" s="11"/>
      <c r="K100" s="14"/>
    </row>
    <row r="101" spans="3:11">
      <c r="C101" s="11"/>
      <c r="D101" s="11"/>
      <c r="E101" s="11"/>
      <c r="F101" s="11"/>
      <c r="G101" s="11"/>
      <c r="H101" s="11"/>
      <c r="I101" s="11"/>
      <c r="J101" s="11"/>
      <c r="K101" s="14"/>
    </row>
    <row r="102" spans="3:11">
      <c r="C102" s="11"/>
      <c r="D102" s="11"/>
      <c r="E102" s="11"/>
      <c r="F102" s="11"/>
      <c r="G102" s="11"/>
      <c r="H102" s="11"/>
      <c r="I102" s="11"/>
      <c r="J102" s="11"/>
      <c r="K102" s="14"/>
    </row>
    <row r="103" spans="3:11">
      <c r="C103" s="11"/>
      <c r="D103" s="11"/>
      <c r="E103" s="11"/>
      <c r="F103" s="11"/>
      <c r="G103" s="11"/>
      <c r="H103" s="11"/>
      <c r="I103" s="11"/>
      <c r="J103" s="11"/>
      <c r="K103" s="14"/>
    </row>
    <row r="104" spans="3:11">
      <c r="C104" s="11"/>
      <c r="D104" s="11"/>
      <c r="E104" s="11"/>
      <c r="F104" s="11"/>
      <c r="G104" s="11"/>
      <c r="H104" s="11"/>
      <c r="I104" s="11"/>
      <c r="J104" s="11"/>
      <c r="K104" s="14"/>
    </row>
    <row r="105" spans="3:11">
      <c r="C105" s="11"/>
      <c r="D105" s="11"/>
      <c r="E105" s="11"/>
      <c r="F105" s="11"/>
      <c r="G105" s="11"/>
      <c r="H105" s="11"/>
      <c r="I105" s="11"/>
      <c r="J105" s="11"/>
      <c r="K105" s="14"/>
    </row>
    <row r="106" spans="3:11">
      <c r="C106" s="11"/>
      <c r="D106" s="11"/>
      <c r="E106" s="11"/>
      <c r="F106" s="11"/>
      <c r="G106" s="11"/>
      <c r="H106" s="11"/>
      <c r="I106" s="11"/>
      <c r="J106" s="11"/>
      <c r="K106" s="14"/>
    </row>
    <row r="107" spans="3:11">
      <c r="C107" s="11"/>
      <c r="D107" s="11"/>
      <c r="E107" s="11"/>
      <c r="F107" s="11"/>
      <c r="G107" s="11"/>
      <c r="H107" s="11"/>
      <c r="I107" s="11"/>
      <c r="J107" s="11"/>
      <c r="K107" s="14"/>
    </row>
    <row r="108" spans="3:11">
      <c r="C108" s="11"/>
      <c r="D108" s="11"/>
      <c r="E108" s="11"/>
      <c r="F108" s="11"/>
      <c r="G108" s="11"/>
      <c r="H108" s="11"/>
      <c r="I108" s="11"/>
      <c r="J108" s="11"/>
      <c r="K108" s="14"/>
    </row>
    <row r="109" spans="3:11">
      <c r="C109" s="11"/>
      <c r="D109" s="11"/>
      <c r="E109" s="11"/>
      <c r="F109" s="11"/>
      <c r="G109" s="11"/>
      <c r="H109" s="11"/>
      <c r="I109" s="11"/>
      <c r="J109" s="11"/>
      <c r="K109" s="14"/>
    </row>
    <row r="110" spans="3:11">
      <c r="C110" s="11"/>
      <c r="D110" s="11"/>
      <c r="E110" s="11"/>
      <c r="F110" s="11"/>
      <c r="G110" s="11"/>
      <c r="H110" s="11"/>
      <c r="I110" s="11"/>
      <c r="J110" s="11"/>
      <c r="K110" s="14"/>
    </row>
    <row r="111" spans="3:11">
      <c r="C111" s="11"/>
      <c r="D111" s="11"/>
      <c r="E111" s="11"/>
      <c r="F111" s="11"/>
      <c r="G111" s="11"/>
      <c r="H111" s="11"/>
      <c r="I111" s="11"/>
      <c r="J111" s="11"/>
      <c r="K111" s="14"/>
    </row>
    <row r="112" spans="3:11">
      <c r="C112" s="11"/>
      <c r="D112" s="11"/>
      <c r="E112" s="11"/>
      <c r="F112" s="11"/>
      <c r="G112" s="11"/>
      <c r="H112" s="11"/>
      <c r="I112" s="11"/>
      <c r="J112" s="11"/>
      <c r="K112" s="14"/>
    </row>
    <row r="113" spans="3:11">
      <c r="C113" s="11"/>
      <c r="D113" s="11"/>
      <c r="E113" s="11"/>
      <c r="F113" s="11"/>
      <c r="G113" s="11"/>
      <c r="H113" s="11"/>
      <c r="I113" s="11"/>
      <c r="J113" s="11"/>
      <c r="K113" s="14"/>
    </row>
    <row r="114" spans="3:11">
      <c r="C114" s="11"/>
      <c r="D114" s="11"/>
      <c r="E114" s="11"/>
      <c r="F114" s="11"/>
      <c r="G114" s="11"/>
      <c r="H114" s="11"/>
      <c r="I114" s="11"/>
      <c r="J114" s="11"/>
      <c r="K114" s="14"/>
    </row>
    <row r="115" spans="3:11">
      <c r="C115" s="11"/>
      <c r="D115" s="11"/>
      <c r="E115" s="11"/>
      <c r="F115" s="11"/>
      <c r="G115" s="11"/>
      <c r="H115" s="11"/>
      <c r="I115" s="11"/>
      <c r="J115" s="11"/>
      <c r="K115" s="14"/>
    </row>
    <row r="116" spans="3:11">
      <c r="C116" s="11"/>
      <c r="D116" s="11"/>
      <c r="E116" s="11"/>
      <c r="F116" s="11"/>
      <c r="G116" s="11"/>
      <c r="H116" s="11"/>
      <c r="I116" s="11"/>
      <c r="J116" s="11"/>
      <c r="K116" s="14"/>
    </row>
    <row r="117" spans="3:11">
      <c r="C117" s="11"/>
      <c r="D117" s="11"/>
      <c r="E117" s="11"/>
      <c r="F117" s="11"/>
      <c r="G117" s="11"/>
      <c r="H117" s="11"/>
      <c r="I117" s="11"/>
      <c r="J117" s="11"/>
      <c r="K117" s="14"/>
    </row>
    <row r="118" spans="3:11">
      <c r="C118" s="11"/>
      <c r="D118" s="11"/>
      <c r="E118" s="11"/>
      <c r="F118" s="11"/>
      <c r="G118" s="11"/>
      <c r="H118" s="11"/>
      <c r="I118" s="11"/>
      <c r="J118" s="11"/>
      <c r="K118" s="14"/>
    </row>
    <row r="119" spans="3:11">
      <c r="C119" s="11"/>
      <c r="D119" s="11"/>
      <c r="E119" s="11"/>
      <c r="F119" s="11"/>
      <c r="G119" s="11"/>
      <c r="H119" s="11"/>
      <c r="I119" s="11"/>
      <c r="J119" s="11"/>
      <c r="K119" s="14"/>
    </row>
    <row r="120" spans="3:11">
      <c r="C120" s="11"/>
      <c r="D120" s="11"/>
      <c r="E120" s="11"/>
      <c r="F120" s="11"/>
      <c r="G120" s="11"/>
      <c r="H120" s="11"/>
      <c r="I120" s="11"/>
      <c r="J120" s="11"/>
      <c r="K120" s="14"/>
    </row>
    <row r="121" spans="3:11">
      <c r="C121" s="11"/>
      <c r="D121" s="11"/>
      <c r="E121" s="11"/>
      <c r="F121" s="11"/>
      <c r="G121" s="11"/>
      <c r="H121" s="11"/>
      <c r="I121" s="11"/>
      <c r="J121" s="11"/>
      <c r="K121" s="14"/>
    </row>
    <row r="122" spans="3:11">
      <c r="C122" s="11"/>
      <c r="D122" s="11"/>
      <c r="E122" s="11"/>
      <c r="F122" s="11"/>
      <c r="G122" s="11"/>
      <c r="H122" s="11"/>
      <c r="I122" s="11"/>
      <c r="J122" s="11"/>
      <c r="K122" s="14"/>
    </row>
    <row r="123" spans="3:11">
      <c r="C123" s="11"/>
      <c r="D123" s="11"/>
      <c r="E123" s="11"/>
      <c r="F123" s="11"/>
      <c r="G123" s="11"/>
      <c r="H123" s="11"/>
      <c r="I123" s="11"/>
      <c r="J123" s="11"/>
      <c r="K123" s="14"/>
    </row>
    <row r="124" spans="3:11">
      <c r="C124" s="11"/>
      <c r="D124" s="11"/>
      <c r="E124" s="11"/>
      <c r="F124" s="11"/>
      <c r="G124" s="11"/>
      <c r="H124" s="11"/>
      <c r="I124" s="11"/>
      <c r="J124" s="11"/>
      <c r="K124" s="14"/>
    </row>
    <row r="125" spans="3:11">
      <c r="C125" s="11"/>
      <c r="D125" s="11"/>
      <c r="E125" s="11"/>
      <c r="F125" s="11"/>
      <c r="G125" s="11"/>
      <c r="H125" s="11"/>
      <c r="I125" s="11"/>
      <c r="J125" s="11"/>
      <c r="K125" s="14"/>
    </row>
    <row r="126" spans="3:11">
      <c r="C126" s="11"/>
      <c r="D126" s="11"/>
      <c r="E126" s="11"/>
      <c r="F126" s="11"/>
      <c r="G126" s="11"/>
      <c r="H126" s="11"/>
      <c r="I126" s="11"/>
      <c r="J126" s="11"/>
      <c r="K126" s="14"/>
    </row>
    <row r="127" spans="3:11">
      <c r="C127" s="11"/>
      <c r="D127" s="11"/>
      <c r="E127" s="11"/>
      <c r="F127" s="11"/>
      <c r="G127" s="11"/>
      <c r="H127" s="11"/>
      <c r="I127" s="11"/>
      <c r="J127" s="11"/>
      <c r="K127" s="14"/>
    </row>
    <row r="128" spans="3:11">
      <c r="C128" s="11"/>
      <c r="D128" s="11"/>
      <c r="E128" s="11"/>
      <c r="F128" s="11"/>
      <c r="G128" s="11"/>
      <c r="H128" s="11"/>
      <c r="I128" s="11"/>
      <c r="J128" s="11"/>
      <c r="K128" s="14"/>
    </row>
    <row r="129" spans="3:11">
      <c r="C129" s="11"/>
      <c r="D129" s="11"/>
      <c r="E129" s="11"/>
      <c r="F129" s="11"/>
      <c r="G129" s="11"/>
      <c r="H129" s="11"/>
      <c r="I129" s="11"/>
      <c r="J129" s="11"/>
      <c r="K129" s="14"/>
    </row>
    <row r="130" spans="3:11">
      <c r="K130" s="14"/>
    </row>
    <row r="131" spans="3:11">
      <c r="K131" s="14"/>
    </row>
    <row r="132" spans="3:11">
      <c r="K132" s="14"/>
    </row>
    <row r="133" spans="3:11">
      <c r="K133" s="14"/>
    </row>
    <row r="134" spans="3:11">
      <c r="K134" s="14"/>
    </row>
    <row r="135" spans="3:11">
      <c r="K135" s="14"/>
    </row>
    <row r="136" spans="3:11">
      <c r="K136" s="14"/>
    </row>
    <row r="137" spans="3:11">
      <c r="K137" s="14"/>
    </row>
    <row r="138" spans="3:11">
      <c r="K138" s="14"/>
    </row>
    <row r="139" spans="3:11">
      <c r="K139" s="14"/>
    </row>
    <row r="140" spans="3:11">
      <c r="K140" s="14"/>
    </row>
    <row r="141" spans="3:11">
      <c r="K141" s="14"/>
    </row>
    <row r="142" spans="3:11">
      <c r="K142" s="14"/>
    </row>
    <row r="143" spans="3:11">
      <c r="K143" s="14"/>
    </row>
    <row r="144" spans="3:11">
      <c r="K144" s="14"/>
    </row>
    <row r="145" spans="11:11">
      <c r="K145" s="14"/>
    </row>
    <row r="146" spans="11:11">
      <c r="K146" s="14"/>
    </row>
    <row r="147" spans="11:11">
      <c r="K147" s="14"/>
    </row>
    <row r="148" spans="11:11">
      <c r="K148" s="14"/>
    </row>
    <row r="149" spans="11:11">
      <c r="K149" s="14"/>
    </row>
    <row r="150" spans="11:11">
      <c r="K150" s="14"/>
    </row>
    <row r="151" spans="11:11">
      <c r="K151" s="14"/>
    </row>
    <row r="152" spans="11:11">
      <c r="K152" s="14"/>
    </row>
    <row r="153" spans="11:11">
      <c r="K153" s="14"/>
    </row>
    <row r="154" spans="11:11">
      <c r="K154" s="14"/>
    </row>
    <row r="155" spans="11:11">
      <c r="K155" s="14"/>
    </row>
    <row r="156" spans="11:11">
      <c r="K156" s="14"/>
    </row>
    <row r="157" spans="11:11">
      <c r="K157" s="14"/>
    </row>
    <row r="158" spans="11:11">
      <c r="K158" s="14"/>
    </row>
    <row r="159" spans="11:11">
      <c r="K159" s="14"/>
    </row>
    <row r="160" spans="11:11">
      <c r="K160" s="14"/>
    </row>
    <row r="161" spans="11:11">
      <c r="K161" s="14"/>
    </row>
    <row r="162" spans="11:11">
      <c r="K162" s="14"/>
    </row>
    <row r="163" spans="11:11">
      <c r="K163" s="14"/>
    </row>
    <row r="164" spans="11:11">
      <c r="K164" s="14"/>
    </row>
    <row r="165" spans="11:11">
      <c r="K165" s="14"/>
    </row>
    <row r="166" spans="11:11">
      <c r="K166" s="14"/>
    </row>
    <row r="167" spans="11:11">
      <c r="K167" s="14"/>
    </row>
    <row r="168" spans="11:11">
      <c r="K168" s="14"/>
    </row>
    <row r="169" spans="11:11">
      <c r="K169" s="14"/>
    </row>
    <row r="170" spans="11:11">
      <c r="K170" s="14"/>
    </row>
    <row r="171" spans="11:11">
      <c r="K171" s="14"/>
    </row>
    <row r="172" spans="11:11">
      <c r="K172" s="14"/>
    </row>
    <row r="173" spans="11:11">
      <c r="K173" s="14"/>
    </row>
    <row r="174" spans="11:11">
      <c r="K174" s="14"/>
    </row>
    <row r="175" spans="11:11">
      <c r="K175" s="14"/>
    </row>
    <row r="176" spans="11:11">
      <c r="K176" s="14"/>
    </row>
    <row r="177" spans="11:11">
      <c r="K177" s="14"/>
    </row>
    <row r="178" spans="11:11">
      <c r="K178" s="14"/>
    </row>
    <row r="179" spans="11:11">
      <c r="K179" s="14"/>
    </row>
    <row r="180" spans="11:11">
      <c r="K180" s="14"/>
    </row>
    <row r="181" spans="11:11">
      <c r="K181" s="14"/>
    </row>
    <row r="182" spans="11:11">
      <c r="K182" s="14"/>
    </row>
    <row r="183" spans="11:11">
      <c r="K183" s="14"/>
    </row>
    <row r="184" spans="11:11">
      <c r="K184" s="14"/>
    </row>
    <row r="185" spans="11:11">
      <c r="K185" s="14"/>
    </row>
    <row r="186" spans="11:11">
      <c r="K186" s="14"/>
    </row>
    <row r="187" spans="11:11">
      <c r="K187" s="14"/>
    </row>
    <row r="188" spans="11:11">
      <c r="K188" s="14"/>
    </row>
    <row r="189" spans="11:11">
      <c r="K189" s="14"/>
    </row>
  </sheetData>
  <mergeCells count="9">
    <mergeCell ref="A1:K1"/>
    <mergeCell ref="A2:K2"/>
    <mergeCell ref="A6:A7"/>
    <mergeCell ref="A3:K3"/>
    <mergeCell ref="A4:K4"/>
    <mergeCell ref="K6:K7"/>
    <mergeCell ref="B6:B7"/>
    <mergeCell ref="C6:H6"/>
    <mergeCell ref="J6:J7"/>
  </mergeCells>
  <phoneticPr fontId="2" type="noConversion"/>
  <pageMargins left="0.27559055118110237" right="7.874015748031496E-2" top="0.98425196850393704" bottom="0.78740157480314965" header="0.51181102362204722" footer="0.51181102362204722"/>
  <pageSetup scale="75" firstPageNumber="0" orientation="portrait" horizontalDpi="4294967294" verticalDpi="4294967294" r:id="rId1"/>
  <headerFooter alignWithMargins="0"/>
  <ignoredErrors>
    <ignoredError sqref="G37 D9 C37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6" tint="-0.249977111117893"/>
  </sheetPr>
  <dimension ref="A2:XP238"/>
  <sheetViews>
    <sheetView showGridLines="0" showZeros="0" topLeftCell="A124" workbookViewId="0">
      <selection activeCell="U154" sqref="U154"/>
    </sheetView>
  </sheetViews>
  <sheetFormatPr baseColWidth="10" defaultColWidth="11.42578125" defaultRowHeight="14.45" customHeight="1"/>
  <cols>
    <col min="1" max="1" width="50.42578125" style="296" customWidth="1"/>
    <col min="2" max="2" width="11.28515625" style="296" customWidth="1"/>
    <col min="3" max="3" width="11.42578125" style="296" customWidth="1"/>
    <col min="4" max="5" width="13.28515625" style="296" hidden="1" customWidth="1"/>
    <col min="6" max="6" width="13.42578125" style="296" customWidth="1"/>
    <col min="7" max="7" width="14" style="296" customWidth="1"/>
    <col min="8" max="8" width="13.140625" style="296" customWidth="1"/>
    <col min="9" max="9" width="12.5703125" style="296" hidden="1" customWidth="1"/>
    <col min="10" max="10" width="13.28515625" style="296" customWidth="1"/>
    <col min="11" max="11" width="9.140625" style="296" customWidth="1"/>
    <col min="12" max="12" width="0.7109375" style="101" customWidth="1"/>
    <col min="13" max="13" width="15.7109375" style="101" hidden="1" customWidth="1"/>
    <col min="14" max="14" width="11.42578125" style="101"/>
    <col min="15" max="15" width="13" style="101" bestFit="1" customWidth="1"/>
    <col min="16" max="16" width="11.42578125" style="101"/>
    <col min="17" max="17" width="13" style="101" bestFit="1" customWidth="1"/>
    <col min="18" max="16384" width="11.42578125" style="101"/>
  </cols>
  <sheetData>
    <row r="2" spans="1:15" ht="14.45" customHeight="1">
      <c r="A2" s="597" t="s">
        <v>166</v>
      </c>
      <c r="B2" s="597"/>
      <c r="C2" s="597"/>
      <c r="D2" s="597"/>
      <c r="E2" s="597"/>
      <c r="F2" s="597"/>
      <c r="G2" s="597"/>
      <c r="H2" s="597"/>
      <c r="I2" s="597"/>
      <c r="J2" s="597"/>
      <c r="K2" s="597"/>
      <c r="L2" s="101" t="s">
        <v>6</v>
      </c>
    </row>
    <row r="3" spans="1:15" ht="14.45" customHeight="1">
      <c r="A3" s="597" t="s">
        <v>167</v>
      </c>
      <c r="B3" s="597"/>
      <c r="C3" s="597"/>
      <c r="D3" s="597"/>
      <c r="E3" s="597"/>
      <c r="F3" s="597"/>
      <c r="G3" s="597"/>
      <c r="H3" s="597"/>
      <c r="I3" s="597"/>
      <c r="J3" s="597"/>
      <c r="K3" s="597"/>
    </row>
    <row r="4" spans="1:15" ht="14.45" customHeight="1">
      <c r="A4" s="597" t="s">
        <v>168</v>
      </c>
      <c r="B4" s="597"/>
      <c r="C4" s="597"/>
      <c r="D4" s="597"/>
      <c r="E4" s="597"/>
      <c r="F4" s="597"/>
      <c r="G4" s="597"/>
      <c r="H4" s="597"/>
      <c r="I4" s="597"/>
      <c r="J4" s="597"/>
      <c r="K4" s="597"/>
      <c r="O4" s="101" t="s">
        <v>6</v>
      </c>
    </row>
    <row r="5" spans="1:15" ht="14.45" customHeight="1">
      <c r="A5" s="597" t="s">
        <v>578</v>
      </c>
      <c r="B5" s="597"/>
      <c r="C5" s="597"/>
      <c r="D5" s="597"/>
      <c r="E5" s="597"/>
      <c r="F5" s="597"/>
      <c r="G5" s="597"/>
      <c r="H5" s="597"/>
      <c r="I5" s="597"/>
      <c r="J5" s="597"/>
      <c r="K5" s="597"/>
    </row>
    <row r="6" spans="1:15" ht="4.5" customHeight="1">
      <c r="A6" s="305"/>
      <c r="B6" s="305"/>
      <c r="C6" s="600"/>
      <c r="D6" s="600"/>
      <c r="E6" s="600"/>
      <c r="F6" s="600"/>
      <c r="G6" s="600"/>
      <c r="H6" s="600"/>
      <c r="I6" s="305"/>
      <c r="J6" s="304"/>
      <c r="K6" s="304"/>
    </row>
    <row r="7" spans="1:15" ht="22.15" customHeight="1">
      <c r="A7" s="651" t="s">
        <v>0</v>
      </c>
      <c r="B7" s="648" t="s">
        <v>20</v>
      </c>
      <c r="C7" s="648"/>
      <c r="D7" s="648"/>
      <c r="E7" s="649"/>
      <c r="F7" s="648"/>
      <c r="G7" s="650"/>
      <c r="H7" s="648"/>
      <c r="I7" s="646" t="s">
        <v>579</v>
      </c>
      <c r="J7" s="646" t="s">
        <v>591</v>
      </c>
      <c r="K7" s="645" t="s">
        <v>592</v>
      </c>
    </row>
    <row r="8" spans="1:15" ht="47.25" customHeight="1">
      <c r="A8" s="652"/>
      <c r="B8" s="355" t="s">
        <v>476</v>
      </c>
      <c r="C8" s="355" t="s">
        <v>485</v>
      </c>
      <c r="D8" s="355" t="s">
        <v>587</v>
      </c>
      <c r="E8" s="355" t="s">
        <v>492</v>
      </c>
      <c r="F8" s="355" t="s">
        <v>588</v>
      </c>
      <c r="G8" s="355" t="s">
        <v>589</v>
      </c>
      <c r="H8" s="355" t="s">
        <v>590</v>
      </c>
      <c r="I8" s="647"/>
      <c r="J8" s="647"/>
      <c r="K8" s="630"/>
    </row>
    <row r="9" spans="1:15" ht="27" customHeight="1">
      <c r="A9" s="314" t="s">
        <v>303</v>
      </c>
      <c r="B9" s="356">
        <f t="shared" ref="B9:H9" si="0">+B10+B14+B18+B20+B22+B27+B29</f>
        <v>116348656</v>
      </c>
      <c r="C9" s="356">
        <f t="shared" si="0"/>
        <v>117401446</v>
      </c>
      <c r="D9" s="356">
        <f t="shared" si="0"/>
        <v>117401446</v>
      </c>
      <c r="E9" s="356">
        <f t="shared" si="0"/>
        <v>11005316.719999999</v>
      </c>
      <c r="F9" s="356">
        <f t="shared" si="0"/>
        <v>104439504.91000001</v>
      </c>
      <c r="G9" s="356">
        <f t="shared" si="0"/>
        <v>95586592.590000004</v>
      </c>
      <c r="H9" s="356">
        <f t="shared" si="0"/>
        <v>103069197.13000001</v>
      </c>
      <c r="I9" s="356">
        <f t="shared" ref="I9:I29" si="1">D9-F9</f>
        <v>12961941.089999989</v>
      </c>
      <c r="J9" s="356">
        <f>C9-F9</f>
        <v>12961941.089999989</v>
      </c>
      <c r="K9" s="358">
        <f>F9/D9*100</f>
        <v>88.959300305381262</v>
      </c>
      <c r="L9" s="337"/>
      <c r="M9" s="299">
        <v>93434188.189999998</v>
      </c>
      <c r="N9" s="644"/>
    </row>
    <row r="10" spans="1:15" ht="14.45" customHeight="1">
      <c r="A10" s="47" t="s">
        <v>304</v>
      </c>
      <c r="B10" s="361">
        <f t="shared" ref="B10:F10" si="2">SUM(B11:B13)</f>
        <v>81195659</v>
      </c>
      <c r="C10" s="361">
        <f t="shared" si="2"/>
        <v>76788049</v>
      </c>
      <c r="D10" s="361">
        <f t="shared" si="2"/>
        <v>76788049</v>
      </c>
      <c r="E10" s="361">
        <f t="shared" si="2"/>
        <v>6322728.96</v>
      </c>
      <c r="F10" s="361">
        <f t="shared" si="2"/>
        <v>70147837.780000001</v>
      </c>
      <c r="G10" s="361">
        <v>70147837.780000001</v>
      </c>
      <c r="H10" s="361">
        <v>70147837.780000001</v>
      </c>
      <c r="I10" s="361">
        <f t="shared" si="1"/>
        <v>6640211.2199999988</v>
      </c>
      <c r="J10" s="361">
        <f>C10-F10</f>
        <v>6640211.2199999988</v>
      </c>
      <c r="K10" s="362">
        <f t="shared" ref="K10" si="3">F10/D10*100</f>
        <v>91.352545993192251</v>
      </c>
      <c r="L10" s="335"/>
      <c r="M10" s="299">
        <v>63825108.820000008</v>
      </c>
      <c r="N10" s="644"/>
    </row>
    <row r="11" spans="1:15" ht="14.45" customHeight="1">
      <c r="A11" s="97" t="s">
        <v>305</v>
      </c>
      <c r="B11" s="359">
        <v>70185320</v>
      </c>
      <c r="C11" s="359">
        <v>66047320</v>
      </c>
      <c r="D11" s="359">
        <v>66047320</v>
      </c>
      <c r="E11" s="359">
        <v>5173963.87</v>
      </c>
      <c r="F11" s="359">
        <f>+M11+E11</f>
        <v>60044137.660000004</v>
      </c>
      <c r="G11" s="359">
        <v>60044137.660000004</v>
      </c>
      <c r="H11" s="359">
        <v>60044137.660000004</v>
      </c>
      <c r="I11" s="359">
        <f>D11-F11</f>
        <v>6003182.3399999961</v>
      </c>
      <c r="J11" s="359">
        <f>+C11-F11</f>
        <v>6003182.3399999961</v>
      </c>
      <c r="K11" s="360">
        <f t="shared" ref="K11:K26" si="4">F11/C11*100</f>
        <v>90.910785872916577</v>
      </c>
      <c r="L11" s="336"/>
      <c r="M11" s="299">
        <v>54870173.790000007</v>
      </c>
      <c r="N11" s="644" t="s">
        <v>6</v>
      </c>
    </row>
    <row r="12" spans="1:15" ht="14.45" customHeight="1">
      <c r="A12" s="97" t="s">
        <v>306</v>
      </c>
      <c r="B12" s="359">
        <v>3855498</v>
      </c>
      <c r="C12" s="359">
        <v>3170498</v>
      </c>
      <c r="D12" s="359">
        <v>3170498</v>
      </c>
      <c r="E12" s="359">
        <v>348594.81</v>
      </c>
      <c r="F12" s="359">
        <f>+M12+E12</f>
        <v>3013075.16</v>
      </c>
      <c r="G12" s="359">
        <v>3013075.16</v>
      </c>
      <c r="H12" s="359">
        <v>3013075.16</v>
      </c>
      <c r="I12" s="359">
        <f t="shared" si="1"/>
        <v>157422.83999999985</v>
      </c>
      <c r="J12" s="359">
        <f t="shared" ref="J12:J13" si="5">+C12-F12</f>
        <v>157422.83999999985</v>
      </c>
      <c r="K12" s="360">
        <f t="shared" si="4"/>
        <v>95.034759838990595</v>
      </c>
      <c r="L12" s="336"/>
      <c r="M12" s="299">
        <v>2664480.35</v>
      </c>
    </row>
    <row r="13" spans="1:15" ht="14.45" customHeight="1">
      <c r="A13" s="97" t="s">
        <v>307</v>
      </c>
      <c r="B13" s="359">
        <v>7154841</v>
      </c>
      <c r="C13" s="359">
        <v>7570231</v>
      </c>
      <c r="D13" s="359">
        <v>7570231</v>
      </c>
      <c r="E13" s="359">
        <v>800170.28</v>
      </c>
      <c r="F13" s="359">
        <f t="shared" ref="F13:F32" si="6">+M13+E13</f>
        <v>7090624.96</v>
      </c>
      <c r="G13" s="359">
        <v>7090624.96</v>
      </c>
      <c r="H13" s="359">
        <v>7090624.96</v>
      </c>
      <c r="I13" s="359">
        <f t="shared" si="1"/>
        <v>479606.04000000004</v>
      </c>
      <c r="J13" s="359">
        <f t="shared" si="5"/>
        <v>479606.04000000004</v>
      </c>
      <c r="K13" s="360">
        <f t="shared" si="4"/>
        <v>93.664578531355247</v>
      </c>
      <c r="L13" s="336"/>
      <c r="M13" s="299">
        <v>6290454.6799999997</v>
      </c>
    </row>
    <row r="14" spans="1:15" ht="14.45" customHeight="1">
      <c r="A14" s="47" t="s">
        <v>308</v>
      </c>
      <c r="B14" s="361">
        <f>SUM(B15:B17)</f>
        <v>16549125</v>
      </c>
      <c r="C14" s="361">
        <f>SUM(C15:C17)</f>
        <v>15551725</v>
      </c>
      <c r="D14" s="361">
        <f>SUM(D15:D17)</f>
        <v>15551725</v>
      </c>
      <c r="E14" s="361">
        <f>SUM(E15:E17)</f>
        <v>1160769.04</v>
      </c>
      <c r="F14" s="361">
        <f t="shared" si="6"/>
        <v>13670902.98</v>
      </c>
      <c r="G14" s="361">
        <f>SUM(G15:G17)</f>
        <v>13670902.979999999</v>
      </c>
      <c r="H14" s="361">
        <f>SUM(H15:H17)</f>
        <v>13670902.979999999</v>
      </c>
      <c r="I14" s="361">
        <f t="shared" si="1"/>
        <v>1880822.0199999996</v>
      </c>
      <c r="J14" s="361">
        <f>+C14-F14</f>
        <v>1880822.0199999996</v>
      </c>
      <c r="K14" s="362">
        <f t="shared" si="4"/>
        <v>87.9060231582027</v>
      </c>
      <c r="L14" s="335"/>
      <c r="M14" s="299">
        <v>12510133.939999999</v>
      </c>
    </row>
    <row r="15" spans="1:15" ht="14.45" customHeight="1">
      <c r="A15" s="97" t="s">
        <v>309</v>
      </c>
      <c r="B15" s="359">
        <v>157187</v>
      </c>
      <c r="C15" s="359">
        <v>157187</v>
      </c>
      <c r="D15" s="359">
        <v>157187</v>
      </c>
      <c r="E15" s="359">
        <v>15431.12</v>
      </c>
      <c r="F15" s="359">
        <f>+M15+E15</f>
        <v>115212.51</v>
      </c>
      <c r="G15" s="359">
        <v>115212.51</v>
      </c>
      <c r="H15" s="359">
        <v>115212.51</v>
      </c>
      <c r="I15" s="359">
        <f t="shared" si="1"/>
        <v>41974.490000000005</v>
      </c>
      <c r="J15" s="359">
        <f>+C14-F14</f>
        <v>1880822.0199999996</v>
      </c>
      <c r="K15" s="360">
        <f t="shared" si="4"/>
        <v>73.296462175625209</v>
      </c>
      <c r="L15" s="336"/>
      <c r="M15" s="299">
        <v>99781.39</v>
      </c>
    </row>
    <row r="16" spans="1:15" ht="14.45" customHeight="1">
      <c r="A16" s="97" t="s">
        <v>310</v>
      </c>
      <c r="B16" s="359">
        <v>1569540</v>
      </c>
      <c r="C16" s="359">
        <v>1369540</v>
      </c>
      <c r="D16" s="359">
        <v>1369540</v>
      </c>
      <c r="E16" s="359">
        <v>100515.82</v>
      </c>
      <c r="F16" s="359">
        <f t="shared" si="6"/>
        <v>1236995.3500000001</v>
      </c>
      <c r="G16" s="359">
        <v>1236995.3500000001</v>
      </c>
      <c r="H16" s="359">
        <v>1236995.3500000001</v>
      </c>
      <c r="I16" s="359">
        <f t="shared" si="1"/>
        <v>132544.64999999991</v>
      </c>
      <c r="J16" s="359">
        <f>+C15-F15</f>
        <v>41974.490000000005</v>
      </c>
      <c r="K16" s="360">
        <f t="shared" si="4"/>
        <v>90.321958467806724</v>
      </c>
      <c r="L16" s="336"/>
      <c r="M16" s="299">
        <v>1136479.53</v>
      </c>
    </row>
    <row r="17" spans="1:13" ht="14.45" customHeight="1">
      <c r="A17" s="97" t="s">
        <v>311</v>
      </c>
      <c r="B17" s="359">
        <v>14822398</v>
      </c>
      <c r="C17" s="359">
        <v>14024998</v>
      </c>
      <c r="D17" s="359">
        <v>14024998</v>
      </c>
      <c r="E17" s="359">
        <v>1044822.1</v>
      </c>
      <c r="F17" s="359">
        <f t="shared" si="6"/>
        <v>12318695.119999999</v>
      </c>
      <c r="G17" s="359">
        <v>12318695.119999999</v>
      </c>
      <c r="H17" s="359">
        <v>12318695.119999999</v>
      </c>
      <c r="I17" s="359">
        <f t="shared" si="1"/>
        <v>1706302.8800000008</v>
      </c>
      <c r="J17" s="359">
        <f t="shared" ref="J17:J19" si="7">+C16-F16</f>
        <v>132544.64999999991</v>
      </c>
      <c r="K17" s="360">
        <f t="shared" si="4"/>
        <v>87.833845823008318</v>
      </c>
      <c r="L17" s="336"/>
      <c r="M17" s="299">
        <v>11273873.02</v>
      </c>
    </row>
    <row r="18" spans="1:13" ht="14.45" customHeight="1">
      <c r="A18" s="47" t="s">
        <v>312</v>
      </c>
      <c r="B18" s="361">
        <f>+B19</f>
        <v>223200</v>
      </c>
      <c r="C18" s="361">
        <f>+C19</f>
        <v>223200</v>
      </c>
      <c r="D18" s="361">
        <f>+D19</f>
        <v>223200</v>
      </c>
      <c r="E18" s="361">
        <f>+E19</f>
        <v>17083.330000000002</v>
      </c>
      <c r="F18" s="361">
        <f t="shared" si="6"/>
        <v>214283.33000000002</v>
      </c>
      <c r="G18" s="361">
        <v>214283.33000000002</v>
      </c>
      <c r="H18" s="361">
        <v>214283.33000000002</v>
      </c>
      <c r="I18" s="361">
        <f t="shared" si="1"/>
        <v>8916.6699999999837</v>
      </c>
      <c r="J18" s="359">
        <f t="shared" si="7"/>
        <v>1706302.8800000008</v>
      </c>
      <c r="K18" s="362">
        <f t="shared" si="4"/>
        <v>96.005076164874552</v>
      </c>
      <c r="L18" s="335"/>
      <c r="M18" s="299">
        <v>197200</v>
      </c>
    </row>
    <row r="19" spans="1:13" ht="14.45" customHeight="1">
      <c r="A19" s="97" t="s">
        <v>313</v>
      </c>
      <c r="B19" s="359">
        <v>223200</v>
      </c>
      <c r="C19" s="359">
        <v>223200</v>
      </c>
      <c r="D19" s="359">
        <v>223200</v>
      </c>
      <c r="E19" s="359">
        <v>17083.330000000002</v>
      </c>
      <c r="F19" s="359">
        <f t="shared" si="6"/>
        <v>214283.33000000002</v>
      </c>
      <c r="G19" s="359">
        <v>214283.33000000002</v>
      </c>
      <c r="H19" s="359">
        <v>214283.33000000002</v>
      </c>
      <c r="I19" s="359">
        <f t="shared" si="1"/>
        <v>8916.6699999999837</v>
      </c>
      <c r="J19" s="359">
        <f t="shared" si="7"/>
        <v>8916.6699999999837</v>
      </c>
      <c r="K19" s="360">
        <f t="shared" si="4"/>
        <v>96.005076164874552</v>
      </c>
      <c r="L19" s="336"/>
      <c r="M19" s="299">
        <v>197200</v>
      </c>
    </row>
    <row r="20" spans="1:13" ht="14.45" customHeight="1">
      <c r="A20" s="47" t="s">
        <v>314</v>
      </c>
      <c r="B20" s="361">
        <f>+B21</f>
        <v>2405758</v>
      </c>
      <c r="C20" s="361">
        <f>+C21</f>
        <v>8318558</v>
      </c>
      <c r="D20" s="361">
        <f>+D21</f>
        <v>8318558</v>
      </c>
      <c r="E20" s="361">
        <f>+E21</f>
        <v>2140070.58</v>
      </c>
      <c r="F20" s="361">
        <f t="shared" si="6"/>
        <v>6270192.1500000004</v>
      </c>
      <c r="G20" s="361">
        <v>6270192.1500000004</v>
      </c>
      <c r="H20" s="361">
        <v>6270192.1500000004</v>
      </c>
      <c r="I20" s="361">
        <f t="shared" si="1"/>
        <v>2048365.8499999996</v>
      </c>
      <c r="J20" s="361">
        <f>C20-F20</f>
        <v>2048365.8499999996</v>
      </c>
      <c r="K20" s="362">
        <f t="shared" si="4"/>
        <v>75.375950375052994</v>
      </c>
      <c r="L20" s="336"/>
      <c r="M20" s="299">
        <v>4130121.57</v>
      </c>
    </row>
    <row r="21" spans="1:13" ht="14.45" customHeight="1">
      <c r="A21" s="97" t="s">
        <v>315</v>
      </c>
      <c r="B21" s="359">
        <v>2405758</v>
      </c>
      <c r="C21" s="359">
        <v>8318558</v>
      </c>
      <c r="D21" s="359">
        <v>8318558</v>
      </c>
      <c r="E21" s="359">
        <v>2140070.58</v>
      </c>
      <c r="F21" s="359">
        <f>+M21+E21</f>
        <v>6270192.1500000004</v>
      </c>
      <c r="G21" s="359">
        <v>6270192.1500000004</v>
      </c>
      <c r="H21" s="359">
        <v>6270192.1500000004</v>
      </c>
      <c r="I21" s="359">
        <f t="shared" si="1"/>
        <v>2048365.8499999996</v>
      </c>
      <c r="J21" s="359">
        <f>+C21-F21</f>
        <v>2048365.8499999996</v>
      </c>
      <c r="K21" s="360">
        <f t="shared" si="4"/>
        <v>75.375950375052994</v>
      </c>
      <c r="L21" s="336"/>
      <c r="M21" s="299">
        <v>4130121.57</v>
      </c>
    </row>
    <row r="22" spans="1:13" ht="14.45" customHeight="1">
      <c r="A22" s="47" t="s">
        <v>316</v>
      </c>
      <c r="B22" s="361">
        <f t="shared" ref="B22:H22" si="8">SUM(B23:B26)</f>
        <v>15174914</v>
      </c>
      <c r="C22" s="361">
        <f t="shared" si="8"/>
        <v>15074914</v>
      </c>
      <c r="D22" s="361">
        <f t="shared" si="8"/>
        <v>15074914</v>
      </c>
      <c r="E22" s="361">
        <f t="shared" si="8"/>
        <v>1330878.1199999999</v>
      </c>
      <c r="F22" s="361">
        <f t="shared" si="8"/>
        <v>13058359.77</v>
      </c>
      <c r="G22" s="361">
        <f t="shared" si="8"/>
        <v>4262158.6399999997</v>
      </c>
      <c r="H22" s="361">
        <f t="shared" si="8"/>
        <v>11672218.859999999</v>
      </c>
      <c r="I22" s="361">
        <f t="shared" si="1"/>
        <v>2016554.2300000004</v>
      </c>
      <c r="J22" s="361">
        <f>C22-F22</f>
        <v>2016554.2300000004</v>
      </c>
      <c r="K22" s="362">
        <f t="shared" si="4"/>
        <v>86.623112874806452</v>
      </c>
      <c r="L22" s="335"/>
      <c r="M22" s="299">
        <v>11727481.65</v>
      </c>
    </row>
    <row r="23" spans="1:13" ht="14.45" customHeight="1">
      <c r="A23" s="97" t="s">
        <v>317</v>
      </c>
      <c r="B23" s="359">
        <v>12651365</v>
      </c>
      <c r="C23" s="359">
        <v>12551365</v>
      </c>
      <c r="D23" s="359">
        <v>12551365</v>
      </c>
      <c r="E23" s="359">
        <v>1150930.71</v>
      </c>
      <c r="F23" s="359">
        <f t="shared" si="6"/>
        <v>11043844.18</v>
      </c>
      <c r="G23" s="359">
        <v>3569543.86</v>
      </c>
      <c r="H23" s="359">
        <v>9852778.8300000001</v>
      </c>
      <c r="I23" s="359">
        <f t="shared" si="1"/>
        <v>1507520.8200000003</v>
      </c>
      <c r="J23" s="359">
        <f>C23-F23</f>
        <v>1507520.8200000003</v>
      </c>
      <c r="K23" s="360">
        <f t="shared" si="4"/>
        <v>87.989188267570896</v>
      </c>
      <c r="L23" s="336"/>
      <c r="M23" s="299">
        <v>9892913.4699999988</v>
      </c>
    </row>
    <row r="24" spans="1:13" ht="14.45" customHeight="1">
      <c r="A24" s="97" t="s">
        <v>318</v>
      </c>
      <c r="B24" s="359">
        <v>1514131</v>
      </c>
      <c r="C24" s="359">
        <v>1514131</v>
      </c>
      <c r="D24" s="359">
        <v>1514131</v>
      </c>
      <c r="E24" s="359">
        <v>112415.98</v>
      </c>
      <c r="F24" s="359">
        <f t="shared" si="6"/>
        <v>1258248.3</v>
      </c>
      <c r="G24" s="359">
        <v>434921.49</v>
      </c>
      <c r="H24" s="359">
        <v>1145488.25</v>
      </c>
      <c r="I24" s="359">
        <f t="shared" si="1"/>
        <v>255882.69999999995</v>
      </c>
      <c r="J24" s="359">
        <f>C24-F24</f>
        <v>255882.69999999995</v>
      </c>
      <c r="K24" s="360">
        <f t="shared" si="4"/>
        <v>83.100359215946312</v>
      </c>
      <c r="L24" s="336"/>
      <c r="M24" s="299">
        <v>1145832.32</v>
      </c>
    </row>
    <row r="25" spans="1:13" ht="14.45" customHeight="1">
      <c r="A25" s="97" t="s">
        <v>319</v>
      </c>
      <c r="B25" s="359">
        <v>706593</v>
      </c>
      <c r="C25" s="359">
        <v>706593</v>
      </c>
      <c r="D25" s="359">
        <v>706593</v>
      </c>
      <c r="E25" s="359">
        <v>52600.38</v>
      </c>
      <c r="F25" s="359">
        <f t="shared" si="6"/>
        <v>588757.17999999993</v>
      </c>
      <c r="G25" s="359">
        <v>203543.09</v>
      </c>
      <c r="H25" s="359">
        <v>535991.42000000004</v>
      </c>
      <c r="I25" s="359">
        <f t="shared" si="1"/>
        <v>117835.82000000007</v>
      </c>
      <c r="J25" s="359">
        <f t="shared" ref="J25:J26" si="9">C25-F25</f>
        <v>117835.82000000007</v>
      </c>
      <c r="K25" s="360">
        <f t="shared" si="4"/>
        <v>83.323381352490031</v>
      </c>
      <c r="L25" s="336"/>
      <c r="M25" s="299">
        <v>536156.79999999993</v>
      </c>
    </row>
    <row r="26" spans="1:13" ht="14.45" customHeight="1">
      <c r="A26" s="97" t="s">
        <v>320</v>
      </c>
      <c r="B26" s="359">
        <v>302825</v>
      </c>
      <c r="C26" s="359">
        <v>302825</v>
      </c>
      <c r="D26" s="359">
        <v>302825</v>
      </c>
      <c r="E26" s="359">
        <v>14931.05</v>
      </c>
      <c r="F26" s="359">
        <f t="shared" si="6"/>
        <v>167510.10999999999</v>
      </c>
      <c r="G26" s="359">
        <v>54150.2</v>
      </c>
      <c r="H26" s="359">
        <v>137960.35999999999</v>
      </c>
      <c r="I26" s="359">
        <f t="shared" si="1"/>
        <v>135314.89000000001</v>
      </c>
      <c r="J26" s="359">
        <f t="shared" si="9"/>
        <v>135314.89000000001</v>
      </c>
      <c r="K26" s="360">
        <f t="shared" si="4"/>
        <v>55.315812763147029</v>
      </c>
      <c r="L26" s="336"/>
      <c r="M26" s="299">
        <v>152579.06</v>
      </c>
    </row>
    <row r="27" spans="1:13" ht="14.45" customHeight="1">
      <c r="A27" s="47" t="s">
        <v>321</v>
      </c>
      <c r="B27" s="361">
        <f>+B28</f>
        <v>800000</v>
      </c>
      <c r="C27" s="361">
        <f>+C28</f>
        <v>800000</v>
      </c>
      <c r="D27" s="361">
        <f>+D28</f>
        <v>800000</v>
      </c>
      <c r="E27" s="361">
        <f>+E28</f>
        <v>0</v>
      </c>
      <c r="F27" s="361">
        <f t="shared" si="6"/>
        <v>630100</v>
      </c>
      <c r="G27" s="361">
        <f>+G28</f>
        <v>630100</v>
      </c>
      <c r="H27" s="361">
        <f>+H28</f>
        <v>630100</v>
      </c>
      <c r="I27" s="361">
        <f>D27-F27</f>
        <v>169900</v>
      </c>
      <c r="J27" s="361">
        <f>C27-F27</f>
        <v>169900</v>
      </c>
      <c r="K27" s="362">
        <f>+K28</f>
        <v>78.762500000000003</v>
      </c>
      <c r="L27" s="336"/>
      <c r="M27" s="299">
        <v>630100</v>
      </c>
    </row>
    <row r="28" spans="1:13" ht="14.45" customHeight="1">
      <c r="A28" s="97" t="s">
        <v>322</v>
      </c>
      <c r="B28" s="359">
        <v>800000</v>
      </c>
      <c r="C28" s="359">
        <v>800000</v>
      </c>
      <c r="D28" s="359">
        <v>800000</v>
      </c>
      <c r="E28" s="359"/>
      <c r="F28" s="359">
        <f t="shared" si="6"/>
        <v>630100</v>
      </c>
      <c r="G28" s="359">
        <v>630100</v>
      </c>
      <c r="H28" s="359">
        <v>630100</v>
      </c>
      <c r="I28" s="359">
        <f t="shared" si="1"/>
        <v>169900</v>
      </c>
      <c r="J28" s="359">
        <f>+C28-F28</f>
        <v>169900</v>
      </c>
      <c r="K28" s="360">
        <f t="shared" ref="K28:K33" si="10">F28/C28*100</f>
        <v>78.762500000000003</v>
      </c>
      <c r="L28" s="336"/>
      <c r="M28" s="299">
        <v>630100</v>
      </c>
    </row>
    <row r="29" spans="1:13" ht="14.45" customHeight="1">
      <c r="A29" s="47" t="s">
        <v>323</v>
      </c>
      <c r="B29" s="361"/>
      <c r="C29" s="361">
        <f t="shared" ref="C29:H29" si="11">SUM(C30:C35)</f>
        <v>645000</v>
      </c>
      <c r="D29" s="361">
        <f t="shared" si="11"/>
        <v>645000</v>
      </c>
      <c r="E29" s="361">
        <f t="shared" si="11"/>
        <v>33786.69</v>
      </c>
      <c r="F29" s="361">
        <f t="shared" si="11"/>
        <v>447828.89999999997</v>
      </c>
      <c r="G29" s="361">
        <f t="shared" si="11"/>
        <v>391117.71</v>
      </c>
      <c r="H29" s="361">
        <f t="shared" si="11"/>
        <v>463662.03</v>
      </c>
      <c r="I29" s="361">
        <f t="shared" si="1"/>
        <v>197171.10000000003</v>
      </c>
      <c r="J29" s="361">
        <f>C29-GF29</f>
        <v>645000</v>
      </c>
      <c r="K29" s="362">
        <f t="shared" si="10"/>
        <v>69.430837209302325</v>
      </c>
      <c r="L29" s="336"/>
      <c r="M29" s="299">
        <v>414042.20999999996</v>
      </c>
    </row>
    <row r="30" spans="1:13" ht="14.45" customHeight="1">
      <c r="A30" s="97" t="s">
        <v>324</v>
      </c>
      <c r="B30" s="359"/>
      <c r="C30" s="359">
        <v>500000</v>
      </c>
      <c r="D30" s="359">
        <v>500000</v>
      </c>
      <c r="E30" s="359">
        <v>26330.75</v>
      </c>
      <c r="F30" s="359">
        <f t="shared" si="6"/>
        <v>371103.69999999995</v>
      </c>
      <c r="G30" s="359">
        <v>371103.7</v>
      </c>
      <c r="H30" s="359">
        <v>371103.7</v>
      </c>
      <c r="I30" s="359">
        <f>D30-H30</f>
        <v>128896.29999999999</v>
      </c>
      <c r="J30" s="359">
        <f>C30-F30</f>
        <v>128896.30000000005</v>
      </c>
      <c r="K30" s="360">
        <f t="shared" si="10"/>
        <v>74.220739999999992</v>
      </c>
      <c r="L30" s="336"/>
      <c r="M30" s="299">
        <v>344772.94999999995</v>
      </c>
    </row>
    <row r="31" spans="1:13" ht="14.45" customHeight="1">
      <c r="A31" s="97" t="s">
        <v>325</v>
      </c>
      <c r="B31" s="359"/>
      <c r="C31" s="359">
        <v>10000</v>
      </c>
      <c r="D31" s="359">
        <v>10000</v>
      </c>
      <c r="E31" s="359"/>
      <c r="F31" s="359">
        <f t="shared" si="6"/>
        <v>0</v>
      </c>
      <c r="G31" s="359"/>
      <c r="H31" s="359">
        <v>0</v>
      </c>
      <c r="I31" s="359">
        <f t="shared" ref="I31:I42" si="12">D31-F31</f>
        <v>10000</v>
      </c>
      <c r="J31" s="359">
        <f t="shared" ref="J31:J35" si="13">C31-F31</f>
        <v>10000</v>
      </c>
      <c r="K31" s="360">
        <f t="shared" si="10"/>
        <v>0</v>
      </c>
      <c r="L31" s="336"/>
      <c r="M31" s="299">
        <v>0</v>
      </c>
    </row>
    <row r="32" spans="1:13" ht="14.45" customHeight="1">
      <c r="A32" s="97" t="s">
        <v>457</v>
      </c>
      <c r="B32" s="359"/>
      <c r="C32" s="359">
        <v>10000</v>
      </c>
      <c r="D32" s="359">
        <v>10000</v>
      </c>
      <c r="E32" s="359"/>
      <c r="F32" s="359">
        <f t="shared" si="6"/>
        <v>0</v>
      </c>
      <c r="G32" s="359"/>
      <c r="H32" s="359"/>
      <c r="I32" s="359">
        <f t="shared" si="12"/>
        <v>10000</v>
      </c>
      <c r="J32" s="359">
        <f t="shared" si="13"/>
        <v>10000</v>
      </c>
      <c r="K32" s="360">
        <f t="shared" si="10"/>
        <v>0</v>
      </c>
      <c r="L32" s="336"/>
      <c r="M32" s="299">
        <v>0</v>
      </c>
    </row>
    <row r="33" spans="1:15" ht="13.9" customHeight="1">
      <c r="A33" s="97" t="s">
        <v>326</v>
      </c>
      <c r="B33" s="359"/>
      <c r="C33" s="359">
        <v>25000</v>
      </c>
      <c r="D33" s="359">
        <v>25000</v>
      </c>
      <c r="E33" s="359">
        <v>3243.84</v>
      </c>
      <c r="F33" s="359">
        <f>+M33+E33</f>
        <v>20014.010000000002</v>
      </c>
      <c r="G33" s="359">
        <v>20014.009999999998</v>
      </c>
      <c r="H33" s="359">
        <v>20014.009999999998</v>
      </c>
      <c r="I33" s="359">
        <f t="shared" si="12"/>
        <v>4985.989999999998</v>
      </c>
      <c r="J33" s="359">
        <f t="shared" si="13"/>
        <v>4985.989999999998</v>
      </c>
      <c r="K33" s="360">
        <f t="shared" si="10"/>
        <v>80.05604000000001</v>
      </c>
      <c r="L33" s="336"/>
      <c r="M33" s="299">
        <v>16770.170000000002</v>
      </c>
    </row>
    <row r="34" spans="1:15" ht="14.45" hidden="1" customHeight="1">
      <c r="A34" s="97" t="s">
        <v>327</v>
      </c>
      <c r="B34" s="359"/>
      <c r="C34" s="359"/>
      <c r="D34" s="359"/>
      <c r="E34" s="359"/>
      <c r="F34" s="359">
        <f>+L34+E34</f>
        <v>0</v>
      </c>
      <c r="G34" s="359"/>
      <c r="H34" s="359"/>
      <c r="I34" s="359">
        <f t="shared" si="12"/>
        <v>0</v>
      </c>
      <c r="J34" s="359">
        <f t="shared" si="13"/>
        <v>0</v>
      </c>
      <c r="K34" s="360" t="e">
        <f t="shared" ref="K34" si="14">F34/D34*100</f>
        <v>#DIV/0!</v>
      </c>
      <c r="L34" s="336"/>
      <c r="M34" s="299">
        <v>0</v>
      </c>
    </row>
    <row r="35" spans="1:15" ht="14.45" customHeight="1">
      <c r="A35" s="97" t="s">
        <v>456</v>
      </c>
      <c r="B35" s="359"/>
      <c r="C35" s="359">
        <v>100000</v>
      </c>
      <c r="D35" s="359">
        <v>100000</v>
      </c>
      <c r="E35" s="359">
        <v>4212.1000000000004</v>
      </c>
      <c r="F35" s="359">
        <f>+M35+E35</f>
        <v>56711.189999999995</v>
      </c>
      <c r="G35" s="359"/>
      <c r="H35" s="359">
        <v>72544.320000000007</v>
      </c>
      <c r="I35" s="359">
        <f t="shared" si="12"/>
        <v>43288.810000000005</v>
      </c>
      <c r="J35" s="359">
        <f t="shared" si="13"/>
        <v>43288.810000000005</v>
      </c>
      <c r="K35" s="360">
        <f t="shared" ref="K35:K41" si="15">F35/C35*100</f>
        <v>56.711190000000002</v>
      </c>
      <c r="L35" s="336"/>
      <c r="M35" s="299">
        <v>52499.09</v>
      </c>
    </row>
    <row r="36" spans="1:15" ht="15" customHeight="1">
      <c r="A36" s="314" t="s">
        <v>328</v>
      </c>
      <c r="B36" s="356">
        <f>+B37+B44+B53+B55+B58+B70+B75+B81+B84+B91</f>
        <v>18526746</v>
      </c>
      <c r="C36" s="356">
        <f>+C37+C44+C53+C55+C58+C70+C75+C81+C84+C91</f>
        <v>12422033.199999999</v>
      </c>
      <c r="D36" s="356">
        <f>+D37+D44+D53+D55+D58+D70+D75+D81+D84+D91</f>
        <v>12422033.199999999</v>
      </c>
      <c r="E36" s="356">
        <f>+E37+E44+E53+E55+E58+E70+E75+E81+E84+E91</f>
        <v>81539.22</v>
      </c>
      <c r="F36" s="356">
        <f>+E36+M36</f>
        <v>7009141.0299999993</v>
      </c>
      <c r="G36" s="356">
        <f>+G37+G44+G53+G55+G58+G70+G75+G81+G84+G91</f>
        <v>6533561.629999999</v>
      </c>
      <c r="H36" s="356">
        <f>+H37+H44+H53+H55+H58+H70+H75+H81+H84+H91</f>
        <v>5081016.9399999985</v>
      </c>
      <c r="I36" s="356">
        <f t="shared" si="12"/>
        <v>5412892.1699999999</v>
      </c>
      <c r="J36" s="356">
        <f>+C36-F36</f>
        <v>5412892.1699999999</v>
      </c>
      <c r="K36" s="358">
        <f t="shared" si="15"/>
        <v>56.425070816909425</v>
      </c>
      <c r="L36" s="337"/>
      <c r="M36" s="445">
        <f>7180437.21-6-26-2803.4-250000</f>
        <v>6927601.8099999996</v>
      </c>
      <c r="O36" s="469" t="s">
        <v>6</v>
      </c>
    </row>
    <row r="37" spans="1:15" ht="14.45" customHeight="1">
      <c r="A37" s="315" t="s">
        <v>329</v>
      </c>
      <c r="B37" s="363">
        <f t="shared" ref="B37:H37" si="16">SUM(B38:B43)</f>
        <v>246881</v>
      </c>
      <c r="C37" s="363">
        <f t="shared" si="16"/>
        <v>140776</v>
      </c>
      <c r="D37" s="363">
        <f t="shared" si="16"/>
        <v>140776</v>
      </c>
      <c r="E37" s="363">
        <f>SUM(E38:E43)</f>
        <v>0</v>
      </c>
      <c r="F37" s="363">
        <f t="shared" si="16"/>
        <v>52601.31</v>
      </c>
      <c r="G37" s="361">
        <f>SUM(G38:G43)</f>
        <v>45517.18</v>
      </c>
      <c r="H37" s="363">
        <f t="shared" si="16"/>
        <v>40794.44</v>
      </c>
      <c r="I37" s="363">
        <f t="shared" si="12"/>
        <v>88174.69</v>
      </c>
      <c r="J37" s="363">
        <f>C37-F37</f>
        <v>88174.69</v>
      </c>
      <c r="K37" s="364">
        <f t="shared" si="15"/>
        <v>37.365254020571683</v>
      </c>
      <c r="L37" s="336"/>
      <c r="M37" s="445">
        <v>52601.31</v>
      </c>
    </row>
    <row r="38" spans="1:15" ht="14.45" customHeight="1">
      <c r="A38" s="97" t="s">
        <v>330</v>
      </c>
      <c r="B38" s="359">
        <v>41230</v>
      </c>
      <c r="C38" s="359">
        <v>25430</v>
      </c>
      <c r="D38" s="359">
        <v>25430</v>
      </c>
      <c r="E38" s="359"/>
      <c r="F38" s="359">
        <f t="shared" ref="F38:F100" si="17">+M38+E38</f>
        <v>7588.43</v>
      </c>
      <c r="G38" s="359">
        <v>7588.43</v>
      </c>
      <c r="H38" s="359">
        <v>7588.43</v>
      </c>
      <c r="I38" s="359">
        <f t="shared" si="12"/>
        <v>17841.57</v>
      </c>
      <c r="J38" s="359">
        <f>C38-F38</f>
        <v>17841.57</v>
      </c>
      <c r="K38" s="360">
        <f t="shared" si="15"/>
        <v>29.840464018875345</v>
      </c>
      <c r="L38" s="336"/>
      <c r="M38" s="299">
        <v>7588.43</v>
      </c>
    </row>
    <row r="39" spans="1:15" ht="14.45" customHeight="1">
      <c r="A39" s="97" t="s">
        <v>331</v>
      </c>
      <c r="B39" s="359">
        <v>8745</v>
      </c>
      <c r="C39" s="359">
        <v>8745</v>
      </c>
      <c r="D39" s="359">
        <v>8745</v>
      </c>
      <c r="E39" s="359"/>
      <c r="F39" s="359">
        <f t="shared" si="17"/>
        <v>0</v>
      </c>
      <c r="G39" s="359"/>
      <c r="H39" s="359"/>
      <c r="I39" s="359">
        <f t="shared" si="12"/>
        <v>8745</v>
      </c>
      <c r="J39" s="359">
        <f t="shared" ref="J39:J51" si="18">C39-F39</f>
        <v>8745</v>
      </c>
      <c r="K39" s="360">
        <f t="shared" si="15"/>
        <v>0</v>
      </c>
      <c r="L39" s="336"/>
      <c r="M39" s="299">
        <v>0</v>
      </c>
      <c r="O39" s="101" t="s">
        <v>568</v>
      </c>
    </row>
    <row r="40" spans="1:15" ht="14.45" customHeight="1">
      <c r="A40" s="97" t="s">
        <v>332</v>
      </c>
      <c r="B40" s="359">
        <v>142461</v>
      </c>
      <c r="C40" s="359">
        <v>45056</v>
      </c>
      <c r="D40" s="359">
        <v>45056</v>
      </c>
      <c r="E40" s="359"/>
      <c r="F40" s="359">
        <f>+M40+E40</f>
        <v>24602.35</v>
      </c>
      <c r="G40" s="359">
        <v>17518.22</v>
      </c>
      <c r="H40" s="359">
        <v>12795.48</v>
      </c>
      <c r="I40" s="359">
        <f t="shared" si="12"/>
        <v>20453.650000000001</v>
      </c>
      <c r="J40" s="359">
        <f t="shared" si="18"/>
        <v>20453.650000000001</v>
      </c>
      <c r="K40" s="360">
        <f t="shared" si="15"/>
        <v>54.603937322443173</v>
      </c>
      <c r="L40" s="336"/>
      <c r="M40" s="299">
        <v>24602.35</v>
      </c>
    </row>
    <row r="41" spans="1:15" ht="14.45" customHeight="1">
      <c r="A41" s="97" t="s">
        <v>465</v>
      </c>
      <c r="B41" s="359">
        <v>7170</v>
      </c>
      <c r="C41" s="359">
        <v>1170</v>
      </c>
      <c r="D41" s="359">
        <v>1170</v>
      </c>
      <c r="E41" s="359"/>
      <c r="F41" s="359">
        <f t="shared" si="17"/>
        <v>0</v>
      </c>
      <c r="G41" s="359"/>
      <c r="H41" s="359"/>
      <c r="I41" s="359">
        <f t="shared" si="12"/>
        <v>1170</v>
      </c>
      <c r="J41" s="359">
        <f t="shared" si="18"/>
        <v>1170</v>
      </c>
      <c r="K41" s="360">
        <f t="shared" si="15"/>
        <v>0</v>
      </c>
      <c r="L41" s="336"/>
      <c r="M41" s="299">
        <v>0</v>
      </c>
    </row>
    <row r="42" spans="1:15" ht="14.45" customHeight="1">
      <c r="A42" s="97" t="s">
        <v>466</v>
      </c>
      <c r="B42" s="359">
        <v>4400</v>
      </c>
      <c r="C42" s="359">
        <v>12500</v>
      </c>
      <c r="D42" s="359">
        <v>12500</v>
      </c>
      <c r="E42" s="359"/>
      <c r="F42" s="359">
        <f t="shared" si="17"/>
        <v>0</v>
      </c>
      <c r="G42" s="359"/>
      <c r="H42" s="359"/>
      <c r="I42" s="359">
        <f t="shared" si="12"/>
        <v>12500</v>
      </c>
      <c r="J42" s="359">
        <f t="shared" si="18"/>
        <v>12500</v>
      </c>
      <c r="K42" s="360"/>
      <c r="L42" s="336"/>
      <c r="M42" s="299">
        <v>0</v>
      </c>
    </row>
    <row r="43" spans="1:15" ht="14.45" customHeight="1">
      <c r="A43" s="97" t="s">
        <v>333</v>
      </c>
      <c r="B43" s="359">
        <v>42875</v>
      </c>
      <c r="C43" s="359">
        <v>47875</v>
      </c>
      <c r="D43" s="359">
        <v>47875</v>
      </c>
      <c r="E43" s="359">
        <v>0</v>
      </c>
      <c r="F43" s="359">
        <f t="shared" si="17"/>
        <v>20410.530000000002</v>
      </c>
      <c r="G43" s="359">
        <v>20410.53</v>
      </c>
      <c r="H43" s="359">
        <v>20410.53</v>
      </c>
      <c r="I43" s="359">
        <v>20410.53</v>
      </c>
      <c r="J43" s="359">
        <f t="shared" si="18"/>
        <v>27464.469999999998</v>
      </c>
      <c r="K43" s="360">
        <f>F43/C43*100</f>
        <v>42.632960835509145</v>
      </c>
      <c r="L43" s="336"/>
      <c r="M43" s="299">
        <v>20410.530000000002</v>
      </c>
    </row>
    <row r="44" spans="1:15" ht="14.45" customHeight="1">
      <c r="A44" s="47" t="s">
        <v>334</v>
      </c>
      <c r="B44" s="361">
        <f>SUM(B45:B52)</f>
        <v>4602128</v>
      </c>
      <c r="C44" s="361">
        <f>SUM(C45:C52)</f>
        <v>5587728</v>
      </c>
      <c r="D44" s="361">
        <f>SUM(D45:D52)</f>
        <v>5587728</v>
      </c>
      <c r="E44" s="361">
        <f>SUM(E45:E52)</f>
        <v>45579.85</v>
      </c>
      <c r="F44" s="361">
        <f>SUM(F45:F51)</f>
        <v>4355812.96</v>
      </c>
      <c r="G44" s="361">
        <f>SUM(G45:G52)</f>
        <v>4344924.6199999992</v>
      </c>
      <c r="H44" s="361">
        <f>SUM(H45:H52)</f>
        <v>3756137.75</v>
      </c>
      <c r="I44" s="361">
        <f>D44-F44</f>
        <v>1231915.04</v>
      </c>
      <c r="J44" s="361">
        <f>C44-F44</f>
        <v>1231915.04</v>
      </c>
      <c r="K44" s="362">
        <f>F44/C44*100</f>
        <v>77.953203162358648</v>
      </c>
      <c r="L44" s="336"/>
      <c r="M44" s="445">
        <f>4560233.11-250000</f>
        <v>4310233.1100000003</v>
      </c>
    </row>
    <row r="45" spans="1:15" ht="14.45" customHeight="1">
      <c r="A45" s="97" t="s">
        <v>335</v>
      </c>
      <c r="B45" s="359">
        <v>170400</v>
      </c>
      <c r="C45" s="359">
        <v>170400</v>
      </c>
      <c r="D45" s="359">
        <v>170400</v>
      </c>
      <c r="E45" s="359">
        <v>0</v>
      </c>
      <c r="F45" s="359">
        <f t="shared" si="17"/>
        <v>90282.049999999988</v>
      </c>
      <c r="G45" s="359">
        <v>90282.05</v>
      </c>
      <c r="H45" s="359">
        <v>90282.05</v>
      </c>
      <c r="I45" s="359">
        <f>D45-F45</f>
        <v>80117.950000000012</v>
      </c>
      <c r="J45" s="359">
        <f t="shared" si="18"/>
        <v>80117.950000000012</v>
      </c>
      <c r="K45" s="362">
        <f t="shared" ref="K45:K52" si="19">F45/C45*100</f>
        <v>52.98242370892018</v>
      </c>
      <c r="L45" s="336"/>
      <c r="M45" s="299">
        <v>90282.049999999988</v>
      </c>
    </row>
    <row r="46" spans="1:15" ht="14.45" customHeight="1">
      <c r="A46" s="97" t="s">
        <v>336</v>
      </c>
      <c r="B46" s="359">
        <v>25860</v>
      </c>
      <c r="C46" s="359">
        <v>39460</v>
      </c>
      <c r="D46" s="359">
        <v>39460</v>
      </c>
      <c r="E46" s="359">
        <v>0</v>
      </c>
      <c r="F46" s="359">
        <f t="shared" si="17"/>
        <v>23570.499999999996</v>
      </c>
      <c r="G46" s="359">
        <v>21690.5</v>
      </c>
      <c r="H46" s="359">
        <v>20312.07</v>
      </c>
      <c r="I46" s="359">
        <f>+D46-F46</f>
        <v>15889.500000000004</v>
      </c>
      <c r="J46" s="359">
        <f t="shared" si="18"/>
        <v>15889.500000000004</v>
      </c>
      <c r="K46" s="362">
        <f t="shared" si="19"/>
        <v>59.732640648758228</v>
      </c>
      <c r="L46" s="336"/>
      <c r="M46" s="299">
        <v>23570.499999999996</v>
      </c>
    </row>
    <row r="47" spans="1:15" ht="14.45" customHeight="1">
      <c r="A47" s="97" t="s">
        <v>337</v>
      </c>
      <c r="B47" s="359">
        <v>4500</v>
      </c>
      <c r="C47" s="359">
        <v>4500</v>
      </c>
      <c r="D47" s="359">
        <v>4500</v>
      </c>
      <c r="E47" s="359"/>
      <c r="F47" s="359">
        <f t="shared" si="17"/>
        <v>50</v>
      </c>
      <c r="G47" s="359">
        <v>50</v>
      </c>
      <c r="H47" s="359">
        <v>50</v>
      </c>
      <c r="I47" s="359">
        <f t="shared" ref="I47:I52" si="20">D47-F47</f>
        <v>4450</v>
      </c>
      <c r="J47" s="359">
        <f t="shared" si="18"/>
        <v>4450</v>
      </c>
      <c r="K47" s="360">
        <f t="shared" si="19"/>
        <v>1.1111111111111112</v>
      </c>
      <c r="L47" s="336"/>
      <c r="M47" s="299">
        <v>50</v>
      </c>
    </row>
    <row r="48" spans="1:15" ht="14.45" customHeight="1">
      <c r="A48" s="97" t="s">
        <v>338</v>
      </c>
      <c r="B48" s="359">
        <v>3485000</v>
      </c>
      <c r="C48" s="359">
        <v>3669000</v>
      </c>
      <c r="D48" s="359">
        <v>3669000</v>
      </c>
      <c r="E48" s="359">
        <v>45579.85</v>
      </c>
      <c r="F48" s="359">
        <f>+M48+E48</f>
        <v>3458544.91</v>
      </c>
      <c r="G48" s="359">
        <v>3458544.91</v>
      </c>
      <c r="H48" s="359">
        <v>2958544.91</v>
      </c>
      <c r="I48" s="359">
        <f t="shared" si="20"/>
        <v>210455.08999999985</v>
      </c>
      <c r="J48" s="359">
        <f t="shared" si="18"/>
        <v>210455.08999999985</v>
      </c>
      <c r="K48" s="360">
        <f t="shared" si="19"/>
        <v>94.263965930771334</v>
      </c>
      <c r="L48" s="336"/>
      <c r="M48" s="299">
        <f>3662965.06-250000</f>
        <v>3412965.06</v>
      </c>
    </row>
    <row r="49" spans="1:20" ht="14.45" customHeight="1">
      <c r="A49" s="97" t="s">
        <v>339</v>
      </c>
      <c r="B49" s="359">
        <v>829000</v>
      </c>
      <c r="C49" s="359">
        <v>829000</v>
      </c>
      <c r="D49" s="359">
        <v>829000</v>
      </c>
      <c r="E49" s="303">
        <v>0</v>
      </c>
      <c r="F49" s="359">
        <f>+M49+E49</f>
        <v>289807.47000000003</v>
      </c>
      <c r="G49" s="359">
        <v>289807.46999999997</v>
      </c>
      <c r="H49" s="359">
        <v>289807.46999999997</v>
      </c>
      <c r="I49" s="359">
        <f t="shared" si="20"/>
        <v>539192.53</v>
      </c>
      <c r="J49" s="359">
        <f t="shared" si="18"/>
        <v>539192.53</v>
      </c>
      <c r="K49" s="360">
        <f t="shared" si="19"/>
        <v>34.958681544028956</v>
      </c>
      <c r="L49" s="336"/>
      <c r="M49" s="299">
        <v>289807.47000000003</v>
      </c>
    </row>
    <row r="50" spans="1:20" ht="14.45" customHeight="1">
      <c r="A50" s="97" t="s">
        <v>340</v>
      </c>
      <c r="B50" s="359">
        <v>86768</v>
      </c>
      <c r="C50" s="359">
        <v>844768</v>
      </c>
      <c r="D50" s="359">
        <v>844768</v>
      </c>
      <c r="E50" s="359"/>
      <c r="F50" s="359">
        <f>+M50+E50</f>
        <v>481247.68</v>
      </c>
      <c r="G50" s="359">
        <v>480959.84</v>
      </c>
      <c r="H50" s="359">
        <v>395477.4</v>
      </c>
      <c r="I50" s="359">
        <f t="shared" si="20"/>
        <v>363520.32</v>
      </c>
      <c r="J50" s="359">
        <f t="shared" si="18"/>
        <v>363520.32</v>
      </c>
      <c r="K50" s="360">
        <f t="shared" si="19"/>
        <v>56.968029092011065</v>
      </c>
      <c r="L50" s="336"/>
      <c r="M50" s="299">
        <v>481247.68</v>
      </c>
    </row>
    <row r="51" spans="1:20" ht="14.45" customHeight="1">
      <c r="A51" s="97" t="s">
        <v>341</v>
      </c>
      <c r="B51" s="359"/>
      <c r="C51" s="359">
        <v>30000</v>
      </c>
      <c r="D51" s="359">
        <v>30000</v>
      </c>
      <c r="E51" s="359"/>
      <c r="F51" s="359">
        <f t="shared" si="17"/>
        <v>12310.35</v>
      </c>
      <c r="G51" s="359">
        <v>3589.85</v>
      </c>
      <c r="H51" s="359">
        <v>1663.85</v>
      </c>
      <c r="I51" s="359">
        <f t="shared" si="20"/>
        <v>17689.650000000001</v>
      </c>
      <c r="J51" s="359">
        <f t="shared" si="18"/>
        <v>17689.650000000001</v>
      </c>
      <c r="K51" s="360">
        <f t="shared" si="19"/>
        <v>41.034500000000001</v>
      </c>
      <c r="L51" s="336"/>
      <c r="M51" s="299">
        <v>12310.35</v>
      </c>
    </row>
    <row r="52" spans="1:20" ht="14.45" customHeight="1">
      <c r="A52" s="97" t="s">
        <v>342</v>
      </c>
      <c r="B52" s="359">
        <v>600</v>
      </c>
      <c r="C52" s="359">
        <v>600</v>
      </c>
      <c r="D52" s="359">
        <v>600</v>
      </c>
      <c r="E52" s="359"/>
      <c r="F52" s="359">
        <f t="shared" si="17"/>
        <v>0</v>
      </c>
      <c r="G52" s="359"/>
      <c r="H52" s="359"/>
      <c r="I52" s="359">
        <f t="shared" si="20"/>
        <v>600</v>
      </c>
      <c r="J52" s="359">
        <f>C52-F52</f>
        <v>600</v>
      </c>
      <c r="K52" s="360">
        <f t="shared" si="19"/>
        <v>0</v>
      </c>
      <c r="L52" s="336">
        <v>0</v>
      </c>
      <c r="M52" s="299">
        <v>0</v>
      </c>
    </row>
    <row r="53" spans="1:20" ht="14.45" customHeight="1">
      <c r="A53" s="47" t="s">
        <v>343</v>
      </c>
      <c r="B53" s="361">
        <f t="shared" ref="B53:H53" si="21">+B54</f>
        <v>166433</v>
      </c>
      <c r="C53" s="361">
        <f t="shared" si="21"/>
        <v>48233</v>
      </c>
      <c r="D53" s="361">
        <f t="shared" si="21"/>
        <v>48233</v>
      </c>
      <c r="E53" s="361">
        <f t="shared" si="21"/>
        <v>0</v>
      </c>
      <c r="F53" s="361">
        <f t="shared" si="21"/>
        <v>8681.7400000000016</v>
      </c>
      <c r="G53" s="361">
        <f t="shared" si="21"/>
        <v>8302.15</v>
      </c>
      <c r="H53" s="361">
        <f t="shared" si="21"/>
        <v>8302.15</v>
      </c>
      <c r="I53" s="361">
        <f t="shared" ref="I53:I82" si="22">D53-F53</f>
        <v>39551.259999999995</v>
      </c>
      <c r="J53" s="361">
        <f>C53-F53</f>
        <v>39551.259999999995</v>
      </c>
      <c r="K53" s="362">
        <f t="shared" ref="K53:K76" si="23">F53/C53*100</f>
        <v>17.999585346132317</v>
      </c>
      <c r="L53" s="336"/>
      <c r="M53" s="445">
        <v>8681.7400000000016</v>
      </c>
    </row>
    <row r="54" spans="1:20" ht="14.45" customHeight="1">
      <c r="A54" s="97" t="s">
        <v>344</v>
      </c>
      <c r="B54" s="359">
        <v>166433</v>
      </c>
      <c r="C54" s="359">
        <v>48233</v>
      </c>
      <c r="D54" s="359">
        <v>48233</v>
      </c>
      <c r="E54" s="359">
        <v>0</v>
      </c>
      <c r="F54" s="359">
        <f t="shared" si="17"/>
        <v>8681.7400000000016</v>
      </c>
      <c r="G54" s="359">
        <v>8302.15</v>
      </c>
      <c r="H54" s="359">
        <v>8302.15</v>
      </c>
      <c r="I54" s="359">
        <f t="shared" si="22"/>
        <v>39551.259999999995</v>
      </c>
      <c r="J54" s="359">
        <f t="shared" ref="J54:J80" si="24">C54-F54</f>
        <v>39551.259999999995</v>
      </c>
      <c r="K54" s="360">
        <f t="shared" si="23"/>
        <v>17.999585346132317</v>
      </c>
      <c r="L54" s="336"/>
      <c r="M54" s="299">
        <v>8681.7400000000016</v>
      </c>
    </row>
    <row r="55" spans="1:20" ht="14.45" customHeight="1">
      <c r="A55" s="47" t="s">
        <v>345</v>
      </c>
      <c r="B55" s="361">
        <f>SUM(B56:B57)</f>
        <v>312205</v>
      </c>
      <c r="C55" s="361">
        <f>SUM(C56:C57)</f>
        <v>76450</v>
      </c>
      <c r="D55" s="361">
        <f>SUM(D56:D57)</f>
        <v>76450</v>
      </c>
      <c r="E55" s="361">
        <f>+E56+E57</f>
        <v>0</v>
      </c>
      <c r="F55" s="361">
        <f t="shared" si="17"/>
        <v>13692.730000000001</v>
      </c>
      <c r="G55" s="361">
        <f>+G56+G57</f>
        <v>13440.73</v>
      </c>
      <c r="H55" s="361">
        <f>SUM(H56:H57)</f>
        <v>10862.029999999999</v>
      </c>
      <c r="I55" s="361">
        <f t="shared" si="22"/>
        <v>62757.27</v>
      </c>
      <c r="J55" s="361">
        <f>C55-F55</f>
        <v>62757.27</v>
      </c>
      <c r="K55" s="362">
        <f t="shared" si="23"/>
        <v>17.910699803793332</v>
      </c>
      <c r="L55" s="336"/>
      <c r="M55" s="445">
        <v>13692.730000000001</v>
      </c>
      <c r="T55" s="101">
        <f ca="1">T55</f>
        <v>0</v>
      </c>
    </row>
    <row r="56" spans="1:20" ht="14.45" customHeight="1">
      <c r="A56" s="97" t="s">
        <v>346</v>
      </c>
      <c r="B56" s="359">
        <v>196055</v>
      </c>
      <c r="C56" s="359">
        <v>41300</v>
      </c>
      <c r="D56" s="359">
        <v>41300</v>
      </c>
      <c r="E56" s="359">
        <v>0</v>
      </c>
      <c r="F56" s="359">
        <f>+M56+E56</f>
        <v>7486.7300000000005</v>
      </c>
      <c r="G56" s="359">
        <v>7234.73</v>
      </c>
      <c r="H56" s="359">
        <v>4656.03</v>
      </c>
      <c r="I56" s="359">
        <f t="shared" si="22"/>
        <v>33813.269999999997</v>
      </c>
      <c r="J56" s="359">
        <f t="shared" si="24"/>
        <v>33813.269999999997</v>
      </c>
      <c r="K56" s="360">
        <f t="shared" si="23"/>
        <v>18.12767554479419</v>
      </c>
      <c r="L56" s="336"/>
      <c r="M56" s="299">
        <v>7486.7300000000005</v>
      </c>
    </row>
    <row r="57" spans="1:20" ht="14.45" customHeight="1">
      <c r="A57" s="97" t="s">
        <v>347</v>
      </c>
      <c r="B57" s="359">
        <v>116150</v>
      </c>
      <c r="C57" s="359">
        <v>35150</v>
      </c>
      <c r="D57" s="359">
        <v>35150</v>
      </c>
      <c r="E57" s="359">
        <v>0</v>
      </c>
      <c r="F57" s="359">
        <f t="shared" si="17"/>
        <v>6206</v>
      </c>
      <c r="G57" s="359">
        <v>6206</v>
      </c>
      <c r="H57" s="359">
        <v>6206</v>
      </c>
      <c r="I57" s="359">
        <f t="shared" si="22"/>
        <v>28944</v>
      </c>
      <c r="J57" s="359">
        <f t="shared" si="24"/>
        <v>28944</v>
      </c>
      <c r="K57" s="360">
        <f t="shared" si="23"/>
        <v>17.655761024182077</v>
      </c>
      <c r="L57" s="336"/>
      <c r="M57" s="299">
        <v>6206</v>
      </c>
    </row>
    <row r="58" spans="1:20" ht="14.45" customHeight="1">
      <c r="A58" s="47" t="s">
        <v>348</v>
      </c>
      <c r="B58" s="361">
        <f t="shared" ref="B58:H58" si="25">SUM(B59:B61)</f>
        <v>1316173</v>
      </c>
      <c r="C58" s="361">
        <f t="shared" si="25"/>
        <v>344413.92</v>
      </c>
      <c r="D58" s="361">
        <f t="shared" si="25"/>
        <v>344413.92</v>
      </c>
      <c r="E58" s="361">
        <f t="shared" si="25"/>
        <v>519</v>
      </c>
      <c r="F58" s="361">
        <f t="shared" si="25"/>
        <v>249295.42</v>
      </c>
      <c r="G58" s="361">
        <f t="shared" si="25"/>
        <v>249205.42</v>
      </c>
      <c r="H58" s="361">
        <f t="shared" si="25"/>
        <v>249205.42</v>
      </c>
      <c r="I58" s="361">
        <f t="shared" si="22"/>
        <v>95118.499999999971</v>
      </c>
      <c r="J58" s="361">
        <f>C58-F58</f>
        <v>95118.499999999971</v>
      </c>
      <c r="K58" s="362">
        <f t="shared" si="23"/>
        <v>72.382504168240359</v>
      </c>
      <c r="L58" s="335"/>
      <c r="M58" s="445">
        <f>248692.42-6+90</f>
        <v>248776.42</v>
      </c>
      <c r="N58" s="299" t="s">
        <v>6</v>
      </c>
    </row>
    <row r="59" spans="1:20" ht="14.45" customHeight="1">
      <c r="A59" s="97" t="s">
        <v>349</v>
      </c>
      <c r="B59" s="359">
        <v>705427</v>
      </c>
      <c r="C59" s="359">
        <v>267584</v>
      </c>
      <c r="D59" s="359">
        <v>267584</v>
      </c>
      <c r="E59" s="359">
        <v>503</v>
      </c>
      <c r="F59" s="359">
        <f>+M59+E59</f>
        <v>211232.1</v>
      </c>
      <c r="G59" s="359">
        <v>211232.1</v>
      </c>
      <c r="H59" s="359">
        <v>211232.1</v>
      </c>
      <c r="I59" s="359">
        <f t="shared" si="22"/>
        <v>56351.899999999994</v>
      </c>
      <c r="J59" s="359">
        <f t="shared" si="24"/>
        <v>56351.899999999994</v>
      </c>
      <c r="K59" s="360">
        <f t="shared" si="23"/>
        <v>78.940482241090649</v>
      </c>
      <c r="L59" s="336"/>
      <c r="M59" s="299">
        <f>210735.1-6</f>
        <v>210729.1</v>
      </c>
    </row>
    <row r="60" spans="1:20" ht="14.45" customHeight="1">
      <c r="A60" s="97" t="s">
        <v>350</v>
      </c>
      <c r="B60" s="359">
        <v>366300</v>
      </c>
      <c r="C60" s="359">
        <v>41242.92</v>
      </c>
      <c r="D60" s="359">
        <v>41242.92</v>
      </c>
      <c r="E60" s="359">
        <v>0</v>
      </c>
      <c r="F60" s="359">
        <f t="shared" si="17"/>
        <v>14840</v>
      </c>
      <c r="G60" s="359">
        <v>14840</v>
      </c>
      <c r="H60" s="359">
        <v>14840</v>
      </c>
      <c r="I60" s="359">
        <f t="shared" si="22"/>
        <v>26402.92</v>
      </c>
      <c r="J60" s="359">
        <f t="shared" si="24"/>
        <v>26402.92</v>
      </c>
      <c r="K60" s="360">
        <f t="shared" si="23"/>
        <v>35.981933383960211</v>
      </c>
      <c r="L60" s="336"/>
      <c r="M60" s="299">
        <v>14840</v>
      </c>
    </row>
    <row r="61" spans="1:20" ht="14.45" customHeight="1">
      <c r="A61" s="97" t="s">
        <v>351</v>
      </c>
      <c r="B61" s="359">
        <v>244446</v>
      </c>
      <c r="C61" s="359">
        <v>35587</v>
      </c>
      <c r="D61" s="359">
        <v>35587</v>
      </c>
      <c r="E61" s="359">
        <v>16</v>
      </c>
      <c r="F61" s="359">
        <f>+M61+E61</f>
        <v>23223.32</v>
      </c>
      <c r="G61" s="359">
        <v>23133.32</v>
      </c>
      <c r="H61" s="359">
        <v>23133.32</v>
      </c>
      <c r="I61" s="359">
        <f t="shared" si="22"/>
        <v>12363.68</v>
      </c>
      <c r="J61" s="359">
        <f t="shared" si="24"/>
        <v>12363.68</v>
      </c>
      <c r="K61" s="360">
        <f t="shared" si="23"/>
        <v>65.257875066737853</v>
      </c>
      <c r="L61" s="336"/>
      <c r="M61" s="299">
        <f>23117.32+90</f>
        <v>23207.32</v>
      </c>
      <c r="O61" s="297" t="s">
        <v>6</v>
      </c>
    </row>
    <row r="62" spans="1:20" ht="14.45" customHeight="1">
      <c r="A62" s="97"/>
      <c r="B62" s="39"/>
      <c r="C62" s="39"/>
      <c r="D62" s="39"/>
      <c r="E62" s="39"/>
      <c r="F62" s="39"/>
      <c r="G62" s="39"/>
      <c r="H62" s="39"/>
      <c r="I62" s="39"/>
      <c r="J62" s="39"/>
      <c r="K62" s="588"/>
      <c r="L62" s="336"/>
      <c r="M62" s="299"/>
      <c r="O62" s="297"/>
    </row>
    <row r="63" spans="1:20" ht="14.45" customHeight="1">
      <c r="A63" s="597" t="s">
        <v>166</v>
      </c>
      <c r="B63" s="597"/>
      <c r="C63" s="597"/>
      <c r="D63" s="597"/>
      <c r="E63" s="597"/>
      <c r="F63" s="597"/>
      <c r="G63" s="597"/>
      <c r="H63" s="597"/>
      <c r="I63" s="597"/>
      <c r="J63" s="597"/>
      <c r="K63" s="597"/>
      <c r="L63" s="336"/>
      <c r="M63" s="299"/>
      <c r="O63" s="297"/>
    </row>
    <row r="64" spans="1:20" ht="14.45" customHeight="1">
      <c r="A64" s="597" t="s">
        <v>167</v>
      </c>
      <c r="B64" s="597"/>
      <c r="C64" s="597"/>
      <c r="D64" s="597"/>
      <c r="E64" s="597"/>
      <c r="F64" s="597"/>
      <c r="G64" s="597"/>
      <c r="H64" s="597"/>
      <c r="I64" s="597"/>
      <c r="J64" s="597"/>
      <c r="K64" s="597"/>
      <c r="L64" s="336"/>
      <c r="M64" s="299"/>
      <c r="O64" s="297"/>
    </row>
    <row r="65" spans="1:15" ht="14.45" customHeight="1">
      <c r="A65" s="597" t="s">
        <v>168</v>
      </c>
      <c r="B65" s="597"/>
      <c r="C65" s="597"/>
      <c r="D65" s="597"/>
      <c r="E65" s="597"/>
      <c r="F65" s="597"/>
      <c r="G65" s="597"/>
      <c r="H65" s="597"/>
      <c r="I65" s="597"/>
      <c r="J65" s="597"/>
      <c r="K65" s="597"/>
      <c r="L65" s="336"/>
      <c r="M65" s="299"/>
      <c r="O65" s="297"/>
    </row>
    <row r="66" spans="1:15" ht="14.45" customHeight="1">
      <c r="A66" s="597" t="s">
        <v>578</v>
      </c>
      <c r="B66" s="597"/>
      <c r="C66" s="597"/>
      <c r="D66" s="597"/>
      <c r="E66" s="597"/>
      <c r="F66" s="597"/>
      <c r="G66" s="597"/>
      <c r="H66" s="597"/>
      <c r="I66" s="597"/>
      <c r="J66" s="597"/>
      <c r="K66" s="597"/>
      <c r="L66" s="336"/>
      <c r="M66" s="299"/>
      <c r="O66" s="297"/>
    </row>
    <row r="67" spans="1:15" ht="6.75" customHeight="1">
      <c r="A67" s="305"/>
      <c r="B67" s="305"/>
      <c r="C67" s="600"/>
      <c r="D67" s="600"/>
      <c r="E67" s="600"/>
      <c r="F67" s="600"/>
      <c r="G67" s="600"/>
      <c r="H67" s="600"/>
      <c r="I67" s="305"/>
      <c r="J67" s="304"/>
      <c r="K67" s="304"/>
      <c r="L67" s="336"/>
      <c r="M67" s="299"/>
      <c r="O67" s="297"/>
    </row>
    <row r="68" spans="1:15" ht="14.45" customHeight="1">
      <c r="A68" s="651" t="s">
        <v>0</v>
      </c>
      <c r="B68" s="648" t="s">
        <v>20</v>
      </c>
      <c r="C68" s="648"/>
      <c r="D68" s="648"/>
      <c r="E68" s="649"/>
      <c r="F68" s="648"/>
      <c r="G68" s="650"/>
      <c r="H68" s="648"/>
      <c r="I68" s="646" t="s">
        <v>579</v>
      </c>
      <c r="J68" s="646" t="s">
        <v>591</v>
      </c>
      <c r="K68" s="645" t="s">
        <v>592</v>
      </c>
      <c r="L68" s="336"/>
      <c r="M68" s="299"/>
      <c r="O68" s="297"/>
    </row>
    <row r="69" spans="1:15" ht="38.25" customHeight="1">
      <c r="A69" s="652"/>
      <c r="B69" s="355" t="s">
        <v>476</v>
      </c>
      <c r="C69" s="355" t="s">
        <v>485</v>
      </c>
      <c r="D69" s="355" t="s">
        <v>587</v>
      </c>
      <c r="E69" s="355" t="s">
        <v>492</v>
      </c>
      <c r="F69" s="355" t="s">
        <v>588</v>
      </c>
      <c r="G69" s="355" t="s">
        <v>589</v>
      </c>
      <c r="H69" s="355" t="s">
        <v>590</v>
      </c>
      <c r="I69" s="647"/>
      <c r="J69" s="647"/>
      <c r="K69" s="630"/>
      <c r="L69" s="336"/>
      <c r="M69" s="299"/>
      <c r="O69" s="297"/>
    </row>
    <row r="70" spans="1:15" ht="14.45" customHeight="1">
      <c r="A70" s="47" t="s">
        <v>352</v>
      </c>
      <c r="B70" s="361">
        <f t="shared" ref="B70:H70" si="26">SUM(B71:B74)</f>
        <v>707102</v>
      </c>
      <c r="C70" s="361">
        <f t="shared" si="26"/>
        <v>283348.57999999996</v>
      </c>
      <c r="D70" s="361">
        <f t="shared" si="26"/>
        <v>283348.57999999996</v>
      </c>
      <c r="E70" s="361">
        <f t="shared" si="26"/>
        <v>2380.1799999999998</v>
      </c>
      <c r="F70" s="361">
        <f t="shared" si="26"/>
        <v>108352.96000000001</v>
      </c>
      <c r="G70" s="361">
        <f t="shared" si="26"/>
        <v>97520.56</v>
      </c>
      <c r="H70" s="361">
        <f t="shared" si="26"/>
        <v>89799.03</v>
      </c>
      <c r="I70" s="361">
        <f t="shared" si="22"/>
        <v>174995.61999999994</v>
      </c>
      <c r="J70" s="361">
        <f>C70-F70</f>
        <v>174995.61999999994</v>
      </c>
      <c r="K70" s="362">
        <f t="shared" si="23"/>
        <v>38.240163405795094</v>
      </c>
      <c r="L70" s="335"/>
      <c r="M70" s="445">
        <f>105998.78-26</f>
        <v>105972.78</v>
      </c>
      <c r="N70" s="299" t="s">
        <v>6</v>
      </c>
    </row>
    <row r="71" spans="1:15" ht="14.45" customHeight="1">
      <c r="A71" s="97" t="s">
        <v>458</v>
      </c>
      <c r="B71" s="359">
        <v>294670</v>
      </c>
      <c r="C71" s="359">
        <v>177291.48</v>
      </c>
      <c r="D71" s="359">
        <v>177291.48</v>
      </c>
      <c r="E71" s="359">
        <v>3235.68</v>
      </c>
      <c r="F71" s="359">
        <f t="shared" si="17"/>
        <v>65208.27</v>
      </c>
      <c r="G71" s="359">
        <v>65208.27</v>
      </c>
      <c r="H71" s="359">
        <v>62759.32</v>
      </c>
      <c r="I71" s="359">
        <f t="shared" si="22"/>
        <v>112083.21000000002</v>
      </c>
      <c r="J71" s="359">
        <f t="shared" si="24"/>
        <v>112083.21000000002</v>
      </c>
      <c r="K71" s="360">
        <f t="shared" si="23"/>
        <v>36.780261521873463</v>
      </c>
      <c r="L71" s="336"/>
      <c r="M71" s="299">
        <f>61998.59-26</f>
        <v>61972.59</v>
      </c>
    </row>
    <row r="72" spans="1:15" ht="14.45" customHeight="1">
      <c r="A72" s="97" t="s">
        <v>452</v>
      </c>
      <c r="B72" s="359">
        <v>360662</v>
      </c>
      <c r="C72" s="359">
        <v>55644</v>
      </c>
      <c r="D72" s="359">
        <v>55644</v>
      </c>
      <c r="E72" s="359"/>
      <c r="F72" s="359">
        <f t="shared" si="17"/>
        <v>22051.58</v>
      </c>
      <c r="G72" s="359">
        <v>17158.88</v>
      </c>
      <c r="H72" s="359">
        <v>11886.3</v>
      </c>
      <c r="I72" s="359">
        <f t="shared" si="22"/>
        <v>33592.42</v>
      </c>
      <c r="J72" s="359">
        <f t="shared" si="24"/>
        <v>33592.42</v>
      </c>
      <c r="K72" s="360">
        <f t="shared" si="23"/>
        <v>39.629753432535409</v>
      </c>
      <c r="L72" s="336"/>
      <c r="M72" s="299">
        <v>22051.58</v>
      </c>
    </row>
    <row r="73" spans="1:15" ht="14.45" customHeight="1">
      <c r="A73" s="97" t="s">
        <v>353</v>
      </c>
      <c r="B73" s="359">
        <v>51770</v>
      </c>
      <c r="C73" s="359">
        <v>43070</v>
      </c>
      <c r="D73" s="359">
        <v>43070</v>
      </c>
      <c r="E73" s="530">
        <f>-855.5</f>
        <v>-855.5</v>
      </c>
      <c r="F73" s="359">
        <f t="shared" si="17"/>
        <v>19979.52</v>
      </c>
      <c r="G73" s="359">
        <v>14039.82</v>
      </c>
      <c r="H73" s="359">
        <v>14039.82</v>
      </c>
      <c r="I73" s="359">
        <f t="shared" si="22"/>
        <v>23090.48</v>
      </c>
      <c r="J73" s="359">
        <f t="shared" si="24"/>
        <v>23090.48</v>
      </c>
      <c r="K73" s="360">
        <f t="shared" si="23"/>
        <v>46.388483863478058</v>
      </c>
      <c r="L73" s="336"/>
      <c r="M73" s="299">
        <v>20835.02</v>
      </c>
    </row>
    <row r="74" spans="1:15" ht="14.45" customHeight="1">
      <c r="A74" s="97" t="s">
        <v>354</v>
      </c>
      <c r="B74" s="359"/>
      <c r="C74" s="359">
        <v>7343.1</v>
      </c>
      <c r="D74" s="359">
        <v>7343.1</v>
      </c>
      <c r="E74" s="359"/>
      <c r="F74" s="359">
        <f t="shared" si="17"/>
        <v>1113.5899999999999</v>
      </c>
      <c r="G74" s="359">
        <v>1113.5899999999999</v>
      </c>
      <c r="H74" s="359">
        <v>1113.5899999999999</v>
      </c>
      <c r="I74" s="359">
        <f t="shared" si="22"/>
        <v>6229.51</v>
      </c>
      <c r="J74" s="359">
        <f>C74-F74</f>
        <v>6229.51</v>
      </c>
      <c r="K74" s="360">
        <f t="shared" si="23"/>
        <v>15.165120997943646</v>
      </c>
      <c r="L74" s="336"/>
      <c r="M74" s="299">
        <v>1113.5899999999999</v>
      </c>
    </row>
    <row r="75" spans="1:15" ht="14.45" customHeight="1">
      <c r="A75" s="47" t="s">
        <v>355</v>
      </c>
      <c r="B75" s="361">
        <f t="shared" ref="B75:H75" si="27">SUM(B76:B80)</f>
        <v>5576534</v>
      </c>
      <c r="C75" s="361">
        <f t="shared" si="27"/>
        <v>2234444.7000000002</v>
      </c>
      <c r="D75" s="361">
        <f t="shared" si="27"/>
        <v>2234444.7000000002</v>
      </c>
      <c r="E75" s="361">
        <f t="shared" si="27"/>
        <v>0</v>
      </c>
      <c r="F75" s="361">
        <f t="shared" si="27"/>
        <v>999102.39</v>
      </c>
      <c r="G75" s="361">
        <f t="shared" si="27"/>
        <v>848373.53</v>
      </c>
      <c r="H75" s="361">
        <f t="shared" si="27"/>
        <v>363926.3</v>
      </c>
      <c r="I75" s="361">
        <f t="shared" si="22"/>
        <v>1235342.31</v>
      </c>
      <c r="J75" s="361">
        <f>C75-F75</f>
        <v>1235342.31</v>
      </c>
      <c r="K75" s="362">
        <f t="shared" si="23"/>
        <v>44.713677183418319</v>
      </c>
      <c r="L75" s="335"/>
      <c r="M75" s="445">
        <v>999102.39</v>
      </c>
    </row>
    <row r="76" spans="1:15" ht="14.45" customHeight="1">
      <c r="A76" s="97" t="s">
        <v>356</v>
      </c>
      <c r="B76" s="359">
        <v>1260</v>
      </c>
      <c r="C76" s="359">
        <v>1260</v>
      </c>
      <c r="D76" s="359">
        <v>1260</v>
      </c>
      <c r="E76" s="359">
        <v>0</v>
      </c>
      <c r="F76" s="359">
        <f t="shared" si="17"/>
        <v>435</v>
      </c>
      <c r="G76" s="359">
        <v>435</v>
      </c>
      <c r="H76" s="359">
        <v>435</v>
      </c>
      <c r="I76" s="359">
        <f t="shared" si="22"/>
        <v>825</v>
      </c>
      <c r="J76" s="359">
        <f t="shared" si="24"/>
        <v>825</v>
      </c>
      <c r="K76" s="360">
        <f t="shared" si="23"/>
        <v>34.523809523809526</v>
      </c>
      <c r="L76" s="336"/>
      <c r="M76" s="299">
        <v>435</v>
      </c>
    </row>
    <row r="77" spans="1:15" ht="14.45" customHeight="1">
      <c r="A77" s="97" t="s">
        <v>467</v>
      </c>
      <c r="B77" s="359">
        <v>4300</v>
      </c>
      <c r="C77" s="359">
        <v>4300</v>
      </c>
      <c r="D77" s="359">
        <v>4300</v>
      </c>
      <c r="E77" s="359"/>
      <c r="F77" s="359">
        <f t="shared" si="17"/>
        <v>0</v>
      </c>
      <c r="G77" s="359"/>
      <c r="H77" s="359"/>
      <c r="I77" s="359">
        <f t="shared" si="22"/>
        <v>4300</v>
      </c>
      <c r="J77" s="359">
        <f t="shared" si="24"/>
        <v>4300</v>
      </c>
      <c r="K77" s="360">
        <f t="shared" ref="K77:K82" si="28">F77/C77*100</f>
        <v>0</v>
      </c>
      <c r="L77" s="336"/>
      <c r="M77" s="299">
        <v>0</v>
      </c>
    </row>
    <row r="78" spans="1:15" ht="14.45" customHeight="1">
      <c r="A78" s="97" t="s">
        <v>357</v>
      </c>
      <c r="B78" s="359">
        <v>363407</v>
      </c>
      <c r="C78" s="359">
        <v>120407</v>
      </c>
      <c r="D78" s="359">
        <v>120407</v>
      </c>
      <c r="E78" s="359">
        <v>0</v>
      </c>
      <c r="F78" s="359">
        <f t="shared" si="17"/>
        <v>96672.86</v>
      </c>
      <c r="G78" s="359">
        <v>12933.27</v>
      </c>
      <c r="H78" s="359">
        <v>817.68</v>
      </c>
      <c r="I78" s="359">
        <f t="shared" si="22"/>
        <v>23734.14</v>
      </c>
      <c r="J78" s="359">
        <f t="shared" si="24"/>
        <v>23734.14</v>
      </c>
      <c r="K78" s="360">
        <f t="shared" si="28"/>
        <v>80.288405159168491</v>
      </c>
      <c r="L78" s="336"/>
      <c r="M78" s="299">
        <v>96672.86</v>
      </c>
    </row>
    <row r="79" spans="1:15" ht="14.45" customHeight="1">
      <c r="A79" s="97" t="s">
        <v>358</v>
      </c>
      <c r="B79" s="359">
        <v>4195644</v>
      </c>
      <c r="C79" s="359">
        <v>1533995.7</v>
      </c>
      <c r="D79" s="359">
        <v>1533995.7</v>
      </c>
      <c r="E79" s="359">
        <v>0</v>
      </c>
      <c r="F79" s="359">
        <f t="shared" si="17"/>
        <v>462895.58</v>
      </c>
      <c r="G79" s="359">
        <v>433026.13</v>
      </c>
      <c r="H79" s="359">
        <v>236292.75</v>
      </c>
      <c r="I79" s="359">
        <f t="shared" si="22"/>
        <v>1071100.1199999999</v>
      </c>
      <c r="J79" s="359">
        <f t="shared" si="24"/>
        <v>1071100.1199999999</v>
      </c>
      <c r="K79" s="360">
        <f t="shared" si="28"/>
        <v>30.175806881336108</v>
      </c>
      <c r="L79" s="336"/>
      <c r="M79" s="299">
        <v>462895.58</v>
      </c>
    </row>
    <row r="80" spans="1:15" ht="14.45" customHeight="1">
      <c r="A80" s="97" t="s">
        <v>359</v>
      </c>
      <c r="B80" s="359">
        <v>1011923</v>
      </c>
      <c r="C80" s="359">
        <v>574482</v>
      </c>
      <c r="D80" s="359">
        <v>574482</v>
      </c>
      <c r="E80" s="359">
        <v>0</v>
      </c>
      <c r="F80" s="359">
        <f>+M80+E80</f>
        <v>439098.94999999995</v>
      </c>
      <c r="G80" s="359">
        <v>401979.13</v>
      </c>
      <c r="H80" s="359">
        <v>126380.87</v>
      </c>
      <c r="I80" s="359">
        <f t="shared" si="22"/>
        <v>135383.05000000005</v>
      </c>
      <c r="J80" s="359">
        <f t="shared" si="24"/>
        <v>135383.05000000005</v>
      </c>
      <c r="K80" s="360">
        <f t="shared" si="28"/>
        <v>76.433891749436881</v>
      </c>
      <c r="L80" s="336"/>
      <c r="M80" s="299">
        <v>439098.94999999995</v>
      </c>
    </row>
    <row r="81" spans="1:15" ht="14.45" customHeight="1">
      <c r="A81" s="47" t="s">
        <v>360</v>
      </c>
      <c r="B81" s="361">
        <f>SUM(B82:B83)</f>
        <v>3333076</v>
      </c>
      <c r="C81" s="361">
        <f>SUM(C82:C83)</f>
        <v>1587420</v>
      </c>
      <c r="D81" s="361">
        <f>SUM(D82:D83)</f>
        <v>1587420</v>
      </c>
      <c r="E81" s="361">
        <f>+E83</f>
        <v>6207.94</v>
      </c>
      <c r="F81" s="361">
        <f t="shared" si="17"/>
        <v>45027.26</v>
      </c>
      <c r="G81" s="361">
        <f>SUM(G82:G83)</f>
        <v>45027.26</v>
      </c>
      <c r="H81" s="361">
        <f>+H83</f>
        <v>0</v>
      </c>
      <c r="I81" s="361">
        <f t="shared" si="22"/>
        <v>1542392.74</v>
      </c>
      <c r="J81" s="361">
        <f>C81-F81</f>
        <v>1542392.74</v>
      </c>
      <c r="K81" s="360">
        <f t="shared" si="28"/>
        <v>2.8365057766690605</v>
      </c>
      <c r="L81" s="336"/>
      <c r="M81" s="445">
        <v>38819.32</v>
      </c>
    </row>
    <row r="82" spans="1:15" ht="14.45" customHeight="1">
      <c r="A82" s="97" t="s">
        <v>468</v>
      </c>
      <c r="B82" s="359">
        <v>136072</v>
      </c>
      <c r="C82" s="359">
        <v>136072</v>
      </c>
      <c r="D82" s="359">
        <v>136072</v>
      </c>
      <c r="E82" s="361"/>
      <c r="F82" s="361">
        <f t="shared" si="17"/>
        <v>0</v>
      </c>
      <c r="G82" s="359"/>
      <c r="H82" s="361"/>
      <c r="I82" s="359">
        <f t="shared" si="22"/>
        <v>136072</v>
      </c>
      <c r="J82" s="359">
        <f>C82-F82</f>
        <v>136072</v>
      </c>
      <c r="K82" s="360">
        <f t="shared" si="28"/>
        <v>0</v>
      </c>
      <c r="L82" s="336"/>
      <c r="M82" s="299">
        <v>0</v>
      </c>
    </row>
    <row r="83" spans="1:15" ht="14.45" customHeight="1">
      <c r="A83" s="97" t="s">
        <v>361</v>
      </c>
      <c r="B83" s="359">
        <v>3197004</v>
      </c>
      <c r="C83" s="359">
        <v>1451348</v>
      </c>
      <c r="D83" s="359">
        <v>1451348</v>
      </c>
      <c r="E83" s="359">
        <v>6207.94</v>
      </c>
      <c r="F83" s="359">
        <f t="shared" si="17"/>
        <v>45027.26</v>
      </c>
      <c r="G83" s="359">
        <v>45027.26</v>
      </c>
      <c r="H83" s="359"/>
      <c r="I83" s="359">
        <f>B83-E83</f>
        <v>3190796.06</v>
      </c>
      <c r="J83" s="359">
        <f>C83-F83</f>
        <v>1406320.74</v>
      </c>
      <c r="K83" s="360">
        <f>F83/C83*100</f>
        <v>3.1024440726827751</v>
      </c>
      <c r="L83" s="336"/>
      <c r="M83" s="299">
        <v>38819.32</v>
      </c>
    </row>
    <row r="84" spans="1:15" ht="14.45" customHeight="1">
      <c r="A84" s="47" t="s">
        <v>362</v>
      </c>
      <c r="B84" s="361">
        <f t="shared" ref="B84:G84" si="29">SUM(B85:B90)</f>
        <v>2266214</v>
      </c>
      <c r="C84" s="361">
        <f>SUM(C85:C90)</f>
        <v>1632609</v>
      </c>
      <c r="D84" s="361">
        <f t="shared" si="29"/>
        <v>1632609</v>
      </c>
      <c r="E84" s="361">
        <f t="shared" si="29"/>
        <v>26852.25</v>
      </c>
      <c r="F84" s="361">
        <f>+E84+M84</f>
        <v>735636.78999999992</v>
      </c>
      <c r="G84" s="361">
        <f t="shared" si="29"/>
        <v>463277.41000000003</v>
      </c>
      <c r="H84" s="361">
        <f>SUM(H85:H90)</f>
        <v>344485.81</v>
      </c>
      <c r="I84" s="361">
        <f>D84-F84</f>
        <v>896972.21000000008</v>
      </c>
      <c r="J84" s="361">
        <f>C84-F84</f>
        <v>896972.21000000008</v>
      </c>
      <c r="K84" s="362">
        <f>F84/C84*100</f>
        <v>45.058969416437122</v>
      </c>
      <c r="L84" s="335"/>
      <c r="M84" s="445">
        <f>711587.94-2803.4</f>
        <v>708784.53999999992</v>
      </c>
      <c r="N84" s="299" t="s">
        <v>6</v>
      </c>
      <c r="O84" s="299" t="s">
        <v>6</v>
      </c>
    </row>
    <row r="85" spans="1:15" ht="14.45" customHeight="1">
      <c r="A85" s="97" t="s">
        <v>469</v>
      </c>
      <c r="B85" s="359">
        <v>98576</v>
      </c>
      <c r="C85" s="359">
        <v>26576</v>
      </c>
      <c r="D85" s="359">
        <v>26576</v>
      </c>
      <c r="E85" s="359">
        <v>0</v>
      </c>
      <c r="F85" s="359">
        <f t="shared" si="17"/>
        <v>6473.5</v>
      </c>
      <c r="G85" s="359">
        <v>6473.5</v>
      </c>
      <c r="H85" s="359">
        <v>6473.5</v>
      </c>
      <c r="I85" s="359">
        <f t="shared" ref="I85:I90" si="30">D85-F85</f>
        <v>20102.5</v>
      </c>
      <c r="J85" s="359">
        <f t="shared" ref="J85:J90" si="31">C85-F85</f>
        <v>20102.5</v>
      </c>
      <c r="K85" s="360">
        <f>F85/C85*100</f>
        <v>24.358443708609272</v>
      </c>
      <c r="L85" s="335"/>
      <c r="M85" s="299">
        <v>6473.5</v>
      </c>
    </row>
    <row r="86" spans="1:15" ht="14.45" customHeight="1">
      <c r="A86" s="97" t="s">
        <v>459</v>
      </c>
      <c r="B86" s="359">
        <v>510581</v>
      </c>
      <c r="C86" s="359">
        <v>324581</v>
      </c>
      <c r="D86" s="359">
        <v>324581</v>
      </c>
      <c r="E86" s="359">
        <v>2803.4</v>
      </c>
      <c r="F86" s="359">
        <f>+M86+E86</f>
        <v>250331.22</v>
      </c>
      <c r="G86" s="359">
        <v>167896.68</v>
      </c>
      <c r="H86" s="359">
        <v>125078.92</v>
      </c>
      <c r="I86" s="359">
        <f t="shared" si="30"/>
        <v>74249.78</v>
      </c>
      <c r="J86" s="359">
        <f t="shared" si="31"/>
        <v>74249.78</v>
      </c>
      <c r="K86" s="360">
        <f t="shared" ref="K86:K89" si="32">F86/C86*100</f>
        <v>77.124421947064064</v>
      </c>
      <c r="L86" s="336"/>
      <c r="M86" s="299">
        <f>250331.22-2803.4</f>
        <v>247527.82</v>
      </c>
    </row>
    <row r="87" spans="1:15" ht="14.45" customHeight="1">
      <c r="A87" s="97" t="s">
        <v>453</v>
      </c>
      <c r="B87" s="359">
        <v>61033</v>
      </c>
      <c r="C87" s="359">
        <v>36033</v>
      </c>
      <c r="D87" s="359">
        <v>36033</v>
      </c>
      <c r="E87" s="359"/>
      <c r="F87" s="359">
        <f t="shared" si="17"/>
        <v>4815</v>
      </c>
      <c r="G87" s="359">
        <v>4815</v>
      </c>
      <c r="H87" s="359">
        <v>4815</v>
      </c>
      <c r="I87" s="359">
        <f t="shared" si="30"/>
        <v>31218</v>
      </c>
      <c r="J87" s="359">
        <f t="shared" si="31"/>
        <v>31218</v>
      </c>
      <c r="K87" s="360">
        <f t="shared" si="32"/>
        <v>13.362750811755891</v>
      </c>
      <c r="L87" s="336"/>
      <c r="M87" s="299">
        <v>4815</v>
      </c>
    </row>
    <row r="88" spans="1:15" ht="14.45" customHeight="1">
      <c r="A88" s="97" t="s">
        <v>470</v>
      </c>
      <c r="B88" s="359">
        <v>51165</v>
      </c>
      <c r="C88" s="359">
        <v>10165</v>
      </c>
      <c r="D88" s="359">
        <v>10165</v>
      </c>
      <c r="E88" s="359"/>
      <c r="F88" s="359">
        <f t="shared" si="17"/>
        <v>0</v>
      </c>
      <c r="G88" s="359"/>
      <c r="H88" s="359"/>
      <c r="I88" s="359">
        <f t="shared" si="30"/>
        <v>10165</v>
      </c>
      <c r="J88" s="359">
        <f t="shared" si="31"/>
        <v>10165</v>
      </c>
      <c r="K88" s="360">
        <f t="shared" si="32"/>
        <v>0</v>
      </c>
      <c r="L88" s="336"/>
      <c r="M88" s="299">
        <v>0</v>
      </c>
    </row>
    <row r="89" spans="1:15" ht="14.45" customHeight="1">
      <c r="A89" s="97" t="s">
        <v>363</v>
      </c>
      <c r="B89" s="359">
        <v>123195</v>
      </c>
      <c r="C89" s="359">
        <v>98195</v>
      </c>
      <c r="D89" s="359">
        <v>98195</v>
      </c>
      <c r="E89" s="359">
        <v>-1626.4</v>
      </c>
      <c r="F89" s="359">
        <f t="shared" si="17"/>
        <v>83905.280000000013</v>
      </c>
      <c r="G89" s="359">
        <v>81345.34</v>
      </c>
      <c r="H89" s="359">
        <v>77315.960000000006</v>
      </c>
      <c r="I89" s="359">
        <f t="shared" si="30"/>
        <v>14289.719999999987</v>
      </c>
      <c r="J89" s="359">
        <f t="shared" si="31"/>
        <v>14289.719999999987</v>
      </c>
      <c r="K89" s="360">
        <f t="shared" si="32"/>
        <v>85.447609348744862</v>
      </c>
      <c r="L89" s="336"/>
      <c r="M89" s="299">
        <v>85531.680000000008</v>
      </c>
    </row>
    <row r="90" spans="1:15" ht="14.45" customHeight="1">
      <c r="A90" s="97" t="s">
        <v>364</v>
      </c>
      <c r="B90" s="359">
        <v>1421664</v>
      </c>
      <c r="C90" s="359">
        <v>1137059</v>
      </c>
      <c r="D90" s="359">
        <v>1137059</v>
      </c>
      <c r="E90" s="359">
        <v>25675.25</v>
      </c>
      <c r="F90" s="359">
        <f t="shared" si="17"/>
        <v>390111.79000000004</v>
      </c>
      <c r="G90" s="359">
        <v>202746.89</v>
      </c>
      <c r="H90" s="359">
        <v>130802.43</v>
      </c>
      <c r="I90" s="359">
        <f t="shared" si="30"/>
        <v>746947.21</v>
      </c>
      <c r="J90" s="359">
        <f t="shared" si="31"/>
        <v>746947.21</v>
      </c>
      <c r="K90" s="360">
        <f>F90/C90*100</f>
        <v>34.308843252636848</v>
      </c>
      <c r="L90" s="336"/>
      <c r="M90" s="299">
        <v>364436.54000000004</v>
      </c>
    </row>
    <row r="91" spans="1:15" ht="14.45" customHeight="1">
      <c r="A91" s="47" t="s">
        <v>365</v>
      </c>
      <c r="B91" s="361"/>
      <c r="C91" s="361">
        <f>SUM(C92:C100)</f>
        <v>486610</v>
      </c>
      <c r="D91" s="361">
        <f>SUM(D92:D100)</f>
        <v>486610</v>
      </c>
      <c r="E91" s="361">
        <f>SUM(E92:E100)</f>
        <v>0</v>
      </c>
      <c r="F91" s="361">
        <f>+M91+E91</f>
        <v>441027.47</v>
      </c>
      <c r="G91" s="361">
        <f>SUM(G92:G100)</f>
        <v>417972.77</v>
      </c>
      <c r="H91" s="361">
        <f>SUM(H92:H100)</f>
        <v>217504.01</v>
      </c>
      <c r="I91" s="361">
        <f>D91-F91</f>
        <v>45582.530000000028</v>
      </c>
      <c r="J91" s="361">
        <f>C91-F91</f>
        <v>45582.530000000028</v>
      </c>
      <c r="K91" s="362">
        <f t="shared" ref="K91" si="33">F91/D91*100</f>
        <v>90.63263599186206</v>
      </c>
      <c r="L91" s="335"/>
      <c r="M91" s="445">
        <v>441027.47</v>
      </c>
    </row>
    <row r="92" spans="1:15" ht="14.45" customHeight="1">
      <c r="A92" s="97" t="s">
        <v>366</v>
      </c>
      <c r="B92" s="359"/>
      <c r="C92" s="359">
        <v>3950</v>
      </c>
      <c r="D92" s="359">
        <v>3950</v>
      </c>
      <c r="E92" s="359">
        <v>0</v>
      </c>
      <c r="F92" s="359">
        <f t="shared" si="17"/>
        <v>3722.94</v>
      </c>
      <c r="G92" s="359"/>
      <c r="H92" s="359">
        <v>936</v>
      </c>
      <c r="I92" s="359">
        <f>D92-F92</f>
        <v>227.05999999999995</v>
      </c>
      <c r="J92" s="359">
        <f>C92-F92</f>
        <v>227.05999999999995</v>
      </c>
      <c r="K92" s="360">
        <f>F92/C92*100</f>
        <v>94.251645569620251</v>
      </c>
      <c r="L92" s="336"/>
      <c r="M92" s="299">
        <v>3722.94</v>
      </c>
    </row>
    <row r="93" spans="1:15" ht="14.45" customHeight="1">
      <c r="A93" s="97" t="s">
        <v>367</v>
      </c>
      <c r="B93" s="359"/>
      <c r="C93" s="359">
        <v>185390</v>
      </c>
      <c r="D93" s="359">
        <v>185390</v>
      </c>
      <c r="E93" s="359">
        <v>0</v>
      </c>
      <c r="F93" s="359">
        <f>+M93+E93</f>
        <v>183562.78999999998</v>
      </c>
      <c r="G93" s="359">
        <v>179554.3</v>
      </c>
      <c r="H93" s="359">
        <v>181449.54</v>
      </c>
      <c r="I93" s="359">
        <f t="shared" ref="I93:I100" si="34">D93-F93</f>
        <v>1827.210000000021</v>
      </c>
      <c r="J93" s="359">
        <f t="shared" ref="J93:J100" si="35">C93-F93</f>
        <v>1827.210000000021</v>
      </c>
      <c r="K93" s="360">
        <f t="shared" ref="K93:K100" si="36">F93/C93*100</f>
        <v>99.014396677274917</v>
      </c>
      <c r="L93" s="336"/>
      <c r="M93" s="299">
        <v>183562.78999999998</v>
      </c>
    </row>
    <row r="94" spans="1:15" ht="14.45" customHeight="1">
      <c r="A94" s="97" t="s">
        <v>490</v>
      </c>
      <c r="B94" s="359"/>
      <c r="C94" s="359">
        <v>100</v>
      </c>
      <c r="D94" s="359">
        <v>100</v>
      </c>
      <c r="E94" s="359"/>
      <c r="F94" s="359"/>
      <c r="G94" s="359"/>
      <c r="H94" s="359"/>
      <c r="I94" s="359"/>
      <c r="J94" s="359">
        <f t="shared" si="35"/>
        <v>100</v>
      </c>
      <c r="K94" s="360">
        <f t="shared" si="36"/>
        <v>0</v>
      </c>
      <c r="L94" s="336"/>
      <c r="M94" s="299"/>
    </row>
    <row r="95" spans="1:15" ht="14.45" customHeight="1">
      <c r="A95" s="97" t="s">
        <v>489</v>
      </c>
      <c r="B95" s="359"/>
      <c r="C95" s="359">
        <v>150</v>
      </c>
      <c r="D95" s="359">
        <v>150</v>
      </c>
      <c r="E95" s="359">
        <v>0</v>
      </c>
      <c r="F95" s="359">
        <f t="shared" si="17"/>
        <v>149.80000000000001</v>
      </c>
      <c r="G95" s="359">
        <v>0</v>
      </c>
      <c r="H95" s="359">
        <v>149.80000000000001</v>
      </c>
      <c r="I95" s="359"/>
      <c r="J95" s="359">
        <f t="shared" si="35"/>
        <v>0.19999999999998863</v>
      </c>
      <c r="K95" s="360">
        <f t="shared" si="36"/>
        <v>99.866666666666674</v>
      </c>
      <c r="L95" s="336"/>
      <c r="M95" s="299">
        <v>149.80000000000001</v>
      </c>
    </row>
    <row r="96" spans="1:15" ht="14.45" customHeight="1">
      <c r="A96" s="97" t="s">
        <v>368</v>
      </c>
      <c r="B96" s="359"/>
      <c r="C96" s="359">
        <v>4260</v>
      </c>
      <c r="D96" s="359">
        <v>4260</v>
      </c>
      <c r="E96" s="359">
        <v>0</v>
      </c>
      <c r="F96" s="359">
        <f t="shared" si="17"/>
        <v>2538</v>
      </c>
      <c r="G96" s="359">
        <v>2538</v>
      </c>
      <c r="H96" s="359">
        <v>2538</v>
      </c>
      <c r="I96" s="359">
        <f t="shared" si="34"/>
        <v>1722</v>
      </c>
      <c r="J96" s="359">
        <f t="shared" si="35"/>
        <v>1722</v>
      </c>
      <c r="K96" s="360">
        <f>F96/C96*100</f>
        <v>59.577464788732392</v>
      </c>
      <c r="L96" s="336"/>
      <c r="M96" s="299">
        <v>2538</v>
      </c>
    </row>
    <row r="97" spans="1:640" ht="14.45" customHeight="1">
      <c r="A97" s="97" t="s">
        <v>454</v>
      </c>
      <c r="B97" s="359"/>
      <c r="C97" s="359">
        <v>10950</v>
      </c>
      <c r="D97" s="359">
        <v>10950</v>
      </c>
      <c r="E97" s="359">
        <v>0</v>
      </c>
      <c r="F97" s="359">
        <f>+M97+E97</f>
        <v>7028.37</v>
      </c>
      <c r="G97" s="359">
        <v>7028.37</v>
      </c>
      <c r="H97" s="359">
        <v>7028.37</v>
      </c>
      <c r="I97" s="359">
        <f t="shared" si="34"/>
        <v>3921.63</v>
      </c>
      <c r="J97" s="359">
        <f t="shared" si="35"/>
        <v>3921.63</v>
      </c>
      <c r="K97" s="360">
        <f t="shared" si="36"/>
        <v>64.186027397260276</v>
      </c>
      <c r="L97" s="336"/>
      <c r="M97" s="299">
        <v>7028.37</v>
      </c>
    </row>
    <row r="98" spans="1:640" ht="14.45" customHeight="1">
      <c r="A98" s="97" t="s">
        <v>460</v>
      </c>
      <c r="B98" s="359"/>
      <c r="C98" s="359">
        <v>255620</v>
      </c>
      <c r="D98" s="359">
        <v>255620</v>
      </c>
      <c r="E98" s="359">
        <v>0</v>
      </c>
      <c r="F98" s="359">
        <f t="shared" si="17"/>
        <v>226980.38999999998</v>
      </c>
      <c r="G98" s="359">
        <v>223415.6</v>
      </c>
      <c r="H98" s="359">
        <v>13582.41</v>
      </c>
      <c r="I98" s="359">
        <f t="shared" si="34"/>
        <v>28639.610000000015</v>
      </c>
      <c r="J98" s="359">
        <f t="shared" si="35"/>
        <v>28639.610000000015</v>
      </c>
      <c r="K98" s="360">
        <f t="shared" si="36"/>
        <v>88.796021438072131</v>
      </c>
      <c r="L98" s="336"/>
      <c r="M98" s="299">
        <v>226980.38999999998</v>
      </c>
    </row>
    <row r="99" spans="1:640" ht="14.45" customHeight="1">
      <c r="A99" s="97" t="s">
        <v>369</v>
      </c>
      <c r="B99" s="359"/>
      <c r="C99" s="359">
        <v>5000</v>
      </c>
      <c r="D99" s="359">
        <v>5000</v>
      </c>
      <c r="E99" s="359">
        <v>0</v>
      </c>
      <c r="F99" s="359">
        <f t="shared" si="17"/>
        <v>4176.68</v>
      </c>
      <c r="G99" s="359">
        <v>4176.68</v>
      </c>
      <c r="H99" s="359">
        <v>0</v>
      </c>
      <c r="I99" s="359">
        <f t="shared" si="34"/>
        <v>823.31999999999971</v>
      </c>
      <c r="J99" s="359">
        <f t="shared" si="35"/>
        <v>823.31999999999971</v>
      </c>
      <c r="K99" s="360">
        <f t="shared" si="36"/>
        <v>83.533600000000007</v>
      </c>
      <c r="L99" s="336"/>
      <c r="M99" s="299">
        <v>4176.68</v>
      </c>
    </row>
    <row r="100" spans="1:640" ht="14.45" customHeight="1">
      <c r="A100" s="97" t="s">
        <v>370</v>
      </c>
      <c r="B100" s="359"/>
      <c r="C100" s="359">
        <v>21190</v>
      </c>
      <c r="D100" s="359">
        <v>21190</v>
      </c>
      <c r="E100" s="359"/>
      <c r="F100" s="359">
        <f t="shared" si="17"/>
        <v>12868.5</v>
      </c>
      <c r="G100" s="359">
        <v>1259.82</v>
      </c>
      <c r="H100" s="359">
        <v>11819.89</v>
      </c>
      <c r="I100" s="359">
        <f t="shared" si="34"/>
        <v>8321.5</v>
      </c>
      <c r="J100" s="359">
        <f t="shared" si="35"/>
        <v>8321.5</v>
      </c>
      <c r="K100" s="360">
        <f t="shared" si="36"/>
        <v>60.729117508258611</v>
      </c>
      <c r="L100" s="336"/>
      <c r="M100" s="299">
        <v>12868.5</v>
      </c>
    </row>
    <row r="101" spans="1:640" ht="16.5" customHeight="1">
      <c r="A101" s="314" t="s">
        <v>371</v>
      </c>
      <c r="B101" s="356">
        <f t="shared" ref="B101:E101" si="37">+B102+B105+B111+B117+B121+B135+B143+B149+B158+B160</f>
        <v>7743903</v>
      </c>
      <c r="C101" s="356">
        <f>+C102+C105+C111+C117+C121+C135+C143+C149+C158+C160</f>
        <v>5800722.2199999997</v>
      </c>
      <c r="D101" s="356">
        <f>+D102+D105+D111+D117+D121+D135+D143+D149+D158+D160</f>
        <v>5800722.2199999997</v>
      </c>
      <c r="E101" s="531">
        <f t="shared" si="37"/>
        <v>21565.66</v>
      </c>
      <c r="F101" s="531">
        <f>+E101+M101</f>
        <v>3656418.1799999997</v>
      </c>
      <c r="G101" s="356">
        <f>+G102+G105+G111+G117+G121+G135+G143+G149+G158+G160</f>
        <v>2862264.3200000003</v>
      </c>
      <c r="H101" s="356">
        <f>+H102+H105+H111+H117+H121+H135+H143+H149+H158+H160</f>
        <v>2470581.33</v>
      </c>
      <c r="I101" s="357">
        <f>D101-F101</f>
        <v>2144304.04</v>
      </c>
      <c r="J101" s="357">
        <f>C101-F101</f>
        <v>2144304.04</v>
      </c>
      <c r="K101" s="529">
        <f t="shared" ref="K101:K106" si="38">F101/C101*100</f>
        <v>63.033843740926457</v>
      </c>
      <c r="L101" s="528">
        <f>+L102+L105+L111+L117+L121+L135+L143+L149+L158+L160</f>
        <v>0</v>
      </c>
      <c r="M101" s="527">
        <f>3635037.36-5.6-179.24</f>
        <v>3634852.5199999996</v>
      </c>
      <c r="O101" s="299" t="s">
        <v>6</v>
      </c>
      <c r="Q101" s="299" t="s">
        <v>6</v>
      </c>
    </row>
    <row r="102" spans="1:640" ht="14.45" customHeight="1">
      <c r="A102" s="47" t="s">
        <v>372</v>
      </c>
      <c r="B102" s="361">
        <f t="shared" ref="B102:H102" si="39">SUM(B103:B104)</f>
        <v>546753</v>
      </c>
      <c r="C102" s="361">
        <f t="shared" si="39"/>
        <v>245813</v>
      </c>
      <c r="D102" s="361">
        <f t="shared" si="39"/>
        <v>245813</v>
      </c>
      <c r="E102" s="532">
        <f t="shared" si="39"/>
        <v>3465.5</v>
      </c>
      <c r="F102" s="532">
        <f t="shared" si="39"/>
        <v>48349.49</v>
      </c>
      <c r="G102" s="361">
        <f t="shared" si="39"/>
        <v>48349.49</v>
      </c>
      <c r="H102" s="361">
        <f t="shared" si="39"/>
        <v>43347.74</v>
      </c>
      <c r="I102" s="533">
        <f>D102-F102</f>
        <v>197463.51</v>
      </c>
      <c r="J102" s="534">
        <f>C102-F102</f>
        <v>197463.51</v>
      </c>
      <c r="K102" s="362">
        <f t="shared" si="38"/>
        <v>19.669216030071642</v>
      </c>
      <c r="L102" s="335"/>
      <c r="M102" s="445">
        <v>44883.99</v>
      </c>
      <c r="N102" s="299" t="s">
        <v>6</v>
      </c>
    </row>
    <row r="103" spans="1:640" ht="14.45" customHeight="1">
      <c r="A103" s="97" t="s">
        <v>373</v>
      </c>
      <c r="B103" s="359">
        <v>508348</v>
      </c>
      <c r="C103" s="359">
        <v>214408</v>
      </c>
      <c r="D103" s="359">
        <v>214408</v>
      </c>
      <c r="E103" s="535">
        <v>3465.5</v>
      </c>
      <c r="F103" s="535">
        <f>+M103+E103</f>
        <v>45293.21</v>
      </c>
      <c r="G103" s="359">
        <v>45293.21</v>
      </c>
      <c r="H103" s="359">
        <v>40291.46</v>
      </c>
      <c r="I103" s="359">
        <f>+D103-F103</f>
        <v>169114.79</v>
      </c>
      <c r="J103" s="359">
        <f>+C103-F103</f>
        <v>169114.79</v>
      </c>
      <c r="K103" s="360">
        <f t="shared" si="38"/>
        <v>21.124776127756427</v>
      </c>
      <c r="L103" s="336"/>
      <c r="M103" s="299">
        <v>41827.71</v>
      </c>
      <c r="XP103" s="101">
        <v>0</v>
      </c>
    </row>
    <row r="104" spans="1:640" ht="14.45" customHeight="1">
      <c r="A104" s="97" t="s">
        <v>374</v>
      </c>
      <c r="B104" s="359">
        <v>38405</v>
      </c>
      <c r="C104" s="359">
        <v>31405</v>
      </c>
      <c r="D104" s="359">
        <v>31405</v>
      </c>
      <c r="E104" s="535"/>
      <c r="F104" s="535">
        <f>+M104+E104</f>
        <v>3056.28</v>
      </c>
      <c r="G104" s="359">
        <v>3056.28</v>
      </c>
      <c r="H104" s="359">
        <v>3056.28</v>
      </c>
      <c r="I104" s="359">
        <f>+D104-F104</f>
        <v>28348.720000000001</v>
      </c>
      <c r="J104" s="359">
        <f>+C104-F104</f>
        <v>28348.720000000001</v>
      </c>
      <c r="K104" s="360">
        <f t="shared" si="38"/>
        <v>9.7318261423340235</v>
      </c>
      <c r="L104" s="336"/>
      <c r="M104" s="299">
        <v>3056.28</v>
      </c>
    </row>
    <row r="105" spans="1:640" ht="14.45" customHeight="1">
      <c r="A105" s="47" t="s">
        <v>375</v>
      </c>
      <c r="B105" s="361">
        <f t="shared" ref="B105:H105" si="40">SUM(B106:B110)</f>
        <v>997856</v>
      </c>
      <c r="C105" s="361">
        <f t="shared" si="40"/>
        <v>365044</v>
      </c>
      <c r="D105" s="361">
        <f t="shared" si="40"/>
        <v>365044</v>
      </c>
      <c r="E105" s="532">
        <f t="shared" si="40"/>
        <v>0</v>
      </c>
      <c r="F105" s="532">
        <f t="shared" si="40"/>
        <v>213025.08000000002</v>
      </c>
      <c r="G105" s="361">
        <f t="shared" si="40"/>
        <v>182528.18</v>
      </c>
      <c r="H105" s="361">
        <f t="shared" si="40"/>
        <v>164004.59</v>
      </c>
      <c r="I105" s="536">
        <f>D105-F105</f>
        <v>152018.91999999998</v>
      </c>
      <c r="J105" s="536">
        <f>C105-F105</f>
        <v>152018.91999999998</v>
      </c>
      <c r="K105" s="362">
        <f t="shared" si="38"/>
        <v>58.35600092043699</v>
      </c>
      <c r="L105" s="335"/>
      <c r="M105" s="445">
        <v>213025.08000000002</v>
      </c>
      <c r="N105" s="299" t="s">
        <v>6</v>
      </c>
    </row>
    <row r="106" spans="1:640" ht="14.45" customHeight="1">
      <c r="A106" s="97" t="s">
        <v>376</v>
      </c>
      <c r="B106" s="359">
        <v>246479</v>
      </c>
      <c r="C106" s="359">
        <v>109479</v>
      </c>
      <c r="D106" s="359">
        <v>109479</v>
      </c>
      <c r="E106" s="535">
        <v>0</v>
      </c>
      <c r="F106" s="535">
        <f>+M106+E106</f>
        <v>53878.59</v>
      </c>
      <c r="G106" s="359">
        <v>31593.77</v>
      </c>
      <c r="H106" s="359">
        <v>30041.279999999999</v>
      </c>
      <c r="I106" s="359">
        <f>+D106-F106</f>
        <v>55600.41</v>
      </c>
      <c r="J106" s="359">
        <f t="shared" ref="J106:J110" si="41">+C106-F106</f>
        <v>55600.41</v>
      </c>
      <c r="K106" s="360">
        <f t="shared" si="38"/>
        <v>49.213630011235026</v>
      </c>
      <c r="L106" s="336"/>
      <c r="M106" s="299">
        <v>53878.59</v>
      </c>
    </row>
    <row r="107" spans="1:640" ht="14.45" customHeight="1">
      <c r="A107" s="97" t="s">
        <v>377</v>
      </c>
      <c r="B107" s="359">
        <v>132195</v>
      </c>
      <c r="C107" s="359">
        <v>68221</v>
      </c>
      <c r="D107" s="359">
        <v>68221</v>
      </c>
      <c r="E107" s="535">
        <v>0</v>
      </c>
      <c r="F107" s="535">
        <f>+M107+E107</f>
        <v>30027.63</v>
      </c>
      <c r="G107" s="359">
        <v>28417.71</v>
      </c>
      <c r="H107" s="359">
        <v>24574.69</v>
      </c>
      <c r="I107" s="359">
        <f>+D107-F107</f>
        <v>38193.369999999995</v>
      </c>
      <c r="J107" s="359">
        <f t="shared" si="41"/>
        <v>38193.369999999995</v>
      </c>
      <c r="K107" s="360">
        <f t="shared" ref="K107:K110" si="42">F107/C107*100</f>
        <v>44.015229914542445</v>
      </c>
      <c r="L107" s="336"/>
      <c r="M107" s="299">
        <v>30027.63</v>
      </c>
    </row>
    <row r="108" spans="1:640" ht="14.45" customHeight="1">
      <c r="A108" s="446" t="s">
        <v>378</v>
      </c>
      <c r="B108" s="359">
        <v>187582</v>
      </c>
      <c r="C108" s="359">
        <v>17173</v>
      </c>
      <c r="D108" s="359">
        <v>17173</v>
      </c>
      <c r="E108" s="535">
        <v>0</v>
      </c>
      <c r="F108" s="535">
        <f t="shared" ref="F108:F169" si="43">+M108+E108</f>
        <v>6406.3</v>
      </c>
      <c r="G108" s="359">
        <v>5816.63</v>
      </c>
      <c r="H108" s="359">
        <v>5657.84</v>
      </c>
      <c r="I108" s="359">
        <f>+D108-F108</f>
        <v>10766.7</v>
      </c>
      <c r="J108" s="359">
        <f t="shared" si="41"/>
        <v>10766.7</v>
      </c>
      <c r="K108" s="360">
        <f t="shared" si="42"/>
        <v>37.30448960577651</v>
      </c>
      <c r="L108" s="336"/>
      <c r="M108" s="299">
        <v>6406.3</v>
      </c>
    </row>
    <row r="109" spans="1:640" ht="14.45" customHeight="1">
      <c r="A109" s="97" t="s">
        <v>379</v>
      </c>
      <c r="B109" s="359">
        <v>369490</v>
      </c>
      <c r="C109" s="359">
        <v>163215</v>
      </c>
      <c r="D109" s="359">
        <v>163215</v>
      </c>
      <c r="E109" s="535">
        <v>0</v>
      </c>
      <c r="F109" s="535">
        <f t="shared" si="43"/>
        <v>118223.67</v>
      </c>
      <c r="G109" s="359">
        <v>112237.93</v>
      </c>
      <c r="H109" s="359">
        <v>99454.82</v>
      </c>
      <c r="I109" s="359">
        <f>+D109-F109</f>
        <v>44991.33</v>
      </c>
      <c r="J109" s="359">
        <f t="shared" si="41"/>
        <v>44991.33</v>
      </c>
      <c r="K109" s="360">
        <f t="shared" si="42"/>
        <v>72.434316698832816</v>
      </c>
      <c r="L109" s="336"/>
      <c r="M109" s="299">
        <v>118223.67</v>
      </c>
    </row>
    <row r="110" spans="1:640" ht="14.45" customHeight="1">
      <c r="A110" s="97" t="s">
        <v>380</v>
      </c>
      <c r="B110" s="359">
        <v>62110</v>
      </c>
      <c r="C110" s="359">
        <v>6956</v>
      </c>
      <c r="D110" s="359">
        <v>6956</v>
      </c>
      <c r="E110" s="535">
        <v>0</v>
      </c>
      <c r="F110" s="535">
        <f>+M110+E110</f>
        <v>4488.8899999999994</v>
      </c>
      <c r="G110" s="359">
        <v>4462.1400000000003</v>
      </c>
      <c r="H110" s="359">
        <v>4275.96</v>
      </c>
      <c r="I110" s="359">
        <f>+D110-F110</f>
        <v>2467.1100000000006</v>
      </c>
      <c r="J110" s="359">
        <f t="shared" si="41"/>
        <v>2467.1100000000006</v>
      </c>
      <c r="K110" s="360">
        <f t="shared" si="42"/>
        <v>64.532633697527302</v>
      </c>
      <c r="L110" s="336"/>
      <c r="M110" s="299">
        <v>4488.8899999999994</v>
      </c>
    </row>
    <row r="111" spans="1:640" ht="14.45" customHeight="1">
      <c r="A111" s="47" t="s">
        <v>381</v>
      </c>
      <c r="B111" s="361">
        <f t="shared" ref="B111:H111" si="44">SUM(B112:B116)</f>
        <v>1077438</v>
      </c>
      <c r="C111" s="361">
        <f>SUM(C112:C116)</f>
        <v>492232.86</v>
      </c>
      <c r="D111" s="361">
        <f>SUM(D112:D116)</f>
        <v>492232.86</v>
      </c>
      <c r="E111" s="532">
        <f t="shared" si="44"/>
        <v>5.6</v>
      </c>
      <c r="F111" s="532">
        <f t="shared" si="44"/>
        <v>394691.38</v>
      </c>
      <c r="G111" s="361">
        <f>SUM(G112:G116)</f>
        <v>265721.27999999997</v>
      </c>
      <c r="H111" s="361">
        <f t="shared" si="44"/>
        <v>205934.72000000003</v>
      </c>
      <c r="I111" s="536">
        <f>D111-F111</f>
        <v>97541.479999999981</v>
      </c>
      <c r="J111" s="536">
        <f>C111-F111</f>
        <v>97541.479999999981</v>
      </c>
      <c r="K111" s="362">
        <f>F111/C111*100</f>
        <v>80.183874762038442</v>
      </c>
      <c r="L111" s="335"/>
      <c r="M111" s="445">
        <v>394685.78</v>
      </c>
      <c r="N111" s="299" t="s">
        <v>6</v>
      </c>
    </row>
    <row r="112" spans="1:640" ht="14.45" customHeight="1">
      <c r="A112" s="97" t="s">
        <v>382</v>
      </c>
      <c r="B112" s="359">
        <v>515900</v>
      </c>
      <c r="C112" s="359">
        <v>261199.52</v>
      </c>
      <c r="D112" s="359">
        <v>261199.52</v>
      </c>
      <c r="E112" s="535">
        <v>0</v>
      </c>
      <c r="F112" s="535">
        <f t="shared" si="43"/>
        <v>238114.46</v>
      </c>
      <c r="G112" s="359">
        <v>151851.20000000001</v>
      </c>
      <c r="H112" s="359">
        <v>109019.89</v>
      </c>
      <c r="I112" s="359">
        <f>+D112-F112</f>
        <v>23085.059999999998</v>
      </c>
      <c r="J112" s="359">
        <f t="shared" ref="J112:J116" si="45">+C112-F112</f>
        <v>23085.059999999998</v>
      </c>
      <c r="K112" s="360">
        <f>F112/C112*100</f>
        <v>91.161905657407033</v>
      </c>
      <c r="L112" s="336"/>
      <c r="M112" s="299">
        <v>238114.46</v>
      </c>
    </row>
    <row r="113" spans="1:16" ht="14.45" customHeight="1">
      <c r="A113" s="97" t="s">
        <v>383</v>
      </c>
      <c r="B113" s="359">
        <v>9076</v>
      </c>
      <c r="C113" s="359">
        <v>99078.34</v>
      </c>
      <c r="D113" s="359">
        <v>99078.34</v>
      </c>
      <c r="E113" s="535">
        <v>5.6</v>
      </c>
      <c r="F113" s="535">
        <f t="shared" si="43"/>
        <v>85959.52</v>
      </c>
      <c r="G113" s="359">
        <v>67248.19</v>
      </c>
      <c r="H113" s="359">
        <v>61794.06</v>
      </c>
      <c r="I113" s="359">
        <f>+D113-F113</f>
        <v>13118.819999999992</v>
      </c>
      <c r="J113" s="359">
        <f t="shared" si="45"/>
        <v>13118.819999999992</v>
      </c>
      <c r="K113" s="360">
        <f t="shared" ref="K113:K116" si="46">F113/C113*100</f>
        <v>86.759144329628455</v>
      </c>
      <c r="L113" s="336"/>
      <c r="M113" s="299">
        <v>85953.919999999998</v>
      </c>
    </row>
    <row r="114" spans="1:16" ht="14.45" customHeight="1">
      <c r="A114" s="97" t="s">
        <v>384</v>
      </c>
      <c r="B114" s="359">
        <v>498330</v>
      </c>
      <c r="C114" s="359">
        <v>89330</v>
      </c>
      <c r="D114" s="359">
        <v>89330</v>
      </c>
      <c r="E114" s="535">
        <v>0</v>
      </c>
      <c r="F114" s="535">
        <f t="shared" si="43"/>
        <v>56587.770000000004</v>
      </c>
      <c r="G114" s="359">
        <v>32783.15</v>
      </c>
      <c r="H114" s="359">
        <v>23801.53</v>
      </c>
      <c r="I114" s="359">
        <f>+D114-F114</f>
        <v>32742.229999999996</v>
      </c>
      <c r="J114" s="359">
        <f t="shared" si="45"/>
        <v>32742.229999999996</v>
      </c>
      <c r="K114" s="360">
        <f t="shared" si="46"/>
        <v>63.346882346356217</v>
      </c>
      <c r="L114" s="336"/>
      <c r="M114" s="299">
        <v>56587.770000000004</v>
      </c>
      <c r="P114" s="299" t="s">
        <v>6</v>
      </c>
    </row>
    <row r="115" spans="1:16" ht="14.45" customHeight="1">
      <c r="A115" s="97" t="s">
        <v>385</v>
      </c>
      <c r="B115" s="359">
        <v>45082</v>
      </c>
      <c r="C115" s="359">
        <v>22125</v>
      </c>
      <c r="D115" s="359">
        <v>22125</v>
      </c>
      <c r="E115" s="535">
        <v>0</v>
      </c>
      <c r="F115" s="535">
        <f>+M115+E115</f>
        <v>9853.19</v>
      </c>
      <c r="G115" s="359">
        <v>9662.2999999999993</v>
      </c>
      <c r="H115" s="359">
        <v>8202.1</v>
      </c>
      <c r="I115" s="359">
        <f>+D115-F115</f>
        <v>12271.81</v>
      </c>
      <c r="J115" s="359">
        <f t="shared" si="45"/>
        <v>12271.81</v>
      </c>
      <c r="K115" s="360">
        <f t="shared" si="46"/>
        <v>44.534192090395479</v>
      </c>
      <c r="L115" s="336"/>
      <c r="M115" s="299">
        <v>9853.19</v>
      </c>
    </row>
    <row r="116" spans="1:16" ht="14.45" customHeight="1">
      <c r="A116" s="97" t="s">
        <v>386</v>
      </c>
      <c r="B116" s="359">
        <v>9050</v>
      </c>
      <c r="C116" s="359">
        <v>20500</v>
      </c>
      <c r="D116" s="359">
        <v>20500</v>
      </c>
      <c r="E116" s="535">
        <v>0</v>
      </c>
      <c r="F116" s="535">
        <f>+M116+E116</f>
        <v>4176.4399999999996</v>
      </c>
      <c r="G116" s="359">
        <v>4176.4399999999996</v>
      </c>
      <c r="H116" s="359">
        <v>3117.14</v>
      </c>
      <c r="I116" s="359">
        <f>+D116-F116</f>
        <v>16323.560000000001</v>
      </c>
      <c r="J116" s="359">
        <f t="shared" si="45"/>
        <v>16323.560000000001</v>
      </c>
      <c r="K116" s="360">
        <f t="shared" si="46"/>
        <v>20.372878048780485</v>
      </c>
      <c r="L116" s="336"/>
      <c r="M116" s="299">
        <v>4176.4399999999996</v>
      </c>
    </row>
    <row r="117" spans="1:16" ht="14.45" customHeight="1">
      <c r="A117" s="47" t="s">
        <v>387</v>
      </c>
      <c r="B117" s="361">
        <f t="shared" ref="B117:H117" si="47">SUM(B118:B120)</f>
        <v>406407</v>
      </c>
      <c r="C117" s="361">
        <f t="shared" si="47"/>
        <v>211027</v>
      </c>
      <c r="D117" s="361">
        <f t="shared" si="47"/>
        <v>211027</v>
      </c>
      <c r="E117" s="532">
        <f t="shared" si="47"/>
        <v>0</v>
      </c>
      <c r="F117" s="532">
        <f t="shared" si="47"/>
        <v>148401.21</v>
      </c>
      <c r="G117" s="361">
        <f t="shared" si="47"/>
        <v>134365.42000000001</v>
      </c>
      <c r="H117" s="361">
        <f t="shared" si="47"/>
        <v>125465.15999999999</v>
      </c>
      <c r="I117" s="536">
        <f>D117-F117</f>
        <v>62625.790000000008</v>
      </c>
      <c r="J117" s="536">
        <f>C117-F117</f>
        <v>62625.790000000008</v>
      </c>
      <c r="K117" s="362">
        <f>F117/C117*100</f>
        <v>70.323328294483645</v>
      </c>
      <c r="L117" s="335"/>
      <c r="M117" s="445">
        <v>148401.21</v>
      </c>
      <c r="N117" s="299" t="s">
        <v>6</v>
      </c>
    </row>
    <row r="118" spans="1:16" ht="14.45" customHeight="1">
      <c r="A118" s="97" t="s">
        <v>388</v>
      </c>
      <c r="B118" s="359">
        <v>61995</v>
      </c>
      <c r="C118" s="359">
        <v>25727</v>
      </c>
      <c r="D118" s="359">
        <v>25727</v>
      </c>
      <c r="E118" s="535">
        <v>0</v>
      </c>
      <c r="F118" s="535">
        <f t="shared" si="43"/>
        <v>17005.03</v>
      </c>
      <c r="G118" s="359">
        <v>17005.03</v>
      </c>
      <c r="H118" s="359">
        <v>12409.65</v>
      </c>
      <c r="I118" s="359">
        <f>+D118-F118</f>
        <v>8721.9700000000012</v>
      </c>
      <c r="J118" s="359">
        <f t="shared" ref="J118:J169" si="48">+C118-F118</f>
        <v>8721.9700000000012</v>
      </c>
      <c r="K118" s="360">
        <f t="shared" ref="K118:K149" si="49">F118/D118*100</f>
        <v>66.097990438061174</v>
      </c>
      <c r="L118" s="336"/>
      <c r="M118" s="299">
        <v>17005.03</v>
      </c>
    </row>
    <row r="119" spans="1:16" ht="14.45" customHeight="1">
      <c r="A119" s="97" t="s">
        <v>389</v>
      </c>
      <c r="B119" s="359">
        <v>258156</v>
      </c>
      <c r="C119" s="359">
        <v>146389</v>
      </c>
      <c r="D119" s="359">
        <v>146389</v>
      </c>
      <c r="E119" s="535">
        <v>0</v>
      </c>
      <c r="F119" s="535">
        <f t="shared" si="43"/>
        <v>107539.56</v>
      </c>
      <c r="G119" s="359">
        <v>103928.77</v>
      </c>
      <c r="H119" s="359">
        <v>99623.89</v>
      </c>
      <c r="I119" s="359">
        <f>+D119-F119</f>
        <v>38849.440000000002</v>
      </c>
      <c r="J119" s="359">
        <f t="shared" si="48"/>
        <v>38849.440000000002</v>
      </c>
      <c r="K119" s="360">
        <f t="shared" si="49"/>
        <v>73.461503255025988</v>
      </c>
      <c r="L119" s="336"/>
      <c r="M119" s="299">
        <v>107539.56</v>
      </c>
    </row>
    <row r="120" spans="1:16" ht="14.45" customHeight="1">
      <c r="A120" s="97" t="s">
        <v>390</v>
      </c>
      <c r="B120" s="359">
        <v>86256</v>
      </c>
      <c r="C120" s="359">
        <v>38911</v>
      </c>
      <c r="D120" s="359">
        <v>38911</v>
      </c>
      <c r="E120" s="535">
        <v>0</v>
      </c>
      <c r="F120" s="535">
        <f t="shared" si="43"/>
        <v>23856.62</v>
      </c>
      <c r="G120" s="359">
        <v>13431.62</v>
      </c>
      <c r="H120" s="359">
        <v>13431.62</v>
      </c>
      <c r="I120" s="359">
        <f>+D120-F120</f>
        <v>15054.380000000001</v>
      </c>
      <c r="J120" s="359">
        <f t="shared" si="48"/>
        <v>15054.380000000001</v>
      </c>
      <c r="K120" s="360">
        <f t="shared" si="49"/>
        <v>61.310734753668626</v>
      </c>
      <c r="L120" s="336"/>
      <c r="M120" s="299">
        <v>23856.62</v>
      </c>
    </row>
    <row r="121" spans="1:16" ht="14.45" customHeight="1">
      <c r="A121" s="47" t="s">
        <v>391</v>
      </c>
      <c r="B121" s="361">
        <f t="shared" ref="B121:H121" si="50">SUM(B122:B126)</f>
        <v>443589</v>
      </c>
      <c r="C121" s="361">
        <f t="shared" si="50"/>
        <v>543809.79</v>
      </c>
      <c r="D121" s="361">
        <f t="shared" si="50"/>
        <v>543809.79</v>
      </c>
      <c r="E121" s="532">
        <f t="shared" si="50"/>
        <v>0</v>
      </c>
      <c r="F121" s="532">
        <f t="shared" si="50"/>
        <v>336116.06999999995</v>
      </c>
      <c r="G121" s="361">
        <f t="shared" si="50"/>
        <v>258687.86</v>
      </c>
      <c r="H121" s="361">
        <f t="shared" si="50"/>
        <v>229781.76000000001</v>
      </c>
      <c r="I121" s="536">
        <f>D121-F121</f>
        <v>207693.72000000009</v>
      </c>
      <c r="J121" s="536">
        <f>C121-F121</f>
        <v>207693.72000000009</v>
      </c>
      <c r="K121" s="362">
        <f t="shared" si="49"/>
        <v>61.807653370859668</v>
      </c>
      <c r="L121" s="335"/>
      <c r="M121" s="445">
        <f>336121.67-5.6</f>
        <v>336116.07</v>
      </c>
      <c r="N121" s="299" t="s">
        <v>6</v>
      </c>
    </row>
    <row r="122" spans="1:16" ht="14.45" customHeight="1">
      <c r="A122" s="97" t="s">
        <v>392</v>
      </c>
      <c r="B122" s="359">
        <v>1400</v>
      </c>
      <c r="C122" s="359">
        <v>4400</v>
      </c>
      <c r="D122" s="359">
        <v>4400</v>
      </c>
      <c r="E122" s="535">
        <v>0</v>
      </c>
      <c r="F122" s="535">
        <f t="shared" si="43"/>
        <v>939.25</v>
      </c>
      <c r="G122" s="359">
        <v>607.54999999999995</v>
      </c>
      <c r="H122" s="359">
        <v>607.54999999999995</v>
      </c>
      <c r="I122" s="359">
        <f>+D122-F122</f>
        <v>3460.75</v>
      </c>
      <c r="J122" s="359">
        <f t="shared" si="48"/>
        <v>3460.75</v>
      </c>
      <c r="K122" s="360">
        <f t="shared" si="49"/>
        <v>21.34659090909091</v>
      </c>
      <c r="L122" s="336"/>
      <c r="M122" s="299">
        <v>939.25</v>
      </c>
    </row>
    <row r="123" spans="1:16" ht="14.45" customHeight="1">
      <c r="A123" s="97" t="s">
        <v>393</v>
      </c>
      <c r="B123" s="359">
        <v>7101</v>
      </c>
      <c r="C123" s="359">
        <v>111451</v>
      </c>
      <c r="D123" s="359">
        <v>111451</v>
      </c>
      <c r="E123" s="535">
        <v>0</v>
      </c>
      <c r="F123" s="535">
        <f t="shared" si="43"/>
        <v>73108.040000000008</v>
      </c>
      <c r="G123" s="359">
        <v>52517.43</v>
      </c>
      <c r="H123" s="359">
        <v>50404.13</v>
      </c>
      <c r="I123" s="359">
        <f>+D123-F123</f>
        <v>38342.959999999992</v>
      </c>
      <c r="J123" s="359">
        <f t="shared" si="48"/>
        <v>38342.959999999992</v>
      </c>
      <c r="K123" s="360">
        <f t="shared" si="49"/>
        <v>65.596576073790274</v>
      </c>
      <c r="L123" s="336"/>
      <c r="M123" s="299">
        <v>73108.040000000008</v>
      </c>
    </row>
    <row r="124" spans="1:16" ht="14.45" customHeight="1">
      <c r="A124" s="97" t="s">
        <v>394</v>
      </c>
      <c r="B124" s="359">
        <v>159513</v>
      </c>
      <c r="C124" s="359">
        <v>177026.5</v>
      </c>
      <c r="D124" s="359">
        <v>177026.5</v>
      </c>
      <c r="E124" s="535">
        <v>0</v>
      </c>
      <c r="F124" s="535">
        <f>+M124+E124</f>
        <v>73056.259999999995</v>
      </c>
      <c r="G124" s="359">
        <v>64546.95</v>
      </c>
      <c r="H124" s="359">
        <v>38224.949999999997</v>
      </c>
      <c r="I124" s="359">
        <v>38224.949999999997</v>
      </c>
      <c r="J124" s="359">
        <f t="shared" si="48"/>
        <v>103970.24000000001</v>
      </c>
      <c r="K124" s="360">
        <f t="shared" si="49"/>
        <v>41.268544539941757</v>
      </c>
      <c r="L124" s="336"/>
      <c r="M124" s="299">
        <v>73056.259999999995</v>
      </c>
    </row>
    <row r="125" spans="1:16" ht="14.45" customHeight="1">
      <c r="A125" s="97" t="s">
        <v>395</v>
      </c>
      <c r="B125" s="359">
        <v>28124</v>
      </c>
      <c r="C125" s="359">
        <v>7660</v>
      </c>
      <c r="D125" s="359">
        <v>7660</v>
      </c>
      <c r="E125" s="537"/>
      <c r="F125" s="535">
        <f>+M125+E125</f>
        <v>2904.49</v>
      </c>
      <c r="G125" s="359">
        <v>2904.49</v>
      </c>
      <c r="H125" s="359">
        <v>2904.49</v>
      </c>
      <c r="I125" s="359" t="s">
        <v>6</v>
      </c>
      <c r="J125" s="359">
        <f t="shared" si="48"/>
        <v>4755.51</v>
      </c>
      <c r="K125" s="360">
        <f t="shared" si="49"/>
        <v>37.917624020887722</v>
      </c>
      <c r="L125" s="336"/>
      <c r="M125" s="299">
        <v>2904.49</v>
      </c>
    </row>
    <row r="126" spans="1:16" ht="14.45" customHeight="1">
      <c r="A126" s="97" t="s">
        <v>396</v>
      </c>
      <c r="B126" s="359">
        <v>247451</v>
      </c>
      <c r="C126" s="359">
        <v>243272.29</v>
      </c>
      <c r="D126" s="359">
        <v>243272.29</v>
      </c>
      <c r="E126" s="535">
        <v>0</v>
      </c>
      <c r="F126" s="535">
        <f t="shared" si="43"/>
        <v>186108.03</v>
      </c>
      <c r="G126" s="359">
        <v>138111.44</v>
      </c>
      <c r="H126" s="359">
        <v>137640.64000000001</v>
      </c>
      <c r="I126" s="359">
        <f>+D126-F126</f>
        <v>57164.260000000009</v>
      </c>
      <c r="J126" s="359">
        <f t="shared" si="48"/>
        <v>57164.260000000009</v>
      </c>
      <c r="K126" s="360">
        <f t="shared" si="49"/>
        <v>76.501943562910512</v>
      </c>
      <c r="L126" s="336"/>
      <c r="M126" s="299">
        <f>186113.63-5.6</f>
        <v>186108.03</v>
      </c>
    </row>
    <row r="127" spans="1:16" ht="14.45" customHeight="1">
      <c r="A127" s="97"/>
      <c r="B127" s="39"/>
      <c r="C127" s="39"/>
      <c r="D127" s="39"/>
      <c r="E127" s="589"/>
      <c r="F127" s="589"/>
      <c r="G127" s="39"/>
      <c r="H127" s="39"/>
      <c r="I127" s="39"/>
      <c r="J127" s="39"/>
      <c r="K127" s="588"/>
      <c r="L127" s="336"/>
      <c r="M127" s="299"/>
    </row>
    <row r="128" spans="1:16" ht="14.45" customHeight="1">
      <c r="A128" s="597" t="s">
        <v>166</v>
      </c>
      <c r="B128" s="597"/>
      <c r="C128" s="597"/>
      <c r="D128" s="597"/>
      <c r="E128" s="597"/>
      <c r="F128" s="597"/>
      <c r="G128" s="597"/>
      <c r="H128" s="597"/>
      <c r="I128" s="597"/>
      <c r="J128" s="597"/>
      <c r="K128" s="597"/>
      <c r="L128" s="336"/>
      <c r="M128" s="299"/>
    </row>
    <row r="129" spans="1:14" ht="14.45" customHeight="1">
      <c r="A129" s="597" t="s">
        <v>167</v>
      </c>
      <c r="B129" s="597"/>
      <c r="C129" s="597"/>
      <c r="D129" s="597"/>
      <c r="E129" s="597"/>
      <c r="F129" s="597"/>
      <c r="G129" s="597"/>
      <c r="H129" s="597"/>
      <c r="I129" s="597"/>
      <c r="J129" s="597"/>
      <c r="K129" s="597"/>
      <c r="L129" s="336"/>
      <c r="M129" s="299"/>
    </row>
    <row r="130" spans="1:14" ht="14.45" customHeight="1">
      <c r="A130" s="597" t="s">
        <v>168</v>
      </c>
      <c r="B130" s="597"/>
      <c r="C130" s="597"/>
      <c r="D130" s="597"/>
      <c r="E130" s="597"/>
      <c r="F130" s="597"/>
      <c r="G130" s="597"/>
      <c r="H130" s="597"/>
      <c r="I130" s="597"/>
      <c r="J130" s="597"/>
      <c r="K130" s="597"/>
      <c r="L130" s="336"/>
      <c r="M130" s="299"/>
    </row>
    <row r="131" spans="1:14" ht="14.45" customHeight="1">
      <c r="A131" s="597" t="s">
        <v>578</v>
      </c>
      <c r="B131" s="597"/>
      <c r="C131" s="597"/>
      <c r="D131" s="597"/>
      <c r="E131" s="597"/>
      <c r="F131" s="597"/>
      <c r="G131" s="597"/>
      <c r="H131" s="597"/>
      <c r="I131" s="597"/>
      <c r="J131" s="597"/>
      <c r="K131" s="597"/>
      <c r="L131" s="336"/>
      <c r="M131" s="299"/>
    </row>
    <row r="132" spans="1:14" ht="4.5" customHeight="1">
      <c r="A132" s="305"/>
      <c r="B132" s="305"/>
      <c r="C132" s="600"/>
      <c r="D132" s="600"/>
      <c r="E132" s="600"/>
      <c r="F132" s="600"/>
      <c r="G132" s="600"/>
      <c r="H132" s="600"/>
      <c r="I132" s="305"/>
      <c r="J132" s="304"/>
      <c r="K132" s="304"/>
      <c r="L132" s="336"/>
      <c r="M132" s="299"/>
    </row>
    <row r="133" spans="1:14" ht="14.45" customHeight="1">
      <c r="A133" s="651" t="s">
        <v>0</v>
      </c>
      <c r="B133" s="648" t="s">
        <v>20</v>
      </c>
      <c r="C133" s="648"/>
      <c r="D133" s="648"/>
      <c r="E133" s="649"/>
      <c r="F133" s="648"/>
      <c r="G133" s="650"/>
      <c r="H133" s="648"/>
      <c r="I133" s="646" t="s">
        <v>579</v>
      </c>
      <c r="J133" s="646" t="s">
        <v>591</v>
      </c>
      <c r="K133" s="645" t="s">
        <v>592</v>
      </c>
      <c r="L133" s="336"/>
      <c r="M133" s="299"/>
    </row>
    <row r="134" spans="1:14" ht="36.75" customHeight="1">
      <c r="A134" s="652"/>
      <c r="B134" s="355" t="s">
        <v>476</v>
      </c>
      <c r="C134" s="355" t="s">
        <v>485</v>
      </c>
      <c r="D134" s="355" t="s">
        <v>587</v>
      </c>
      <c r="E134" s="355" t="s">
        <v>492</v>
      </c>
      <c r="F134" s="355" t="s">
        <v>588</v>
      </c>
      <c r="G134" s="355" t="s">
        <v>589</v>
      </c>
      <c r="H134" s="355" t="s">
        <v>590</v>
      </c>
      <c r="I134" s="647"/>
      <c r="J134" s="647"/>
      <c r="K134" s="630"/>
      <c r="L134" s="336"/>
      <c r="M134" s="299"/>
    </row>
    <row r="135" spans="1:14" ht="14.45" customHeight="1">
      <c r="A135" s="47" t="s">
        <v>451</v>
      </c>
      <c r="B135" s="361">
        <f t="shared" ref="B135:H135" si="51">SUM(B136:B142)</f>
        <v>987180</v>
      </c>
      <c r="C135" s="361">
        <f t="shared" si="51"/>
        <v>1130537.6200000001</v>
      </c>
      <c r="D135" s="361">
        <f t="shared" si="51"/>
        <v>1130537.6200000001</v>
      </c>
      <c r="E135" s="532">
        <f t="shared" si="51"/>
        <v>2346.7200000000003</v>
      </c>
      <c r="F135" s="532">
        <f t="shared" si="51"/>
        <v>649137.06599999999</v>
      </c>
      <c r="G135" s="361">
        <f t="shared" si="51"/>
        <v>431345.95999999996</v>
      </c>
      <c r="H135" s="361">
        <f t="shared" si="51"/>
        <v>309172.63999999996</v>
      </c>
      <c r="I135" s="536">
        <f>D135-F135</f>
        <v>481400.55400000012</v>
      </c>
      <c r="J135" s="536">
        <f>C135-F135</f>
        <v>481400.55400000012</v>
      </c>
      <c r="K135" s="362">
        <f t="shared" si="49"/>
        <v>57.418440086938446</v>
      </c>
      <c r="L135" s="335"/>
      <c r="M135" s="445">
        <v>646969.58600000001</v>
      </c>
      <c r="N135" s="299" t="s">
        <v>6</v>
      </c>
    </row>
    <row r="136" spans="1:14" ht="14.45" customHeight="1">
      <c r="A136" s="97" t="s">
        <v>397</v>
      </c>
      <c r="B136" s="359">
        <v>51732</v>
      </c>
      <c r="C136" s="359">
        <v>65732</v>
      </c>
      <c r="D136" s="359">
        <v>65732</v>
      </c>
      <c r="E136" s="535">
        <v>4.9800000000000004</v>
      </c>
      <c r="F136" s="535">
        <f t="shared" si="43"/>
        <v>40961.280000000006</v>
      </c>
      <c r="G136" s="359">
        <v>24608.95</v>
      </c>
      <c r="H136" s="359">
        <v>17283.18</v>
      </c>
      <c r="I136" s="359">
        <f t="shared" ref="I136:I141" si="52">+D136-F136</f>
        <v>24770.719999999994</v>
      </c>
      <c r="J136" s="359">
        <f t="shared" si="48"/>
        <v>24770.719999999994</v>
      </c>
      <c r="K136" s="360">
        <f t="shared" si="49"/>
        <v>62.315584494614505</v>
      </c>
      <c r="L136" s="336"/>
      <c r="M136" s="299">
        <v>40956.300000000003</v>
      </c>
    </row>
    <row r="137" spans="1:14" ht="14.45" customHeight="1">
      <c r="A137" s="97" t="s">
        <v>398</v>
      </c>
      <c r="B137" s="359">
        <v>90738</v>
      </c>
      <c r="C137" s="359">
        <v>66738</v>
      </c>
      <c r="D137" s="359">
        <v>66738</v>
      </c>
      <c r="E137" s="535">
        <v>0</v>
      </c>
      <c r="F137" s="535">
        <f t="shared" si="43"/>
        <v>34960.989999999991</v>
      </c>
      <c r="G137" s="359">
        <v>33437.67</v>
      </c>
      <c r="H137" s="359">
        <v>17386.599999999999</v>
      </c>
      <c r="I137" s="359">
        <f t="shared" si="52"/>
        <v>31777.010000000009</v>
      </c>
      <c r="J137" s="359">
        <f t="shared" si="48"/>
        <v>31777.010000000009</v>
      </c>
      <c r="K137" s="360">
        <f t="shared" si="49"/>
        <v>52.385432587131753</v>
      </c>
      <c r="L137" s="336"/>
      <c r="M137" s="299">
        <v>34960.989999999991</v>
      </c>
    </row>
    <row r="138" spans="1:14" ht="14.45" customHeight="1">
      <c r="A138" s="97" t="s">
        <v>399</v>
      </c>
      <c r="B138" s="359">
        <v>63143</v>
      </c>
      <c r="C138" s="359">
        <v>79307</v>
      </c>
      <c r="D138" s="359">
        <v>79307</v>
      </c>
      <c r="E138" s="535">
        <v>0</v>
      </c>
      <c r="F138" s="535">
        <f>+M138+E138</f>
        <v>36306.259999999995</v>
      </c>
      <c r="G138" s="359">
        <v>24737.599999999999</v>
      </c>
      <c r="H138" s="359">
        <v>17942.03</v>
      </c>
      <c r="I138" s="359">
        <f t="shared" si="52"/>
        <v>43000.740000000005</v>
      </c>
      <c r="J138" s="359">
        <f t="shared" si="48"/>
        <v>43000.740000000005</v>
      </c>
      <c r="K138" s="360">
        <f t="shared" si="49"/>
        <v>45.779388956838609</v>
      </c>
      <c r="L138" s="336"/>
      <c r="M138" s="299">
        <v>36306.259999999995</v>
      </c>
    </row>
    <row r="139" spans="1:14" ht="14.45" customHeight="1">
      <c r="A139" s="97" t="s">
        <v>400</v>
      </c>
      <c r="B139" s="359">
        <v>402912</v>
      </c>
      <c r="C139" s="359">
        <v>371565</v>
      </c>
      <c r="D139" s="359">
        <v>371565</v>
      </c>
      <c r="E139" s="535">
        <v>564.97</v>
      </c>
      <c r="F139" s="535">
        <f>+M139+E139</f>
        <v>201354.44</v>
      </c>
      <c r="G139" s="359">
        <v>165930.10999999999</v>
      </c>
      <c r="H139" s="359">
        <v>95473.06</v>
      </c>
      <c r="I139" s="359">
        <f t="shared" si="52"/>
        <v>170210.56</v>
      </c>
      <c r="J139" s="359">
        <f t="shared" si="48"/>
        <v>170210.56</v>
      </c>
      <c r="K139" s="360">
        <f t="shared" si="49"/>
        <v>54.190906032591876</v>
      </c>
      <c r="L139" s="336"/>
      <c r="M139" s="299">
        <v>200789.47</v>
      </c>
    </row>
    <row r="140" spans="1:14" ht="14.45" customHeight="1">
      <c r="A140" s="97" t="s">
        <v>401</v>
      </c>
      <c r="B140" s="359">
        <v>165709</v>
      </c>
      <c r="C140" s="359">
        <v>223534.74</v>
      </c>
      <c r="D140" s="359">
        <v>223534.74</v>
      </c>
      <c r="E140" s="535">
        <v>393.76</v>
      </c>
      <c r="F140" s="535">
        <f t="shared" si="43"/>
        <v>146891.12600000002</v>
      </c>
      <c r="G140" s="359">
        <v>98377.9</v>
      </c>
      <c r="H140" s="359">
        <v>89865.54</v>
      </c>
      <c r="I140" s="359">
        <f t="shared" si="52"/>
        <v>76643.613999999972</v>
      </c>
      <c r="J140" s="359">
        <f t="shared" si="48"/>
        <v>76643.613999999972</v>
      </c>
      <c r="K140" s="360">
        <f t="shared" si="49"/>
        <v>65.712884717605874</v>
      </c>
      <c r="L140" s="336"/>
      <c r="M140" s="299">
        <v>146497.36600000001</v>
      </c>
    </row>
    <row r="141" spans="1:14" ht="14.45" customHeight="1">
      <c r="A141" s="97" t="s">
        <v>402</v>
      </c>
      <c r="B141" s="359">
        <v>55258</v>
      </c>
      <c r="C141" s="359">
        <v>51258</v>
      </c>
      <c r="D141" s="359">
        <v>51258</v>
      </c>
      <c r="E141" s="535">
        <v>0</v>
      </c>
      <c r="F141" s="535">
        <f>+M141+E141</f>
        <v>30374.049999999996</v>
      </c>
      <c r="G141" s="359">
        <v>23432.49</v>
      </c>
      <c r="H141" s="359">
        <v>22961.69</v>
      </c>
      <c r="I141" s="359">
        <f t="shared" si="52"/>
        <v>20883.950000000004</v>
      </c>
      <c r="J141" s="359">
        <f t="shared" si="48"/>
        <v>20883.950000000004</v>
      </c>
      <c r="K141" s="360">
        <f t="shared" si="49"/>
        <v>59.257189121698076</v>
      </c>
      <c r="L141" s="336"/>
      <c r="M141" s="299">
        <v>30374.049999999996</v>
      </c>
      <c r="N141" s="297" t="s">
        <v>6</v>
      </c>
    </row>
    <row r="142" spans="1:14" ht="14.45" customHeight="1">
      <c r="A142" s="97" t="s">
        <v>403</v>
      </c>
      <c r="B142" s="359">
        <v>157688</v>
      </c>
      <c r="C142" s="359">
        <v>272402.88</v>
      </c>
      <c r="D142" s="359">
        <v>272402.88</v>
      </c>
      <c r="E142" s="535">
        <v>1383.01</v>
      </c>
      <c r="F142" s="535">
        <v>158288.92000000001</v>
      </c>
      <c r="G142" s="359">
        <v>60821.24</v>
      </c>
      <c r="H142" s="359">
        <v>48260.54</v>
      </c>
      <c r="I142" s="359">
        <f>+D142-F142</f>
        <v>114113.95999999999</v>
      </c>
      <c r="J142" s="359">
        <f t="shared" si="48"/>
        <v>114113.95999999999</v>
      </c>
      <c r="K142" s="360">
        <f t="shared" si="49"/>
        <v>58.108387106626779</v>
      </c>
      <c r="L142" s="336"/>
      <c r="M142" s="299">
        <v>157085.15</v>
      </c>
    </row>
    <row r="143" spans="1:14" ht="14.45" customHeight="1">
      <c r="A143" s="47" t="s">
        <v>404</v>
      </c>
      <c r="B143" s="361">
        <f t="shared" ref="B143:H143" si="53">SUM(B144:B148)</f>
        <v>910470</v>
      </c>
      <c r="C143" s="361">
        <f t="shared" si="53"/>
        <v>727824.63</v>
      </c>
      <c r="D143" s="361">
        <f t="shared" si="53"/>
        <v>727824.63</v>
      </c>
      <c r="E143" s="532">
        <f t="shared" si="53"/>
        <v>17185.82</v>
      </c>
      <c r="F143" s="532">
        <f t="shared" si="53"/>
        <v>423439.57</v>
      </c>
      <c r="G143" s="361">
        <f t="shared" si="53"/>
        <v>297911.58</v>
      </c>
      <c r="H143" s="361">
        <f t="shared" si="53"/>
        <v>248876.45</v>
      </c>
      <c r="I143" s="536">
        <f>D143-F143</f>
        <v>304385.06</v>
      </c>
      <c r="J143" s="536">
        <f>C143-F143</f>
        <v>304385.06</v>
      </c>
      <c r="K143" s="362">
        <f t="shared" si="49"/>
        <v>58.17879095407914</v>
      </c>
      <c r="L143" s="335"/>
      <c r="M143" s="445">
        <v>406253.75</v>
      </c>
      <c r="N143" s="299" t="s">
        <v>6</v>
      </c>
    </row>
    <row r="144" spans="1:14" ht="14.45" customHeight="1">
      <c r="A144" s="97" t="s">
        <v>405</v>
      </c>
      <c r="B144" s="359">
        <v>21936</v>
      </c>
      <c r="C144" s="359">
        <v>61213</v>
      </c>
      <c r="D144" s="359">
        <v>61213</v>
      </c>
      <c r="E144" s="535">
        <v>0</v>
      </c>
      <c r="F144" s="535">
        <f t="shared" si="43"/>
        <v>33541.49</v>
      </c>
      <c r="G144" s="359">
        <v>33541.49</v>
      </c>
      <c r="H144" s="359">
        <v>33541.49</v>
      </c>
      <c r="I144" s="359">
        <f>+D144-F144</f>
        <v>27671.510000000002</v>
      </c>
      <c r="J144" s="359">
        <f t="shared" si="48"/>
        <v>27671.510000000002</v>
      </c>
      <c r="K144" s="360">
        <f t="shared" si="49"/>
        <v>54.794716808521059</v>
      </c>
      <c r="L144" s="336"/>
      <c r="M144" s="299">
        <v>33541.49</v>
      </c>
    </row>
    <row r="145" spans="1:16" ht="14.45" customHeight="1">
      <c r="A145" s="97" t="s">
        <v>406</v>
      </c>
      <c r="B145" s="359">
        <v>491424</v>
      </c>
      <c r="C145" s="359">
        <v>173627</v>
      </c>
      <c r="D145" s="359">
        <v>173627</v>
      </c>
      <c r="E145" s="535">
        <v>645</v>
      </c>
      <c r="F145" s="535">
        <f t="shared" si="43"/>
        <v>105484.34</v>
      </c>
      <c r="G145" s="359">
        <v>65189.65</v>
      </c>
      <c r="H145" s="359">
        <v>51715.83</v>
      </c>
      <c r="I145" s="359">
        <f>+D145-F145</f>
        <v>68142.66</v>
      </c>
      <c r="J145" s="359">
        <f t="shared" si="48"/>
        <v>68142.66</v>
      </c>
      <c r="K145" s="360">
        <f t="shared" si="49"/>
        <v>60.753419687030238</v>
      </c>
      <c r="L145" s="336"/>
      <c r="M145" s="299">
        <v>104839.34</v>
      </c>
    </row>
    <row r="146" spans="1:16" ht="14.45" customHeight="1">
      <c r="A146" s="97" t="s">
        <v>407</v>
      </c>
      <c r="B146" s="359">
        <v>116616</v>
      </c>
      <c r="C146" s="359">
        <v>62616</v>
      </c>
      <c r="D146" s="359">
        <v>62616</v>
      </c>
      <c r="E146" s="535">
        <v>0</v>
      </c>
      <c r="F146" s="535">
        <f t="shared" si="43"/>
        <v>22417.73</v>
      </c>
      <c r="G146" s="359">
        <v>20698.939999999999</v>
      </c>
      <c r="H146" s="359">
        <v>17266.95</v>
      </c>
      <c r="I146" s="359">
        <f>+D146-F146</f>
        <v>40198.270000000004</v>
      </c>
      <c r="J146" s="359">
        <f t="shared" si="48"/>
        <v>40198.270000000004</v>
      </c>
      <c r="K146" s="360">
        <f t="shared" si="49"/>
        <v>35.801919637153439</v>
      </c>
      <c r="L146" s="336"/>
      <c r="M146" s="299">
        <v>22417.73</v>
      </c>
    </row>
    <row r="147" spans="1:16" ht="14.45" customHeight="1">
      <c r="A147" s="97" t="s">
        <v>408</v>
      </c>
      <c r="B147" s="359">
        <v>127161</v>
      </c>
      <c r="C147" s="359">
        <v>241025.63</v>
      </c>
      <c r="D147" s="359">
        <v>241025.63</v>
      </c>
      <c r="E147" s="535">
        <v>200.63</v>
      </c>
      <c r="F147" s="535">
        <f>+M147+E147</f>
        <v>136060.82</v>
      </c>
      <c r="G147" s="359">
        <v>114715.48</v>
      </c>
      <c r="H147" s="359">
        <v>85126.37</v>
      </c>
      <c r="I147" s="359">
        <f>+D147-F147</f>
        <v>104964.81</v>
      </c>
      <c r="J147" s="359">
        <f t="shared" si="48"/>
        <v>104964.81</v>
      </c>
      <c r="K147" s="360">
        <f t="shared" si="49"/>
        <v>56.450768327003232</v>
      </c>
      <c r="L147" s="336"/>
      <c r="M147" s="299">
        <v>135860.19</v>
      </c>
    </row>
    <row r="148" spans="1:16" ht="14.45" customHeight="1">
      <c r="A148" s="97" t="s">
        <v>409</v>
      </c>
      <c r="B148" s="359">
        <v>153333</v>
      </c>
      <c r="C148" s="359">
        <v>189343</v>
      </c>
      <c r="D148" s="359">
        <v>189343</v>
      </c>
      <c r="E148" s="535">
        <v>16340.19</v>
      </c>
      <c r="F148" s="535">
        <f t="shared" si="43"/>
        <v>125935.19</v>
      </c>
      <c r="G148" s="359">
        <v>63766.02</v>
      </c>
      <c r="H148" s="359">
        <v>61225.81</v>
      </c>
      <c r="I148" s="359">
        <f>+D148-F148</f>
        <v>63407.81</v>
      </c>
      <c r="J148" s="359">
        <f t="shared" si="48"/>
        <v>63407.81</v>
      </c>
      <c r="K148" s="360">
        <f t="shared" si="49"/>
        <v>66.511669298574546</v>
      </c>
      <c r="L148" s="336"/>
      <c r="M148" s="299">
        <v>109595</v>
      </c>
    </row>
    <row r="149" spans="1:16" ht="14.45" customHeight="1">
      <c r="A149" s="47" t="s">
        <v>410</v>
      </c>
      <c r="B149" s="361">
        <f t="shared" ref="B149:H149" si="54">SUM(B150:B157)</f>
        <v>1721563</v>
      </c>
      <c r="C149" s="361">
        <f t="shared" si="54"/>
        <v>1533658.32</v>
      </c>
      <c r="D149" s="361">
        <f>SUM(D150:D157)</f>
        <v>1533658.32</v>
      </c>
      <c r="E149" s="532">
        <f t="shared" si="54"/>
        <v>0</v>
      </c>
      <c r="F149" s="532">
        <f>SUM(F150:F157)</f>
        <v>1143946.07</v>
      </c>
      <c r="G149" s="361">
        <f>SUM(G150:G157)</f>
        <v>1045552.27</v>
      </c>
      <c r="H149" s="361">
        <f t="shared" si="54"/>
        <v>915497.7</v>
      </c>
      <c r="I149" s="536">
        <f>D149-F149</f>
        <v>389712.25</v>
      </c>
      <c r="J149" s="536">
        <f>C149-F149</f>
        <v>389712.25</v>
      </c>
      <c r="K149" s="362">
        <f t="shared" si="49"/>
        <v>74.589369423562346</v>
      </c>
      <c r="L149" s="335"/>
      <c r="M149" s="445">
        <v>1143946.07</v>
      </c>
      <c r="N149" s="299" t="s">
        <v>6</v>
      </c>
      <c r="P149" s="299"/>
    </row>
    <row r="150" spans="1:16" ht="14.45" customHeight="1">
      <c r="A150" s="97" t="s">
        <v>411</v>
      </c>
      <c r="B150" s="359">
        <v>61742</v>
      </c>
      <c r="C150" s="359">
        <v>130242</v>
      </c>
      <c r="D150" s="359">
        <v>130242</v>
      </c>
      <c r="E150" s="535">
        <v>0</v>
      </c>
      <c r="F150" s="535">
        <f t="shared" si="43"/>
        <v>111082.03</v>
      </c>
      <c r="G150" s="359">
        <v>94443.93</v>
      </c>
      <c r="H150" s="359">
        <v>73289.08</v>
      </c>
      <c r="I150" s="359">
        <f t="shared" ref="I150:I157" si="55">+D150-F150</f>
        <v>19159.97</v>
      </c>
      <c r="J150" s="359">
        <f t="shared" si="48"/>
        <v>19159.97</v>
      </c>
      <c r="K150" s="360">
        <f>F150/C150*100</f>
        <v>85.288946729933514</v>
      </c>
      <c r="L150" s="336"/>
      <c r="M150" s="299">
        <v>111082.03</v>
      </c>
      <c r="O150" s="297" t="s">
        <v>6</v>
      </c>
    </row>
    <row r="151" spans="1:16" ht="14.45" customHeight="1">
      <c r="A151" s="97" t="s">
        <v>412</v>
      </c>
      <c r="B151" s="359">
        <v>90632</v>
      </c>
      <c r="C151" s="359">
        <v>46632</v>
      </c>
      <c r="D151" s="359">
        <v>46632</v>
      </c>
      <c r="E151" s="535">
        <v>0</v>
      </c>
      <c r="F151" s="535">
        <f t="shared" si="43"/>
        <v>12721.740000000002</v>
      </c>
      <c r="G151" s="359">
        <v>12721.74</v>
      </c>
      <c r="H151" s="359">
        <v>8953.68</v>
      </c>
      <c r="I151" s="359">
        <f t="shared" si="55"/>
        <v>33910.259999999995</v>
      </c>
      <c r="J151" s="359">
        <f t="shared" si="48"/>
        <v>33910.259999999995</v>
      </c>
      <c r="K151" s="360">
        <f t="shared" ref="K151:K156" si="56">F151/C151*100</f>
        <v>27.281137416366448</v>
      </c>
      <c r="L151" s="336"/>
      <c r="M151" s="299">
        <v>12721.740000000002</v>
      </c>
    </row>
    <row r="152" spans="1:16" ht="14.45" customHeight="1">
      <c r="A152" s="97" t="s">
        <v>413</v>
      </c>
      <c r="B152" s="359">
        <v>262995</v>
      </c>
      <c r="C152" s="359">
        <v>448792.1</v>
      </c>
      <c r="D152" s="359">
        <v>448792.1</v>
      </c>
      <c r="E152" s="535">
        <v>0</v>
      </c>
      <c r="F152" s="535">
        <f t="shared" si="43"/>
        <v>398758.96</v>
      </c>
      <c r="G152" s="359">
        <v>396982.76</v>
      </c>
      <c r="H152" s="359">
        <v>388655.82</v>
      </c>
      <c r="I152" s="359">
        <f t="shared" si="55"/>
        <v>50033.139999999956</v>
      </c>
      <c r="J152" s="359">
        <f t="shared" si="48"/>
        <v>50033.139999999956</v>
      </c>
      <c r="K152" s="360">
        <f t="shared" si="56"/>
        <v>88.851599660510971</v>
      </c>
      <c r="L152" s="336"/>
      <c r="M152" s="299">
        <v>398758.96</v>
      </c>
    </row>
    <row r="153" spans="1:16" ht="14.45" customHeight="1">
      <c r="A153" s="97" t="s">
        <v>414</v>
      </c>
      <c r="B153" s="359">
        <v>322492</v>
      </c>
      <c r="C153" s="359">
        <v>83606</v>
      </c>
      <c r="D153" s="359">
        <v>83606</v>
      </c>
      <c r="E153" s="535">
        <v>0</v>
      </c>
      <c r="F153" s="535">
        <f t="shared" si="43"/>
        <v>39234.929999999993</v>
      </c>
      <c r="G153" s="359">
        <v>31523.71</v>
      </c>
      <c r="H153" s="359">
        <v>31043.01</v>
      </c>
      <c r="I153" s="359">
        <f t="shared" si="55"/>
        <v>44371.070000000007</v>
      </c>
      <c r="J153" s="359">
        <f t="shared" si="48"/>
        <v>44371.070000000007</v>
      </c>
      <c r="K153" s="360">
        <f t="shared" si="56"/>
        <v>46.928366385187658</v>
      </c>
      <c r="L153" s="336"/>
      <c r="M153" s="299">
        <v>39234.929999999993</v>
      </c>
    </row>
    <row r="154" spans="1:16" ht="14.45" customHeight="1">
      <c r="A154" s="97" t="s">
        <v>415</v>
      </c>
      <c r="B154" s="359">
        <v>627321</v>
      </c>
      <c r="C154" s="359">
        <v>501943</v>
      </c>
      <c r="D154" s="359">
        <v>501943</v>
      </c>
      <c r="E154" s="535">
        <v>0</v>
      </c>
      <c r="F154" s="535">
        <f t="shared" si="43"/>
        <v>341746.93</v>
      </c>
      <c r="G154" s="359">
        <v>315068.24</v>
      </c>
      <c r="H154" s="359">
        <v>234179.87</v>
      </c>
      <c r="I154" s="359">
        <f t="shared" si="55"/>
        <v>160196.07</v>
      </c>
      <c r="J154" s="359">
        <f t="shared" si="48"/>
        <v>160196.07</v>
      </c>
      <c r="K154" s="360">
        <f t="shared" si="56"/>
        <v>68.08480843442382</v>
      </c>
      <c r="L154" s="336"/>
      <c r="M154" s="299">
        <v>341746.93</v>
      </c>
    </row>
    <row r="155" spans="1:16" ht="14.45" customHeight="1">
      <c r="A155" s="97" t="s">
        <v>416</v>
      </c>
      <c r="B155" s="359">
        <v>34034</v>
      </c>
      <c r="C155" s="359">
        <v>9034</v>
      </c>
      <c r="D155" s="359">
        <v>9034</v>
      </c>
      <c r="E155" s="535">
        <v>0</v>
      </c>
      <c r="F155" s="535">
        <f t="shared" si="43"/>
        <v>4020.5299999999997</v>
      </c>
      <c r="G155" s="359">
        <v>304.97000000000003</v>
      </c>
      <c r="H155" s="359">
        <v>304.97000000000003</v>
      </c>
      <c r="I155" s="359">
        <f t="shared" si="55"/>
        <v>5013.47</v>
      </c>
      <c r="J155" s="359">
        <f t="shared" si="48"/>
        <v>5013.47</v>
      </c>
      <c r="K155" s="360">
        <f t="shared" si="56"/>
        <v>44.504427717511618</v>
      </c>
      <c r="L155" s="336"/>
      <c r="M155" s="299">
        <v>4020.5299999999997</v>
      </c>
    </row>
    <row r="156" spans="1:16" ht="14.45" customHeight="1">
      <c r="A156" s="97" t="s">
        <v>417</v>
      </c>
      <c r="B156" s="359">
        <v>15800</v>
      </c>
      <c r="C156" s="359">
        <v>1800</v>
      </c>
      <c r="D156" s="359">
        <v>1800</v>
      </c>
      <c r="E156" s="535"/>
      <c r="F156" s="535">
        <f t="shared" si="43"/>
        <v>0</v>
      </c>
      <c r="G156" s="359"/>
      <c r="H156" s="359"/>
      <c r="I156" s="359">
        <f t="shared" si="55"/>
        <v>1800</v>
      </c>
      <c r="J156" s="359">
        <f t="shared" si="48"/>
        <v>1800</v>
      </c>
      <c r="K156" s="360">
        <f t="shared" si="56"/>
        <v>0</v>
      </c>
      <c r="L156" s="336"/>
      <c r="M156" s="299">
        <v>0</v>
      </c>
    </row>
    <row r="157" spans="1:16" ht="14.45" customHeight="1">
      <c r="A157" s="97" t="s">
        <v>418</v>
      </c>
      <c r="B157" s="359">
        <v>306547</v>
      </c>
      <c r="C157" s="359">
        <v>311609.21999999997</v>
      </c>
      <c r="D157" s="359">
        <v>311609.21999999997</v>
      </c>
      <c r="E157" s="535">
        <v>0</v>
      </c>
      <c r="F157" s="535">
        <f t="shared" si="43"/>
        <v>236380.95</v>
      </c>
      <c r="G157" s="359">
        <v>194506.92</v>
      </c>
      <c r="H157" s="359">
        <v>179071.27</v>
      </c>
      <c r="I157" s="359">
        <f t="shared" si="55"/>
        <v>75228.26999999996</v>
      </c>
      <c r="J157" s="359">
        <f t="shared" si="48"/>
        <v>75228.26999999996</v>
      </c>
      <c r="K157" s="360">
        <f>F157/C157*100</f>
        <v>75.858137316989541</v>
      </c>
      <c r="L157" s="336"/>
      <c r="M157" s="299">
        <v>236380.95</v>
      </c>
    </row>
    <row r="158" spans="1:16" ht="14.45" customHeight="1">
      <c r="A158" s="47" t="s">
        <v>419</v>
      </c>
      <c r="B158" s="361">
        <f t="shared" ref="B158:H158" si="57">+B159</f>
        <v>652647</v>
      </c>
      <c r="C158" s="361">
        <f t="shared" si="57"/>
        <v>376835</v>
      </c>
      <c r="D158" s="361">
        <f t="shared" si="57"/>
        <v>376835</v>
      </c>
      <c r="E158" s="532">
        <f>+E159</f>
        <v>-1437.98</v>
      </c>
      <c r="F158" s="532">
        <f t="shared" si="57"/>
        <v>220245.87999999998</v>
      </c>
      <c r="G158" s="361">
        <f t="shared" si="57"/>
        <v>189459.68</v>
      </c>
      <c r="H158" s="361">
        <f t="shared" si="57"/>
        <v>151388.49</v>
      </c>
      <c r="I158" s="536">
        <f>D158-F158</f>
        <v>156589.12000000002</v>
      </c>
      <c r="J158" s="536">
        <f>C158-F158</f>
        <v>156589.12000000002</v>
      </c>
      <c r="K158" s="362">
        <f>F158/C158*100</f>
        <v>58.446237743309403</v>
      </c>
      <c r="L158" s="335"/>
      <c r="M158" s="445">
        <v>221683.86</v>
      </c>
    </row>
    <row r="159" spans="1:16" ht="14.45" customHeight="1">
      <c r="A159" s="97" t="s">
        <v>420</v>
      </c>
      <c r="B159" s="359">
        <v>652647</v>
      </c>
      <c r="C159" s="359">
        <v>376835</v>
      </c>
      <c r="D159" s="359">
        <v>376835</v>
      </c>
      <c r="E159" s="535">
        <v>-1437.98</v>
      </c>
      <c r="F159" s="535">
        <f>+M159+E159</f>
        <v>220245.87999999998</v>
      </c>
      <c r="G159" s="359">
        <v>189459.68</v>
      </c>
      <c r="H159" s="359">
        <v>151388.49</v>
      </c>
      <c r="I159" s="359">
        <f>+D159-F159</f>
        <v>156589.12000000002</v>
      </c>
      <c r="J159" s="359">
        <f t="shared" si="48"/>
        <v>156589.12000000002</v>
      </c>
      <c r="K159" s="360">
        <f>F159/C159*100</f>
        <v>58.446237743309403</v>
      </c>
      <c r="L159" s="336"/>
      <c r="M159" s="299">
        <v>221683.86</v>
      </c>
    </row>
    <row r="160" spans="1:16" ht="14.45" customHeight="1">
      <c r="A160" s="47" t="s">
        <v>421</v>
      </c>
      <c r="B160" s="361"/>
      <c r="C160" s="361">
        <f t="shared" ref="C160:G160" si="58">SUM(C161:C169)</f>
        <v>173940</v>
      </c>
      <c r="D160" s="361">
        <f t="shared" si="58"/>
        <v>173940</v>
      </c>
      <c r="E160" s="532">
        <f t="shared" si="58"/>
        <v>0</v>
      </c>
      <c r="F160" s="532">
        <f t="shared" si="58"/>
        <v>79066.359999999986</v>
      </c>
      <c r="G160" s="361">
        <f t="shared" si="58"/>
        <v>8342.6</v>
      </c>
      <c r="H160" s="361">
        <f>SUM(H161:H169)</f>
        <v>77112.08</v>
      </c>
      <c r="I160" s="361">
        <f t="shared" ref="I160:I169" si="59">C160-E160</f>
        <v>173940</v>
      </c>
      <c r="J160" s="536">
        <f>C160-F160</f>
        <v>94873.640000000014</v>
      </c>
      <c r="K160" s="362">
        <f>F160/C160*100</f>
        <v>45.456111302748063</v>
      </c>
      <c r="L160" s="335"/>
      <c r="M160" s="445">
        <v>79066.359999999986</v>
      </c>
      <c r="N160" s="299" t="s">
        <v>6</v>
      </c>
    </row>
    <row r="161" spans="1:13" ht="14.45" customHeight="1">
      <c r="A161" s="97" t="s">
        <v>422</v>
      </c>
      <c r="B161" s="359"/>
      <c r="C161" s="359">
        <v>11820</v>
      </c>
      <c r="D161" s="359">
        <v>11820</v>
      </c>
      <c r="E161" s="535"/>
      <c r="F161" s="535">
        <f t="shared" si="43"/>
        <v>6854.99</v>
      </c>
      <c r="G161" s="359">
        <v>4386</v>
      </c>
      <c r="H161" s="359">
        <v>6854.99</v>
      </c>
      <c r="I161" s="359">
        <f t="shared" si="59"/>
        <v>11820</v>
      </c>
      <c r="J161" s="359">
        <f t="shared" si="48"/>
        <v>4965.01</v>
      </c>
      <c r="K161" s="360">
        <f>F161/C161*100</f>
        <v>57.994839255499151</v>
      </c>
      <c r="L161" s="336"/>
      <c r="M161" s="299">
        <v>6854.99</v>
      </c>
    </row>
    <row r="162" spans="1:13" ht="14.45" customHeight="1">
      <c r="A162" s="97" t="s">
        <v>423</v>
      </c>
      <c r="B162" s="359"/>
      <c r="C162" s="359">
        <v>5330</v>
      </c>
      <c r="D162" s="359">
        <v>5330</v>
      </c>
      <c r="E162" s="535"/>
      <c r="F162" s="535">
        <f t="shared" si="43"/>
        <v>5195.4500000000007</v>
      </c>
      <c r="G162" s="359"/>
      <c r="H162" s="359">
        <v>5195.45</v>
      </c>
      <c r="I162" s="359">
        <f t="shared" si="59"/>
        <v>5330</v>
      </c>
      <c r="J162" s="359">
        <f t="shared" si="48"/>
        <v>134.54999999999927</v>
      </c>
      <c r="K162" s="360">
        <f t="shared" ref="K162:K169" si="60">F162/C162*100</f>
        <v>97.475609756097569</v>
      </c>
      <c r="L162" s="336"/>
      <c r="M162" s="299">
        <v>5195.4500000000007</v>
      </c>
    </row>
    <row r="163" spans="1:13" ht="14.45" customHeight="1">
      <c r="A163" s="97" t="s">
        <v>424</v>
      </c>
      <c r="B163" s="359"/>
      <c r="C163" s="359">
        <v>82150</v>
      </c>
      <c r="D163" s="359">
        <v>82150</v>
      </c>
      <c r="E163" s="535">
        <v>0</v>
      </c>
      <c r="F163" s="535">
        <f>+M163+E163</f>
        <v>2394.71</v>
      </c>
      <c r="G163" s="359">
        <v>827.67</v>
      </c>
      <c r="H163" s="359">
        <v>2394.71</v>
      </c>
      <c r="I163" s="359">
        <f t="shared" si="59"/>
        <v>82150</v>
      </c>
      <c r="J163" s="359">
        <f t="shared" si="48"/>
        <v>79755.289999999994</v>
      </c>
      <c r="K163" s="360">
        <f t="shared" si="60"/>
        <v>2.915045648204504</v>
      </c>
      <c r="L163" s="336"/>
      <c r="M163" s="299">
        <v>2394.71</v>
      </c>
    </row>
    <row r="164" spans="1:13" ht="14.45" customHeight="1">
      <c r="A164" s="97" t="s">
        <v>461</v>
      </c>
      <c r="B164" s="359"/>
      <c r="C164" s="359">
        <v>17650</v>
      </c>
      <c r="D164" s="359">
        <v>17650</v>
      </c>
      <c r="E164" s="535"/>
      <c r="F164" s="535">
        <f t="shared" si="43"/>
        <v>17528.47</v>
      </c>
      <c r="G164" s="359"/>
      <c r="H164" s="359">
        <v>17528.47</v>
      </c>
      <c r="I164" s="359">
        <f t="shared" si="59"/>
        <v>17650</v>
      </c>
      <c r="J164" s="359">
        <f t="shared" si="48"/>
        <v>121.52999999999884</v>
      </c>
      <c r="K164" s="360">
        <f t="shared" si="60"/>
        <v>99.311444759206807</v>
      </c>
      <c r="L164" s="336"/>
      <c r="M164" s="299">
        <v>17528.47</v>
      </c>
    </row>
    <row r="165" spans="1:13" ht="14.45" customHeight="1">
      <c r="A165" s="97" t="s">
        <v>462</v>
      </c>
      <c r="B165" s="359"/>
      <c r="C165" s="359">
        <v>4995</v>
      </c>
      <c r="D165" s="359">
        <v>4995</v>
      </c>
      <c r="E165" s="535">
        <v>0</v>
      </c>
      <c r="F165" s="535">
        <f t="shared" si="43"/>
        <v>3453.17</v>
      </c>
      <c r="G165" s="359">
        <v>912.71</v>
      </c>
      <c r="H165" s="359">
        <v>3453.17</v>
      </c>
      <c r="I165" s="359">
        <f t="shared" si="59"/>
        <v>4995</v>
      </c>
      <c r="J165" s="359">
        <f t="shared" si="48"/>
        <v>1541.83</v>
      </c>
      <c r="K165" s="360">
        <f>F165/C165*100</f>
        <v>69.132532532532537</v>
      </c>
      <c r="L165" s="336"/>
      <c r="M165" s="299">
        <v>3453.17</v>
      </c>
    </row>
    <row r="166" spans="1:13" ht="14.45" customHeight="1">
      <c r="A166" s="97" t="s">
        <v>463</v>
      </c>
      <c r="B166" s="359"/>
      <c r="C166" s="359">
        <v>5150</v>
      </c>
      <c r="D166" s="359">
        <v>5150</v>
      </c>
      <c r="E166" s="535">
        <v>0</v>
      </c>
      <c r="F166" s="535">
        <f t="shared" si="43"/>
        <v>4899.5200000000004</v>
      </c>
      <c r="G166" s="359"/>
      <c r="H166" s="359">
        <v>4856.72</v>
      </c>
      <c r="I166" s="359">
        <f t="shared" si="59"/>
        <v>5150</v>
      </c>
      <c r="J166" s="359">
        <f t="shared" si="48"/>
        <v>250.47999999999956</v>
      </c>
      <c r="K166" s="360">
        <f t="shared" si="60"/>
        <v>95.136310679611654</v>
      </c>
      <c r="L166" s="336"/>
      <c r="M166" s="299">
        <v>4899.5200000000004</v>
      </c>
    </row>
    <row r="167" spans="1:13" ht="14.45" customHeight="1">
      <c r="A167" s="97" t="s">
        <v>425</v>
      </c>
      <c r="B167" s="359"/>
      <c r="C167" s="359">
        <v>20850</v>
      </c>
      <c r="D167" s="359">
        <v>20850</v>
      </c>
      <c r="E167" s="535">
        <v>0</v>
      </c>
      <c r="F167" s="535">
        <f t="shared" si="43"/>
        <v>15476.220000000001</v>
      </c>
      <c r="G167" s="359">
        <v>251.66</v>
      </c>
      <c r="H167" s="359">
        <v>15476.22</v>
      </c>
      <c r="I167" s="359">
        <f t="shared" si="59"/>
        <v>20850</v>
      </c>
      <c r="J167" s="359">
        <f t="shared" si="48"/>
        <v>5373.7799999999988</v>
      </c>
      <c r="K167" s="360">
        <f t="shared" si="60"/>
        <v>74.226474820143892</v>
      </c>
      <c r="L167" s="336"/>
      <c r="M167" s="299">
        <v>15476.220000000001</v>
      </c>
    </row>
    <row r="168" spans="1:13" ht="14.45" customHeight="1">
      <c r="A168" s="97" t="s">
        <v>426</v>
      </c>
      <c r="B168" s="359"/>
      <c r="C168" s="359">
        <v>12750</v>
      </c>
      <c r="D168" s="359">
        <v>12750</v>
      </c>
      <c r="E168" s="535"/>
      <c r="F168" s="535">
        <f t="shared" si="43"/>
        <v>10267.76</v>
      </c>
      <c r="G168" s="359">
        <v>1669.2</v>
      </c>
      <c r="H168" s="359">
        <v>8891.2800000000007</v>
      </c>
      <c r="I168" s="359">
        <f t="shared" si="59"/>
        <v>12750</v>
      </c>
      <c r="J168" s="359">
        <f t="shared" si="48"/>
        <v>2482.2399999999998</v>
      </c>
      <c r="K168" s="360">
        <f>F168/C168*100</f>
        <v>80.531450980392165</v>
      </c>
      <c r="L168" s="336"/>
      <c r="M168" s="299">
        <v>10267.76</v>
      </c>
    </row>
    <row r="169" spans="1:13" ht="14.45" customHeight="1">
      <c r="A169" s="97" t="s">
        <v>427</v>
      </c>
      <c r="B169" s="359"/>
      <c r="C169" s="359">
        <v>13245</v>
      </c>
      <c r="D169" s="359">
        <v>13245</v>
      </c>
      <c r="E169" s="535">
        <v>0</v>
      </c>
      <c r="F169" s="535">
        <f t="shared" si="43"/>
        <v>12996.07</v>
      </c>
      <c r="G169" s="359">
        <v>295.36</v>
      </c>
      <c r="H169" s="359">
        <v>12461.07</v>
      </c>
      <c r="I169" s="359">
        <f t="shared" si="59"/>
        <v>13245</v>
      </c>
      <c r="J169" s="359">
        <f t="shared" si="48"/>
        <v>248.93000000000029</v>
      </c>
      <c r="K169" s="360">
        <f t="shared" si="60"/>
        <v>98.120573801434503</v>
      </c>
      <c r="L169" s="336"/>
      <c r="M169" s="299">
        <v>12996.07</v>
      </c>
    </row>
    <row r="170" spans="1:13" ht="21" customHeight="1">
      <c r="A170" s="314" t="s">
        <v>428</v>
      </c>
      <c r="B170" s="469">
        <f>+B171+B173</f>
        <v>2503569</v>
      </c>
      <c r="C170" s="356">
        <f>+C171+C173</f>
        <v>2188964.63</v>
      </c>
      <c r="D170" s="356">
        <f>+D171+D173</f>
        <v>2188964.63</v>
      </c>
      <c r="E170" s="538">
        <f>+E171+E173</f>
        <v>0</v>
      </c>
      <c r="F170" s="538">
        <f>+M170+E170</f>
        <v>1691529.58</v>
      </c>
      <c r="G170" s="357">
        <f>+G171+G173</f>
        <v>1277862.58</v>
      </c>
      <c r="H170" s="356">
        <f>+H171+H173</f>
        <v>1258435.8999999999</v>
      </c>
      <c r="I170" s="357">
        <f>D170-F170</f>
        <v>497435.04999999981</v>
      </c>
      <c r="J170" s="357">
        <f>C170-F170</f>
        <v>497435.04999999981</v>
      </c>
      <c r="K170" s="358">
        <f t="shared" ref="K170:K178" si="61">F170/C170*100</f>
        <v>77.275327194300075</v>
      </c>
      <c r="L170" s="337"/>
      <c r="M170" s="299">
        <v>1691529.58</v>
      </c>
    </row>
    <row r="171" spans="1:13" ht="14.45" customHeight="1">
      <c r="A171" s="47" t="s">
        <v>429</v>
      </c>
      <c r="B171" s="450">
        <f>+B172</f>
        <v>2503569</v>
      </c>
      <c r="C171" s="361">
        <f>+C172</f>
        <v>2048124.63</v>
      </c>
      <c r="D171" s="361">
        <f>+D172</f>
        <v>2048124.63</v>
      </c>
      <c r="E171" s="532">
        <f>+E172</f>
        <v>0</v>
      </c>
      <c r="F171" s="532">
        <f>+M171+E171</f>
        <v>1564668.24</v>
      </c>
      <c r="G171" s="361">
        <f>+G172</f>
        <v>1256529.82</v>
      </c>
      <c r="H171" s="361">
        <f>+H172</f>
        <v>1135831.17</v>
      </c>
      <c r="I171" s="533">
        <f>D171-F171</f>
        <v>483456.3899999999</v>
      </c>
      <c r="J171" s="533">
        <f>C171-F171</f>
        <v>483456.3899999999</v>
      </c>
      <c r="K171" s="362">
        <f t="shared" si="61"/>
        <v>76.395167417131262</v>
      </c>
      <c r="L171" s="336"/>
      <c r="M171" s="299">
        <v>1564668.24</v>
      </c>
    </row>
    <row r="172" spans="1:13" ht="14.45" customHeight="1">
      <c r="A172" s="97" t="s">
        <v>430</v>
      </c>
      <c r="B172" s="451">
        <v>2503569</v>
      </c>
      <c r="C172" s="359">
        <v>2048124.63</v>
      </c>
      <c r="D172" s="359">
        <v>2048124.63</v>
      </c>
      <c r="E172" s="535">
        <v>0</v>
      </c>
      <c r="F172" s="535">
        <f>+M172+E172</f>
        <v>1564668.24</v>
      </c>
      <c r="G172" s="359">
        <v>1256529.82</v>
      </c>
      <c r="H172" s="359">
        <v>1135831.17</v>
      </c>
      <c r="I172" s="359">
        <f>D172-F172</f>
        <v>483456.3899999999</v>
      </c>
      <c r="J172" s="359">
        <f>C172-F172</f>
        <v>483456.3899999999</v>
      </c>
      <c r="K172" s="360">
        <f t="shared" si="61"/>
        <v>76.395167417131262</v>
      </c>
      <c r="L172" s="336"/>
      <c r="M172" s="299">
        <v>1564668.24</v>
      </c>
    </row>
    <row r="173" spans="1:13" ht="14.45" customHeight="1">
      <c r="A173" s="47" t="s">
        <v>431</v>
      </c>
      <c r="B173" s="450"/>
      <c r="C173" s="361">
        <f t="shared" ref="C173:H173" si="62">+C174</f>
        <v>140840</v>
      </c>
      <c r="D173" s="361">
        <f t="shared" si="62"/>
        <v>140840</v>
      </c>
      <c r="E173" s="532">
        <f t="shared" si="62"/>
        <v>0</v>
      </c>
      <c r="F173" s="532">
        <f t="shared" si="62"/>
        <v>126861.34</v>
      </c>
      <c r="G173" s="361">
        <f t="shared" si="62"/>
        <v>21332.76</v>
      </c>
      <c r="H173" s="361">
        <f t="shared" si="62"/>
        <v>122604.73</v>
      </c>
      <c r="I173" s="361">
        <f>D173-E173</f>
        <v>140840</v>
      </c>
      <c r="J173" s="361">
        <f>C173-F173</f>
        <v>13978.660000000003</v>
      </c>
      <c r="K173" s="362">
        <f t="shared" si="61"/>
        <v>90.074794092587325</v>
      </c>
      <c r="L173" s="335"/>
      <c r="M173" s="299">
        <v>126861.34</v>
      </c>
    </row>
    <row r="174" spans="1:13" ht="14.45" customHeight="1">
      <c r="A174" s="97" t="s">
        <v>432</v>
      </c>
      <c r="B174" s="451"/>
      <c r="C174" s="359">
        <v>140840</v>
      </c>
      <c r="D174" s="359">
        <v>140840</v>
      </c>
      <c r="E174" s="535"/>
      <c r="F174" s="535">
        <f>+M174+E174</f>
        <v>126861.34</v>
      </c>
      <c r="G174" s="359">
        <v>21332.76</v>
      </c>
      <c r="H174" s="359">
        <v>122604.73</v>
      </c>
      <c r="I174" s="359">
        <f>D174-E174</f>
        <v>140840</v>
      </c>
      <c r="J174" s="359">
        <f>C58-F174</f>
        <v>217552.58</v>
      </c>
      <c r="K174" s="360">
        <f t="shared" si="61"/>
        <v>90.074794092587325</v>
      </c>
      <c r="L174" s="336"/>
      <c r="M174" s="299">
        <v>126861.34</v>
      </c>
    </row>
    <row r="175" spans="1:13" ht="20.45" customHeight="1">
      <c r="A175" s="314" t="s">
        <v>433</v>
      </c>
      <c r="B175" s="356">
        <f>+B176+B178+B183+B189+B194+B187</f>
        <v>13519059</v>
      </c>
      <c r="C175" s="356">
        <f>+C176+C178+C183+C189+C194+C187</f>
        <v>8280781.7000000002</v>
      </c>
      <c r="D175" s="356">
        <f>+D176+D178+D183+D189+D194+D187</f>
        <v>8280781.7000000002</v>
      </c>
      <c r="E175" s="531">
        <f>+E176+E178+E183+E189+E194</f>
        <v>1369077.4100000001</v>
      </c>
      <c r="F175" s="538">
        <f>+M175+E175</f>
        <v>4884354.41</v>
      </c>
      <c r="G175" s="356">
        <f>+G176+G178+G183+G189+G194</f>
        <v>4877816.1000000006</v>
      </c>
      <c r="H175" s="356">
        <f>+H176+H178+H183+H189+H194</f>
        <v>4825900.3200000012</v>
      </c>
      <c r="I175" s="356">
        <f t="shared" ref="I175:J185" si="63">D175-F175</f>
        <v>3396427.29</v>
      </c>
      <c r="J175" s="356">
        <f>C175-F175</f>
        <v>3396427.29</v>
      </c>
      <c r="K175" s="358">
        <f t="shared" si="61"/>
        <v>58.984218965704649</v>
      </c>
      <c r="L175" s="337"/>
      <c r="M175" s="299">
        <v>3515277</v>
      </c>
    </row>
    <row r="176" spans="1:13" ht="14.45" customHeight="1">
      <c r="A176" s="47" t="s">
        <v>434</v>
      </c>
      <c r="B176" s="361">
        <f>+B177</f>
        <v>118164</v>
      </c>
      <c r="C176" s="361">
        <f>+C177</f>
        <v>45338</v>
      </c>
      <c r="D176" s="361">
        <f>+D177</f>
        <v>45338</v>
      </c>
      <c r="E176" s="532">
        <f>+E177</f>
        <v>3777.62</v>
      </c>
      <c r="F176" s="532">
        <f>+M176+E176</f>
        <v>45331.44</v>
      </c>
      <c r="G176" s="361">
        <f>+G177</f>
        <v>45331.44</v>
      </c>
      <c r="H176" s="361">
        <f>+H177</f>
        <v>45331.44</v>
      </c>
      <c r="I176" s="533">
        <f t="shared" si="63"/>
        <v>6.5599999999976717</v>
      </c>
      <c r="J176" s="533">
        <f>C176-F176</f>
        <v>6.5599999999976717</v>
      </c>
      <c r="K176" s="362">
        <f t="shared" si="61"/>
        <v>99.98553090123076</v>
      </c>
      <c r="L176" s="335"/>
      <c r="M176" s="299">
        <v>41553.82</v>
      </c>
    </row>
    <row r="177" spans="1:13" ht="14.45" customHeight="1">
      <c r="A177" s="97" t="s">
        <v>435</v>
      </c>
      <c r="B177" s="359">
        <v>118164</v>
      </c>
      <c r="C177" s="359">
        <v>45338</v>
      </c>
      <c r="D177" s="359">
        <v>45338</v>
      </c>
      <c r="E177" s="535">
        <v>3777.62</v>
      </c>
      <c r="F177" s="535">
        <f>+M177+E177</f>
        <v>45331.44</v>
      </c>
      <c r="G177" s="359">
        <v>45331.44</v>
      </c>
      <c r="H177" s="359">
        <v>45331.44</v>
      </c>
      <c r="I177" s="359">
        <f t="shared" si="63"/>
        <v>6.5599999999976717</v>
      </c>
      <c r="J177" s="359">
        <f>C177-F177</f>
        <v>6.5599999999976717</v>
      </c>
      <c r="K177" s="360">
        <f t="shared" si="61"/>
        <v>99.98553090123076</v>
      </c>
      <c r="L177" s="336"/>
      <c r="M177" s="299">
        <v>41553.82</v>
      </c>
    </row>
    <row r="178" spans="1:13" ht="14.45" customHeight="1">
      <c r="A178" s="47" t="s">
        <v>436</v>
      </c>
      <c r="B178" s="361">
        <f>SUM(B179:B182)</f>
        <v>11651426</v>
      </c>
      <c r="C178" s="361">
        <f>SUM(C179:C182)</f>
        <v>7919977</v>
      </c>
      <c r="D178" s="361">
        <f>SUM(D179:D182)</f>
        <v>7919977</v>
      </c>
      <c r="E178" s="532">
        <f>SUM(E179:E182)</f>
        <v>1366499.79</v>
      </c>
      <c r="F178" s="532">
        <f t="shared" ref="F178:F196" si="64">+M178+E178</f>
        <v>4681155.5600000005</v>
      </c>
      <c r="G178" s="361">
        <f>SUM(G179:G182)</f>
        <v>4681155.5600000005</v>
      </c>
      <c r="H178" s="361">
        <f>SUM(H179:H182)</f>
        <v>4681155.5600000005</v>
      </c>
      <c r="I178" s="536">
        <f>D178-F178</f>
        <v>3238821.4399999995</v>
      </c>
      <c r="J178" s="536">
        <f>C178-F178</f>
        <v>3238821.4399999995</v>
      </c>
      <c r="K178" s="362">
        <f t="shared" si="61"/>
        <v>59.105671140206603</v>
      </c>
      <c r="L178" s="335"/>
      <c r="M178" s="299">
        <v>3314655.77</v>
      </c>
    </row>
    <row r="179" spans="1:13" ht="14.45" customHeight="1">
      <c r="A179" s="97" t="s">
        <v>437</v>
      </c>
      <c r="B179" s="359">
        <v>1800</v>
      </c>
      <c r="C179" s="359">
        <v>0</v>
      </c>
      <c r="D179" s="359">
        <v>0</v>
      </c>
      <c r="E179" s="535"/>
      <c r="F179" s="535">
        <f t="shared" si="64"/>
        <v>0</v>
      </c>
      <c r="G179" s="359"/>
      <c r="H179" s="359"/>
      <c r="I179" s="359">
        <f t="shared" si="63"/>
        <v>0</v>
      </c>
      <c r="J179" s="359">
        <f t="shared" si="63"/>
        <v>0</v>
      </c>
      <c r="K179" s="362" t="s">
        <v>6</v>
      </c>
      <c r="L179" s="336"/>
      <c r="M179" s="299">
        <v>0</v>
      </c>
    </row>
    <row r="180" spans="1:13" ht="14.45" customHeight="1">
      <c r="A180" s="97" t="s">
        <v>438</v>
      </c>
      <c r="B180" s="359">
        <v>9373137</v>
      </c>
      <c r="C180" s="359">
        <v>6238855</v>
      </c>
      <c r="D180" s="359">
        <v>6238855</v>
      </c>
      <c r="E180" s="535">
        <v>968672.59</v>
      </c>
      <c r="F180" s="535">
        <f t="shared" si="64"/>
        <v>3156867.2399999998</v>
      </c>
      <c r="G180" s="359">
        <v>3156867.24</v>
      </c>
      <c r="H180" s="359">
        <v>3156867.24</v>
      </c>
      <c r="I180" s="359">
        <f t="shared" si="63"/>
        <v>3081987.7600000002</v>
      </c>
      <c r="J180" s="359">
        <f>C180-F180</f>
        <v>3081987.7600000002</v>
      </c>
      <c r="K180" s="362">
        <f t="shared" ref="K180:K182" si="65">F180/C180*100</f>
        <v>50.600105948928118</v>
      </c>
      <c r="L180" s="336"/>
      <c r="M180" s="299">
        <v>2188194.65</v>
      </c>
    </row>
    <row r="181" spans="1:13" ht="14.45" customHeight="1">
      <c r="A181" s="97" t="s">
        <v>439</v>
      </c>
      <c r="B181" s="359">
        <v>2210443</v>
      </c>
      <c r="C181" s="359">
        <v>1615072</v>
      </c>
      <c r="D181" s="359">
        <v>1615072</v>
      </c>
      <c r="E181" s="535">
        <v>397827.2</v>
      </c>
      <c r="F181" s="535">
        <f t="shared" si="64"/>
        <v>1507888.32</v>
      </c>
      <c r="G181" s="359">
        <v>1507888.32</v>
      </c>
      <c r="H181" s="359">
        <v>1507888.32</v>
      </c>
      <c r="I181" s="359">
        <f t="shared" si="63"/>
        <v>107183.67999999993</v>
      </c>
      <c r="J181" s="359">
        <f>C181-F181</f>
        <v>107183.67999999993</v>
      </c>
      <c r="K181" s="362">
        <f t="shared" si="65"/>
        <v>93.363535495631155</v>
      </c>
      <c r="L181" s="336"/>
      <c r="M181" s="299">
        <v>1110061.1200000001</v>
      </c>
    </row>
    <row r="182" spans="1:13" ht="14.45" customHeight="1">
      <c r="A182" s="97" t="s">
        <v>440</v>
      </c>
      <c r="B182" s="359">
        <v>66046</v>
      </c>
      <c r="C182" s="359">
        <v>66050</v>
      </c>
      <c r="D182" s="359">
        <v>66050</v>
      </c>
      <c r="E182" s="535">
        <v>0</v>
      </c>
      <c r="F182" s="535">
        <f t="shared" si="64"/>
        <v>16400</v>
      </c>
      <c r="G182" s="359">
        <v>16400</v>
      </c>
      <c r="H182" s="359">
        <v>16400</v>
      </c>
      <c r="I182" s="359">
        <f t="shared" si="63"/>
        <v>49650</v>
      </c>
      <c r="J182" s="359">
        <f>C182-F182</f>
        <v>49650</v>
      </c>
      <c r="K182" s="362">
        <f t="shared" si="65"/>
        <v>24.829674489023468</v>
      </c>
      <c r="L182" s="336"/>
      <c r="M182" s="299">
        <v>16400</v>
      </c>
    </row>
    <row r="183" spans="1:13" ht="14.45" customHeight="1">
      <c r="A183" s="47" t="s">
        <v>441</v>
      </c>
      <c r="B183" s="361">
        <f>SUM(B184:B186)</f>
        <v>1464188</v>
      </c>
      <c r="C183" s="361">
        <f>SUM(C184:C186)</f>
        <v>146370.23999999999</v>
      </c>
      <c r="D183" s="361">
        <f>SUM(D184:D186)</f>
        <v>146370.23999999999</v>
      </c>
      <c r="E183" s="532">
        <f>+E185</f>
        <v>-1200</v>
      </c>
      <c r="F183" s="532">
        <f t="shared" si="64"/>
        <v>108220.95000000001</v>
      </c>
      <c r="G183" s="361">
        <f>+G185</f>
        <v>101682.64</v>
      </c>
      <c r="H183" s="361">
        <f>+H185</f>
        <v>98513.32</v>
      </c>
      <c r="I183" s="536">
        <f>D183-F183</f>
        <v>38149.289999999979</v>
      </c>
      <c r="J183" s="536">
        <f>C183-F183</f>
        <v>38149.289999999979</v>
      </c>
      <c r="K183" s="362">
        <f>F183/C183*100</f>
        <v>73.936443637723087</v>
      </c>
      <c r="L183" s="335"/>
      <c r="M183" s="299">
        <v>109420.95000000001</v>
      </c>
    </row>
    <row r="184" spans="1:13" ht="13.5" customHeight="1">
      <c r="A184" s="97" t="s">
        <v>471</v>
      </c>
      <c r="B184" s="359">
        <v>110458</v>
      </c>
      <c r="C184" s="359">
        <v>0</v>
      </c>
      <c r="D184" s="359">
        <v>0</v>
      </c>
      <c r="E184" s="532"/>
      <c r="F184" s="535">
        <f t="shared" si="64"/>
        <v>0</v>
      </c>
      <c r="G184" s="359"/>
      <c r="H184" s="361"/>
      <c r="I184" s="359">
        <f t="shared" si="63"/>
        <v>0</v>
      </c>
      <c r="J184" s="359">
        <f t="shared" si="63"/>
        <v>0</v>
      </c>
      <c r="K184" s="362"/>
      <c r="L184" s="335"/>
      <c r="M184" s="299">
        <v>0</v>
      </c>
    </row>
    <row r="185" spans="1:13" ht="14.25" customHeight="1">
      <c r="A185" s="97" t="s">
        <v>472</v>
      </c>
      <c r="B185" s="359">
        <v>1348730</v>
      </c>
      <c r="C185" s="359">
        <v>146370.23999999999</v>
      </c>
      <c r="D185" s="359">
        <v>146370.23999999999</v>
      </c>
      <c r="E185" s="535">
        <v>-1200</v>
      </c>
      <c r="F185" s="535">
        <f t="shared" si="64"/>
        <v>108220.95000000001</v>
      </c>
      <c r="G185" s="359">
        <v>101682.64</v>
      </c>
      <c r="H185" s="359">
        <v>98513.32</v>
      </c>
      <c r="I185" s="359">
        <f t="shared" si="63"/>
        <v>38149.289999999979</v>
      </c>
      <c r="J185" s="359">
        <f>C185-F185</f>
        <v>38149.289999999979</v>
      </c>
      <c r="K185" s="360">
        <f>F185/C185*100</f>
        <v>73.936443637723087</v>
      </c>
      <c r="L185" s="336"/>
      <c r="M185" s="299">
        <v>109420.95000000001</v>
      </c>
    </row>
    <row r="186" spans="1:13" ht="14.25" customHeight="1">
      <c r="A186" s="97" t="s">
        <v>473</v>
      </c>
      <c r="B186" s="359">
        <v>5000</v>
      </c>
      <c r="C186" s="359">
        <v>0</v>
      </c>
      <c r="D186" s="359" t="s">
        <v>6</v>
      </c>
      <c r="E186" s="535"/>
      <c r="F186" s="535">
        <f t="shared" si="64"/>
        <v>0</v>
      </c>
      <c r="G186" s="359"/>
      <c r="H186" s="359"/>
      <c r="I186" s="359">
        <v>0</v>
      </c>
      <c r="J186" s="359">
        <v>0</v>
      </c>
      <c r="K186" s="360"/>
      <c r="L186" s="336"/>
      <c r="M186" s="299">
        <v>0</v>
      </c>
    </row>
    <row r="187" spans="1:13" ht="14.45" customHeight="1">
      <c r="A187" s="47" t="s">
        <v>474</v>
      </c>
      <c r="B187" s="361">
        <f>+B188</f>
        <v>159266</v>
      </c>
      <c r="C187" s="361">
        <f>+C188</f>
        <v>0</v>
      </c>
      <c r="D187" s="361">
        <f>+D188</f>
        <v>0</v>
      </c>
      <c r="E187" s="535"/>
      <c r="F187" s="532">
        <f t="shared" si="64"/>
        <v>0</v>
      </c>
      <c r="G187" s="361"/>
      <c r="H187" s="359"/>
      <c r="I187" s="361">
        <f>D187-E187</f>
        <v>0</v>
      </c>
      <c r="J187" s="361">
        <f>E187-F187</f>
        <v>0</v>
      </c>
      <c r="K187" s="360"/>
      <c r="L187" s="336"/>
      <c r="M187" s="299">
        <v>0</v>
      </c>
    </row>
    <row r="188" spans="1:13" ht="14.45" customHeight="1">
      <c r="A188" s="97" t="s">
        <v>486</v>
      </c>
      <c r="B188" s="359">
        <v>159266</v>
      </c>
      <c r="C188" s="359">
        <v>0</v>
      </c>
      <c r="D188" s="359">
        <v>0</v>
      </c>
      <c r="E188" s="535"/>
      <c r="F188" s="535">
        <f t="shared" si="64"/>
        <v>0</v>
      </c>
      <c r="G188" s="359"/>
      <c r="H188" s="359"/>
      <c r="I188" s="359">
        <f>D188-F188</f>
        <v>0</v>
      </c>
      <c r="J188" s="359">
        <f>E188-G188</f>
        <v>0</v>
      </c>
      <c r="K188" s="360"/>
      <c r="L188" s="336"/>
      <c r="M188" s="299">
        <v>0</v>
      </c>
    </row>
    <row r="189" spans="1:13" ht="14.45" customHeight="1">
      <c r="A189" s="47" t="s">
        <v>442</v>
      </c>
      <c r="B189" s="361">
        <f>SUM(B190:B194)</f>
        <v>126015</v>
      </c>
      <c r="C189" s="361">
        <f>SUM(C190:C193)</f>
        <v>134079.94999999998</v>
      </c>
      <c r="D189" s="361">
        <f>SUM(D190:D193)</f>
        <v>134079.94999999998</v>
      </c>
      <c r="E189" s="532">
        <f>+E190+E191+E192+E193</f>
        <v>0</v>
      </c>
      <c r="F189" s="532">
        <f t="shared" si="64"/>
        <v>40579.949999999997</v>
      </c>
      <c r="G189" s="361">
        <v>40579.949999999997</v>
      </c>
      <c r="H189" s="361">
        <f>SUM(H190:H192)</f>
        <v>900</v>
      </c>
      <c r="I189" s="536">
        <f>D189-F189</f>
        <v>93499.999999999985</v>
      </c>
      <c r="J189" s="536">
        <f>C189-F189</f>
        <v>93499.999999999985</v>
      </c>
      <c r="K189" s="362">
        <f t="shared" ref="K189:K194" si="66">F189/C189*100</f>
        <v>30.265487121676287</v>
      </c>
      <c r="L189" s="335"/>
      <c r="M189" s="299">
        <v>40579.949999999997</v>
      </c>
    </row>
    <row r="190" spans="1:13" ht="14.45" customHeight="1">
      <c r="A190" s="97" t="s">
        <v>443</v>
      </c>
      <c r="B190" s="359">
        <v>101300</v>
      </c>
      <c r="C190" s="359">
        <v>101320</v>
      </c>
      <c r="D190" s="359">
        <v>101320</v>
      </c>
      <c r="E190" s="535">
        <v>0</v>
      </c>
      <c r="F190" s="535">
        <f t="shared" si="64"/>
        <v>32120</v>
      </c>
      <c r="G190" s="359">
        <v>32120</v>
      </c>
      <c r="H190" s="359">
        <v>0</v>
      </c>
      <c r="I190" s="359">
        <f>D190-F190</f>
        <v>69200</v>
      </c>
      <c r="J190" s="359">
        <f>C190-F190</f>
        <v>69200</v>
      </c>
      <c r="K190" s="360">
        <f t="shared" si="66"/>
        <v>31.701539676273192</v>
      </c>
      <c r="L190" s="336"/>
      <c r="M190" s="299">
        <v>32120</v>
      </c>
    </row>
    <row r="191" spans="1:13" ht="14.45" customHeight="1">
      <c r="A191" s="97" t="s">
        <v>444</v>
      </c>
      <c r="B191" s="359"/>
      <c r="C191" s="359">
        <v>7036.51</v>
      </c>
      <c r="D191" s="359">
        <v>7036.51</v>
      </c>
      <c r="E191" s="535">
        <v>0</v>
      </c>
      <c r="F191" s="535">
        <f t="shared" si="64"/>
        <v>4986.51</v>
      </c>
      <c r="G191" s="359">
        <v>4986.51</v>
      </c>
      <c r="H191" s="359"/>
      <c r="I191" s="359">
        <f>D191-F191</f>
        <v>2050</v>
      </c>
      <c r="J191" s="359">
        <f>C191-F191</f>
        <v>2050</v>
      </c>
      <c r="K191" s="360">
        <f t="shared" si="66"/>
        <v>70.866239087274792</v>
      </c>
      <c r="L191" s="336"/>
      <c r="M191" s="299">
        <v>4986.51</v>
      </c>
    </row>
    <row r="192" spans="1:13" ht="14.45" customHeight="1">
      <c r="A192" s="97" t="s">
        <v>445</v>
      </c>
      <c r="B192" s="359">
        <v>24715</v>
      </c>
      <c r="C192" s="359">
        <v>24723.439999999999</v>
      </c>
      <c r="D192" s="359">
        <v>24723.439999999999</v>
      </c>
      <c r="E192" s="535">
        <v>0</v>
      </c>
      <c r="F192" s="535">
        <f>+M192+E192</f>
        <v>2973.44</v>
      </c>
      <c r="G192" s="359">
        <v>2973.44</v>
      </c>
      <c r="H192" s="359">
        <v>900</v>
      </c>
      <c r="I192" s="359">
        <f>D192-F192</f>
        <v>21750</v>
      </c>
      <c r="J192" s="359">
        <f>C192-F192</f>
        <v>21750</v>
      </c>
      <c r="K192" s="360">
        <f t="shared" si="66"/>
        <v>12.02680533129694</v>
      </c>
      <c r="L192" s="336"/>
      <c r="M192" s="299">
        <v>2973.44</v>
      </c>
    </row>
    <row r="193" spans="1:13" ht="14.45" customHeight="1">
      <c r="A193" s="97" t="s">
        <v>491</v>
      </c>
      <c r="B193" s="359"/>
      <c r="C193" s="359">
        <v>1000</v>
      </c>
      <c r="D193" s="359">
        <v>1000</v>
      </c>
      <c r="E193" s="535">
        <v>0</v>
      </c>
      <c r="F193" s="535">
        <f>+M193+E193</f>
        <v>500</v>
      </c>
      <c r="G193" s="359">
        <v>500</v>
      </c>
      <c r="H193" s="359"/>
      <c r="I193" s="359"/>
      <c r="J193" s="359"/>
      <c r="K193" s="360">
        <f t="shared" si="66"/>
        <v>50</v>
      </c>
      <c r="L193" s="336"/>
      <c r="M193" s="299">
        <v>500</v>
      </c>
    </row>
    <row r="194" spans="1:13" ht="12" customHeight="1">
      <c r="A194" s="47" t="s">
        <v>464</v>
      </c>
      <c r="B194" s="361"/>
      <c r="C194" s="361">
        <f>SUM(C195:C196)</f>
        <v>35016.51</v>
      </c>
      <c r="D194" s="361">
        <f>SUM(D195:D196)</f>
        <v>35016.51</v>
      </c>
      <c r="E194" s="532">
        <f>+E196</f>
        <v>0</v>
      </c>
      <c r="F194" s="532">
        <f t="shared" si="64"/>
        <v>9066.51</v>
      </c>
      <c r="G194" s="361">
        <f>+G196</f>
        <v>9066.51</v>
      </c>
      <c r="H194" s="361">
        <f>SUM(H195:H196)</f>
        <v>0</v>
      </c>
      <c r="I194" s="536">
        <f>D194-F194</f>
        <v>25950</v>
      </c>
      <c r="J194" s="536">
        <f>C194-F194</f>
        <v>25950</v>
      </c>
      <c r="K194" s="362">
        <f t="shared" si="66"/>
        <v>25.892100611968466</v>
      </c>
      <c r="L194" s="335"/>
      <c r="M194" s="299">
        <v>9066.51</v>
      </c>
    </row>
    <row r="195" spans="1:13" ht="14.25" hidden="1" customHeight="1">
      <c r="A195" s="97" t="s">
        <v>446</v>
      </c>
      <c r="B195" s="359"/>
      <c r="C195" s="359">
        <v>0</v>
      </c>
      <c r="D195" s="359">
        <v>0</v>
      </c>
      <c r="E195" s="535">
        <v>0</v>
      </c>
      <c r="F195" s="535">
        <f t="shared" si="64"/>
        <v>0</v>
      </c>
      <c r="G195" s="359"/>
      <c r="H195" s="359"/>
      <c r="I195" s="359">
        <f>D195-F195</f>
        <v>0</v>
      </c>
      <c r="J195" s="359">
        <f>E195-G195</f>
        <v>0</v>
      </c>
      <c r="K195" s="360"/>
      <c r="L195" s="336"/>
      <c r="M195" s="299">
        <v>0</v>
      </c>
    </row>
    <row r="196" spans="1:13" ht="14.45" customHeight="1">
      <c r="A196" s="97" t="s">
        <v>447</v>
      </c>
      <c r="B196" s="359"/>
      <c r="C196" s="359">
        <v>35016.51</v>
      </c>
      <c r="D196" s="359">
        <v>35016.51</v>
      </c>
      <c r="E196" s="535">
        <v>0</v>
      </c>
      <c r="F196" s="535">
        <f t="shared" si="64"/>
        <v>9066.51</v>
      </c>
      <c r="G196" s="359">
        <v>9066.51</v>
      </c>
      <c r="H196" s="359"/>
      <c r="I196" s="359">
        <f>D196-F196</f>
        <v>25950</v>
      </c>
      <c r="J196" s="359">
        <f>C196-F196</f>
        <v>25950</v>
      </c>
      <c r="K196" s="360">
        <f>F196/C196*100</f>
        <v>25.892100611968466</v>
      </c>
      <c r="L196" s="336"/>
      <c r="M196" s="299">
        <v>9066.51</v>
      </c>
    </row>
    <row r="197" spans="1:13" ht="27.75" customHeight="1">
      <c r="A197" s="316" t="s">
        <v>21</v>
      </c>
      <c r="B197" s="356">
        <f>B9+B36+B101+B170+B175</f>
        <v>158641933</v>
      </c>
      <c r="C197" s="356">
        <f>C9+C36+C101+C170+C175</f>
        <v>146093947.75</v>
      </c>
      <c r="D197" s="356">
        <f>+D9+D36+D101+D170+D175</f>
        <v>146093947.75</v>
      </c>
      <c r="E197" s="531">
        <f>+E9+E36+E101+E170+E175</f>
        <v>12477499.01</v>
      </c>
      <c r="F197" s="531">
        <f>+F9+F36+F101+F170+F175</f>
        <v>121680948.11</v>
      </c>
      <c r="G197" s="356">
        <f>+G9+G36+G101+G170+G175</f>
        <v>111138097.21999998</v>
      </c>
      <c r="H197" s="356">
        <f>+H9+H36+H101+H170+H175</f>
        <v>116705131.62000002</v>
      </c>
      <c r="I197" s="356">
        <f>D197-F197</f>
        <v>24412999.640000001</v>
      </c>
      <c r="J197" s="356">
        <f>C197-F197</f>
        <v>24412999.640000001</v>
      </c>
      <c r="K197" s="358">
        <f>F197/C197*100</f>
        <v>83.289520191639838</v>
      </c>
      <c r="L197" s="337"/>
      <c r="M197" s="299">
        <v>109456469.33999999</v>
      </c>
    </row>
    <row r="198" spans="1:13" ht="2.25" customHeight="1">
      <c r="A198" s="307"/>
      <c r="B198" s="94"/>
      <c r="C198" s="94"/>
      <c r="D198" s="94"/>
      <c r="E198" s="41"/>
      <c r="F198" s="41"/>
      <c r="G198" s="94" t="s">
        <v>6</v>
      </c>
      <c r="H198" s="94"/>
      <c r="I198" s="448" t="s">
        <v>6</v>
      </c>
      <c r="J198" s="308"/>
      <c r="K198" s="309"/>
      <c r="L198" s="300" t="s">
        <v>6</v>
      </c>
      <c r="M198" s="299"/>
    </row>
    <row r="199" spans="1:13" ht="14.45" customHeight="1">
      <c r="A199" s="585" t="s">
        <v>219</v>
      </c>
      <c r="B199" s="293"/>
      <c r="C199" s="293"/>
      <c r="D199" s="293"/>
      <c r="E199" s="293" t="s">
        <v>6</v>
      </c>
      <c r="F199" s="445"/>
      <c r="G199" s="293"/>
      <c r="H199" s="293"/>
      <c r="I199" s="293" t="s">
        <v>6</v>
      </c>
      <c r="J199" s="293"/>
      <c r="K199" s="293"/>
      <c r="L199" s="300" t="s">
        <v>6</v>
      </c>
      <c r="M199" s="299"/>
    </row>
    <row r="200" spans="1:13" ht="14.45" customHeight="1">
      <c r="A200" s="292"/>
      <c r="B200" s="293"/>
      <c r="C200" s="293"/>
      <c r="D200" s="297"/>
      <c r="E200" s="297" t="s">
        <v>6</v>
      </c>
      <c r="F200" s="586"/>
      <c r="G200" s="297"/>
      <c r="H200" s="297"/>
      <c r="I200" s="297"/>
      <c r="J200" s="293"/>
      <c r="K200" s="297"/>
      <c r="L200" s="300"/>
      <c r="M200" s="299"/>
    </row>
    <row r="201" spans="1:13" ht="14.45" customHeight="1">
      <c r="A201" s="292"/>
      <c r="B201" s="293"/>
      <c r="C201" s="293"/>
      <c r="D201" s="293"/>
      <c r="E201" s="293"/>
      <c r="F201" s="293"/>
      <c r="G201" s="293"/>
      <c r="H201" s="293"/>
      <c r="I201" s="293"/>
      <c r="J201" s="293"/>
      <c r="K201" s="293"/>
      <c r="L201" s="300"/>
      <c r="M201" s="299"/>
    </row>
    <row r="202" spans="1:13" ht="14.45" customHeight="1">
      <c r="A202" s="292"/>
      <c r="B202" s="293"/>
      <c r="C202" s="293"/>
      <c r="D202" s="293"/>
      <c r="E202" s="293"/>
      <c r="F202" s="293"/>
      <c r="G202" s="293"/>
      <c r="H202" s="293"/>
      <c r="I202" s="293"/>
      <c r="J202" s="293"/>
      <c r="K202" s="293"/>
      <c r="L202" s="300"/>
      <c r="M202" s="299"/>
    </row>
    <row r="203" spans="1:13" ht="14.45" customHeight="1">
      <c r="A203" s="292"/>
      <c r="B203" s="297"/>
      <c r="C203" s="293">
        <f>+C200-C201</f>
        <v>0</v>
      </c>
      <c r="D203" s="293"/>
      <c r="E203" s="293"/>
      <c r="F203" s="293"/>
      <c r="G203" s="293"/>
      <c r="H203" s="293"/>
      <c r="I203" s="293"/>
      <c r="J203" s="293"/>
      <c r="K203" s="293"/>
      <c r="L203" s="300"/>
      <c r="M203" s="299"/>
    </row>
    <row r="204" spans="1:13" ht="14.45" customHeight="1">
      <c r="A204" s="292" t="s">
        <v>6</v>
      </c>
      <c r="B204" s="297"/>
      <c r="C204" s="293"/>
      <c r="D204" s="293"/>
      <c r="E204" s="293"/>
      <c r="F204" s="293"/>
      <c r="G204" s="293"/>
      <c r="H204" s="293"/>
      <c r="I204" s="293"/>
      <c r="J204" s="293"/>
      <c r="K204" s="293"/>
      <c r="L204" s="300"/>
      <c r="M204" s="299"/>
    </row>
    <row r="205" spans="1:13" ht="14.45" customHeight="1">
      <c r="A205" s="292"/>
      <c r="B205" s="297"/>
      <c r="C205" s="293"/>
      <c r="D205" s="293"/>
      <c r="E205" s="293"/>
      <c r="F205" s="293"/>
      <c r="G205" s="293"/>
      <c r="H205" s="293"/>
      <c r="I205" s="293"/>
      <c r="J205" s="293"/>
      <c r="K205" s="293"/>
      <c r="L205" s="300"/>
      <c r="M205" s="299"/>
    </row>
    <row r="206" spans="1:13" ht="14.45" customHeight="1">
      <c r="A206" s="292"/>
      <c r="B206" s="297"/>
      <c r="C206" s="293"/>
      <c r="D206" s="297"/>
      <c r="E206" s="297"/>
      <c r="F206" s="297"/>
      <c r="G206" s="297"/>
      <c r="H206" s="297"/>
      <c r="I206" s="297"/>
      <c r="J206" s="297"/>
      <c r="K206" s="297"/>
      <c r="L206" s="300"/>
      <c r="M206" s="299"/>
    </row>
    <row r="207" spans="1:13" ht="14.45" customHeight="1">
      <c r="A207" s="292"/>
      <c r="B207" s="297"/>
      <c r="C207" s="293"/>
      <c r="D207" s="297"/>
      <c r="E207" s="297"/>
      <c r="F207" s="297"/>
      <c r="G207" s="297"/>
      <c r="H207" s="297"/>
      <c r="I207" s="297"/>
      <c r="J207" s="297"/>
      <c r="K207" s="297"/>
      <c r="L207" s="300"/>
      <c r="M207" s="299"/>
    </row>
    <row r="208" spans="1:13" ht="14.45" customHeight="1">
      <c r="A208" s="301"/>
      <c r="B208" s="302"/>
      <c r="C208" s="293"/>
      <c r="D208" s="297"/>
      <c r="E208" s="297"/>
      <c r="F208" s="297"/>
      <c r="G208" s="297"/>
      <c r="H208" s="297"/>
      <c r="I208" s="297"/>
      <c r="J208" s="297"/>
      <c r="K208" s="297"/>
      <c r="L208" s="300"/>
      <c r="M208" s="299"/>
    </row>
    <row r="209" spans="1:16" ht="14.45" customHeight="1">
      <c r="A209" s="292"/>
      <c r="B209" s="293"/>
      <c r="C209" s="293"/>
      <c r="D209" s="297"/>
      <c r="E209" s="297"/>
      <c r="F209" s="297"/>
      <c r="G209" s="297"/>
      <c r="H209" s="297"/>
      <c r="I209" s="297"/>
      <c r="J209" s="297"/>
      <c r="K209" s="297"/>
      <c r="L209" s="300"/>
      <c r="M209" s="299"/>
    </row>
    <row r="210" spans="1:16" ht="14.45" customHeight="1">
      <c r="A210" s="294"/>
      <c r="B210" s="297"/>
      <c r="C210" s="293"/>
      <c r="D210" s="297"/>
      <c r="E210" s="297"/>
      <c r="F210" s="297"/>
      <c r="G210" s="297"/>
      <c r="H210" s="297"/>
      <c r="I210" s="297"/>
      <c r="J210" s="297"/>
      <c r="K210" s="297"/>
      <c r="L210" s="298"/>
      <c r="M210" s="299"/>
    </row>
    <row r="211" spans="1:16" ht="14.45" customHeight="1">
      <c r="A211" s="292"/>
      <c r="B211" s="293"/>
      <c r="C211" s="302"/>
      <c r="D211" s="302"/>
      <c r="E211" s="302"/>
      <c r="F211" s="302"/>
      <c r="G211" s="302"/>
      <c r="H211" s="302"/>
      <c r="I211" s="302"/>
      <c r="J211" s="302"/>
      <c r="K211" s="302"/>
      <c r="L211" s="300"/>
      <c r="M211" s="299"/>
    </row>
    <row r="212" spans="1:16" ht="14.45" customHeight="1">
      <c r="A212" s="294"/>
      <c r="B212" s="297"/>
      <c r="C212" s="293"/>
      <c r="D212" s="293"/>
      <c r="E212" s="293"/>
      <c r="F212" s="293"/>
      <c r="G212" s="293"/>
      <c r="H212" s="293"/>
      <c r="I212" s="293"/>
      <c r="J212" s="293"/>
      <c r="K212" s="293"/>
      <c r="L212" s="300"/>
      <c r="M212" s="299"/>
    </row>
    <row r="213" spans="1:16" ht="14.45" customHeight="1">
      <c r="A213" s="301"/>
      <c r="B213" s="301"/>
      <c r="C213" s="297"/>
      <c r="D213" s="297"/>
      <c r="E213" s="297"/>
      <c r="F213" s="297"/>
      <c r="G213" s="297"/>
      <c r="H213" s="297"/>
      <c r="I213" s="297"/>
      <c r="J213" s="297"/>
      <c r="K213" s="297"/>
      <c r="L213" s="300"/>
      <c r="M213" s="295"/>
      <c r="O213" s="297" t="s">
        <v>6</v>
      </c>
    </row>
    <row r="214" spans="1:16" ht="14.45" customHeight="1">
      <c r="A214" s="292"/>
      <c r="B214" s="292"/>
      <c r="C214" s="297"/>
      <c r="D214" s="293"/>
      <c r="E214" s="293"/>
      <c r="F214" s="293"/>
      <c r="G214" s="293"/>
      <c r="H214" s="293"/>
      <c r="I214" s="293"/>
      <c r="J214" s="293"/>
      <c r="K214" s="293"/>
      <c r="L214" s="300"/>
      <c r="M214" s="299"/>
    </row>
    <row r="215" spans="1:16" ht="14.45" customHeight="1">
      <c r="A215" s="294"/>
      <c r="B215" s="294"/>
      <c r="C215" s="297"/>
      <c r="D215" s="297"/>
      <c r="E215" s="297"/>
      <c r="F215" s="297"/>
      <c r="G215" s="297"/>
      <c r="H215" s="297"/>
      <c r="I215" s="297"/>
      <c r="J215" s="297"/>
      <c r="K215" s="297"/>
      <c r="L215" s="298"/>
      <c r="M215" s="299"/>
      <c r="N215" s="101" t="s">
        <v>6</v>
      </c>
      <c r="O215" s="101" t="s">
        <v>6</v>
      </c>
    </row>
    <row r="216" spans="1:16" ht="14.45" customHeight="1">
      <c r="A216" s="293"/>
      <c r="B216" s="293"/>
      <c r="C216" s="302"/>
      <c r="D216" s="293"/>
      <c r="E216" s="293"/>
      <c r="F216" s="302"/>
      <c r="G216" s="302"/>
      <c r="H216" s="302"/>
      <c r="I216" s="302"/>
      <c r="J216" s="302"/>
      <c r="K216" s="302"/>
      <c r="L216" s="298"/>
      <c r="M216" s="299"/>
      <c r="P216" s="297" t="s">
        <v>6</v>
      </c>
    </row>
    <row r="217" spans="1:16" ht="14.45" customHeight="1">
      <c r="A217" s="294"/>
      <c r="B217" s="297"/>
      <c r="C217" s="293"/>
      <c r="D217" s="293"/>
      <c r="E217" s="293"/>
      <c r="F217" s="293"/>
      <c r="G217" s="293"/>
      <c r="H217" s="293"/>
      <c r="I217" s="293"/>
      <c r="J217" s="293"/>
      <c r="K217" s="293"/>
      <c r="L217" s="300"/>
      <c r="M217" s="299"/>
    </row>
    <row r="218" spans="1:16" ht="14.45" customHeight="1">
      <c r="A218" s="294"/>
      <c r="B218" s="297"/>
      <c r="C218" s="297"/>
      <c r="D218" s="297"/>
      <c r="E218" s="297"/>
      <c r="F218" s="297"/>
      <c r="G218" s="297"/>
      <c r="H218" s="297"/>
      <c r="I218" s="297"/>
      <c r="J218" s="297"/>
      <c r="K218" s="297"/>
      <c r="L218" s="300"/>
      <c r="M218" s="299"/>
    </row>
    <row r="219" spans="1:16" ht="14.45" customHeight="1">
      <c r="A219" s="294"/>
      <c r="B219" s="297"/>
      <c r="C219" s="293"/>
      <c r="D219" s="293"/>
      <c r="E219" s="293"/>
      <c r="F219" s="293"/>
      <c r="G219" s="293"/>
      <c r="H219" s="293"/>
      <c r="I219" s="293"/>
      <c r="J219" s="293"/>
      <c r="K219" s="293"/>
      <c r="L219" s="300"/>
      <c r="M219" s="299"/>
    </row>
    <row r="220" spans="1:16" ht="14.45" customHeight="1">
      <c r="A220" s="294"/>
      <c r="B220" s="297"/>
      <c r="C220" s="297"/>
      <c r="D220" s="297"/>
      <c r="E220" s="297"/>
      <c r="F220" s="297" t="s">
        <v>6</v>
      </c>
      <c r="G220" s="297"/>
      <c r="H220" s="297"/>
      <c r="I220" s="297"/>
      <c r="J220" s="297"/>
      <c r="K220" s="297"/>
      <c r="L220" s="300"/>
      <c r="M220" s="299"/>
    </row>
    <row r="221" spans="1:16" ht="14.45" customHeight="1">
      <c r="A221" s="294"/>
      <c r="B221" s="297"/>
      <c r="C221" s="297"/>
      <c r="D221" s="297"/>
      <c r="E221" s="297"/>
      <c r="F221" s="297"/>
      <c r="G221" s="297"/>
      <c r="H221" s="297"/>
      <c r="I221" s="297"/>
      <c r="J221" s="297"/>
      <c r="K221" s="297"/>
      <c r="L221" s="300"/>
      <c r="M221" s="299"/>
    </row>
    <row r="222" spans="1:16" ht="14.45" customHeight="1">
      <c r="A222" s="292"/>
      <c r="B222" s="293"/>
      <c r="C222" s="297"/>
      <c r="D222" s="297"/>
      <c r="E222" s="297"/>
      <c r="F222" s="297"/>
      <c r="G222" s="297"/>
      <c r="H222" s="297"/>
      <c r="I222" s="297"/>
      <c r="J222" s="297"/>
      <c r="K222" s="297"/>
      <c r="L222" s="300"/>
      <c r="M222" s="299"/>
    </row>
    <row r="223" spans="1:16" ht="14.45" customHeight="1">
      <c r="A223" s="294"/>
      <c r="B223" s="297"/>
      <c r="C223" s="297"/>
      <c r="D223" s="297"/>
      <c r="E223" s="297"/>
      <c r="F223" s="297"/>
      <c r="G223" s="297"/>
      <c r="H223" s="297"/>
      <c r="I223" s="297"/>
      <c r="J223" s="297"/>
      <c r="K223" s="297"/>
      <c r="L223" s="300"/>
      <c r="M223" s="299"/>
    </row>
    <row r="224" spans="1:16" ht="14.45" customHeight="1">
      <c r="A224" s="294"/>
      <c r="B224" s="297"/>
      <c r="C224" s="297"/>
      <c r="D224" s="297"/>
      <c r="E224" s="297"/>
      <c r="F224" s="297"/>
      <c r="G224" s="297"/>
      <c r="H224" s="297"/>
      <c r="I224" s="297"/>
      <c r="J224" s="297"/>
      <c r="K224" s="297"/>
      <c r="L224" s="298"/>
      <c r="M224" s="299"/>
    </row>
    <row r="225" spans="1:23" ht="14.45" customHeight="1">
      <c r="A225" s="292"/>
      <c r="B225" s="292"/>
      <c r="C225" s="293"/>
      <c r="D225" s="293"/>
      <c r="E225" s="293"/>
      <c r="F225" s="293"/>
      <c r="G225" s="293"/>
      <c r="H225" s="293"/>
      <c r="I225" s="293"/>
      <c r="J225" s="293"/>
      <c r="K225" s="293"/>
      <c r="L225" s="300"/>
      <c r="M225" s="299"/>
    </row>
    <row r="226" spans="1:23" ht="14.45" customHeight="1">
      <c r="A226" s="294"/>
      <c r="B226" s="294"/>
      <c r="C226" s="297"/>
      <c r="D226" s="297"/>
      <c r="E226" s="297"/>
      <c r="F226" s="297"/>
      <c r="G226" s="297"/>
      <c r="H226" s="297"/>
      <c r="I226" s="297"/>
      <c r="J226" s="297"/>
      <c r="K226" s="297"/>
      <c r="L226" s="300"/>
      <c r="M226" s="299"/>
    </row>
    <row r="227" spans="1:23" ht="14.45" customHeight="1">
      <c r="A227" s="294"/>
      <c r="B227" s="294"/>
      <c r="C227" s="297"/>
      <c r="D227" s="297"/>
      <c r="E227" s="297"/>
      <c r="F227" s="297"/>
      <c r="G227" s="297"/>
      <c r="H227" s="297"/>
      <c r="I227" s="297"/>
      <c r="J227" s="297"/>
      <c r="K227" s="297"/>
      <c r="L227" s="300"/>
      <c r="M227" s="299"/>
    </row>
    <row r="228" spans="1:23" ht="14.45" customHeight="1">
      <c r="A228" s="294"/>
      <c r="B228" s="294"/>
      <c r="C228" s="293"/>
      <c r="D228" s="293"/>
      <c r="E228" s="293"/>
      <c r="F228" s="293"/>
      <c r="G228" s="293"/>
      <c r="H228" s="293"/>
      <c r="I228" s="293"/>
      <c r="J228" s="293"/>
      <c r="K228" s="293"/>
      <c r="L228" s="300"/>
      <c r="M228" s="299"/>
    </row>
    <row r="229" spans="1:23" ht="14.45" customHeight="1">
      <c r="A229" s="292"/>
      <c r="B229" s="293"/>
      <c r="C229" s="297"/>
      <c r="D229" s="297"/>
      <c r="E229" s="297"/>
      <c r="F229" s="297"/>
      <c r="G229" s="297"/>
      <c r="H229" s="297"/>
      <c r="I229" s="297"/>
      <c r="J229" s="297"/>
      <c r="K229" s="297"/>
      <c r="L229" s="300"/>
      <c r="M229" s="299"/>
    </row>
    <row r="230" spans="1:23" ht="14.45" customHeight="1">
      <c r="A230" s="294"/>
      <c r="B230" s="294"/>
      <c r="C230" s="297"/>
      <c r="D230" s="297"/>
      <c r="E230" s="297"/>
      <c r="F230" s="297"/>
      <c r="G230" s="297"/>
      <c r="H230" s="297"/>
      <c r="I230" s="297"/>
      <c r="J230" s="297"/>
      <c r="K230" s="297"/>
      <c r="L230" s="300"/>
      <c r="M230" s="299"/>
    </row>
    <row r="231" spans="1:23" ht="14.45" customHeight="1">
      <c r="A231" s="294"/>
      <c r="B231" s="294"/>
      <c r="C231" s="297"/>
      <c r="D231" s="297"/>
      <c r="E231" s="297"/>
      <c r="F231" s="297"/>
      <c r="G231" s="297"/>
      <c r="H231" s="297"/>
      <c r="I231" s="297"/>
      <c r="J231" s="297"/>
      <c r="K231" s="297"/>
      <c r="L231" s="300"/>
      <c r="M231" s="299"/>
    </row>
    <row r="232" spans="1:23" ht="14.45" customHeight="1">
      <c r="A232" s="294"/>
      <c r="B232" s="294"/>
      <c r="C232" s="293"/>
      <c r="D232" s="293"/>
      <c r="E232" s="293"/>
      <c r="F232" s="293"/>
      <c r="G232" s="293"/>
      <c r="H232" s="293"/>
      <c r="I232" s="293"/>
      <c r="J232" s="293"/>
      <c r="K232" s="293"/>
      <c r="L232" s="300"/>
      <c r="M232" s="299"/>
    </row>
    <row r="233" spans="1:23" ht="14.45" customHeight="1">
      <c r="A233" s="294"/>
      <c r="B233" s="301"/>
      <c r="C233" s="297"/>
      <c r="D233" s="297"/>
      <c r="E233" s="297"/>
      <c r="F233" s="297"/>
      <c r="G233" s="297"/>
      <c r="H233" s="297"/>
      <c r="I233" s="297"/>
      <c r="J233" s="297"/>
      <c r="K233" s="297"/>
      <c r="L233" s="300"/>
      <c r="M233" s="299"/>
    </row>
    <row r="234" spans="1:23" ht="14.45" customHeight="1">
      <c r="C234" s="297"/>
      <c r="D234" s="297"/>
      <c r="E234" s="297"/>
      <c r="F234" s="297"/>
      <c r="G234" s="297"/>
      <c r="H234" s="297"/>
      <c r="I234" s="297"/>
      <c r="J234" s="297"/>
      <c r="K234" s="297"/>
      <c r="L234" s="300"/>
    </row>
    <row r="235" spans="1:23" s="296" customFormat="1" ht="14.45" customHeight="1">
      <c r="C235" s="297"/>
      <c r="D235" s="297"/>
      <c r="E235" s="297"/>
      <c r="F235" s="297"/>
      <c r="G235" s="297"/>
      <c r="H235" s="297"/>
      <c r="I235" s="297"/>
      <c r="J235" s="297"/>
      <c r="K235" s="297"/>
      <c r="L235" s="298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  <c r="W235" s="101"/>
    </row>
    <row r="236" spans="1:23" s="296" customFormat="1" ht="14.45" customHeight="1">
      <c r="C236" s="302"/>
      <c r="D236" s="302"/>
      <c r="E236" s="302"/>
      <c r="F236" s="302"/>
      <c r="G236" s="302"/>
      <c r="H236" s="302"/>
      <c r="I236" s="302"/>
      <c r="J236" s="302"/>
      <c r="K236" s="302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</row>
    <row r="238" spans="1:23" s="296" customFormat="1" ht="14.45" customHeight="1">
      <c r="D238" s="303" t="s">
        <v>6</v>
      </c>
      <c r="E238" s="303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01"/>
    </row>
  </sheetData>
  <mergeCells count="31">
    <mergeCell ref="A133:A134"/>
    <mergeCell ref="B133:H133"/>
    <mergeCell ref="I133:I134"/>
    <mergeCell ref="J133:J134"/>
    <mergeCell ref="K133:K134"/>
    <mergeCell ref="A128:K128"/>
    <mergeCell ref="A129:K129"/>
    <mergeCell ref="A130:K130"/>
    <mergeCell ref="A131:K131"/>
    <mergeCell ref="C132:H132"/>
    <mergeCell ref="A68:A69"/>
    <mergeCell ref="B68:H68"/>
    <mergeCell ref="I68:I69"/>
    <mergeCell ref="J68:J69"/>
    <mergeCell ref="K68:K69"/>
    <mergeCell ref="A63:K63"/>
    <mergeCell ref="A64:K64"/>
    <mergeCell ref="A65:K65"/>
    <mergeCell ref="A66:K66"/>
    <mergeCell ref="C67:H67"/>
    <mergeCell ref="A2:K2"/>
    <mergeCell ref="A3:K3"/>
    <mergeCell ref="A4:K4"/>
    <mergeCell ref="A5:K5"/>
    <mergeCell ref="I7:I8"/>
    <mergeCell ref="A7:A8"/>
    <mergeCell ref="N9:N11"/>
    <mergeCell ref="K7:K8"/>
    <mergeCell ref="J7:J8"/>
    <mergeCell ref="B7:H7"/>
    <mergeCell ref="C6:H6"/>
  </mergeCells>
  <pageMargins left="0.31496062992125984" right="0.11811023622047245" top="0.55118110236220474" bottom="0.55118110236220474" header="0.31496062992125984" footer="0.31496062992125984"/>
  <pageSetup scale="75" orientation="portrait" horizontalDpi="4294967294" verticalDpi="4294967294" r:id="rId1"/>
  <ignoredErrors>
    <ignoredError sqref="I46 J54 J58 F101 J179 J184 J174 J21 J36 I30 I83 F183 F194 F170:F178 F149:J160 F135:J143 F70:F84 F14:F36 F91 J195 K11 K27 K91 F44:F61 F105:J126" formula="1"/>
    <ignoredError sqref="G14:H1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6" tint="-0.249977111117893"/>
  </sheetPr>
  <dimension ref="A1:P149"/>
  <sheetViews>
    <sheetView showGridLines="0" showZeros="0" workbookViewId="0">
      <selection activeCell="N29" sqref="N29"/>
    </sheetView>
  </sheetViews>
  <sheetFormatPr baseColWidth="10" defaultRowHeight="12.75"/>
  <cols>
    <col min="1" max="1" width="4.85546875" customWidth="1"/>
    <col min="2" max="2" width="27.28515625" customWidth="1"/>
    <col min="3" max="3" width="11.28515625" customWidth="1"/>
    <col min="4" max="4" width="12" customWidth="1"/>
    <col min="5" max="5" width="11.85546875" hidden="1" customWidth="1"/>
    <col min="6" max="6" width="10.7109375" hidden="1" customWidth="1"/>
    <col min="7" max="7" width="14" customWidth="1"/>
    <col min="8" max="8" width="11.28515625" customWidth="1"/>
    <col min="9" max="9" width="12.140625" customWidth="1"/>
    <col min="10" max="10" width="10.5703125" hidden="1" customWidth="1"/>
    <col min="11" max="11" width="10.85546875" customWidth="1"/>
    <col min="12" max="12" width="10" customWidth="1"/>
  </cols>
  <sheetData>
    <row r="1" spans="1:13" ht="18" customHeight="1">
      <c r="A1" s="597" t="s">
        <v>166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</row>
    <row r="2" spans="1:13" ht="18" customHeight="1">
      <c r="A2" s="597" t="s">
        <v>167</v>
      </c>
      <c r="B2" s="597"/>
      <c r="C2" s="597"/>
      <c r="D2" s="597"/>
      <c r="E2" s="597"/>
      <c r="F2" s="597"/>
      <c r="G2" s="597"/>
      <c r="H2" s="597"/>
      <c r="I2" s="597"/>
      <c r="J2" s="597"/>
      <c r="K2" s="597"/>
      <c r="L2" s="597"/>
    </row>
    <row r="3" spans="1:13" ht="19.899999999999999" customHeight="1">
      <c r="A3" s="600" t="s">
        <v>218</v>
      </c>
      <c r="B3" s="600"/>
      <c r="C3" s="600"/>
      <c r="D3" s="600"/>
      <c r="E3" s="600"/>
      <c r="F3" s="600"/>
      <c r="G3" s="600"/>
      <c r="H3" s="600"/>
      <c r="I3" s="600"/>
      <c r="J3" s="600"/>
      <c r="K3" s="600"/>
      <c r="L3" s="600"/>
    </row>
    <row r="4" spans="1:13" ht="19.899999999999999" customHeight="1">
      <c r="A4" s="600" t="s">
        <v>580</v>
      </c>
      <c r="B4" s="600"/>
      <c r="C4" s="600"/>
      <c r="D4" s="600"/>
      <c r="E4" s="600"/>
      <c r="F4" s="600"/>
      <c r="G4" s="600"/>
      <c r="H4" s="600"/>
      <c r="I4" s="600"/>
      <c r="J4" s="600"/>
      <c r="K4" s="600"/>
      <c r="L4" s="600"/>
    </row>
    <row r="5" spans="1:13" ht="6" customHeight="1">
      <c r="A5" s="655"/>
      <c r="B5" s="655"/>
      <c r="C5" s="655"/>
      <c r="D5" s="655"/>
      <c r="E5" s="655"/>
      <c r="F5" s="655"/>
      <c r="G5" s="655"/>
      <c r="H5" s="655"/>
      <c r="I5" s="655"/>
      <c r="J5" s="655"/>
      <c r="K5" s="655"/>
      <c r="L5" s="655"/>
    </row>
    <row r="6" spans="1:13" ht="19.899999999999999" customHeight="1">
      <c r="A6" s="656" t="s">
        <v>165</v>
      </c>
      <c r="B6" s="658" t="s">
        <v>0</v>
      </c>
      <c r="C6" s="662" t="s">
        <v>214</v>
      </c>
      <c r="D6" s="663"/>
      <c r="E6" s="663"/>
      <c r="F6" s="663"/>
      <c r="G6" s="663"/>
      <c r="H6" s="664"/>
      <c r="I6" s="660" t="s">
        <v>49</v>
      </c>
      <c r="J6" s="665" t="s">
        <v>159</v>
      </c>
      <c r="K6" s="666"/>
      <c r="L6" s="653" t="s">
        <v>546</v>
      </c>
    </row>
    <row r="7" spans="1:13" ht="19.899999999999999" customHeight="1">
      <c r="A7" s="657"/>
      <c r="B7" s="659"/>
      <c r="C7" s="402" t="s">
        <v>58</v>
      </c>
      <c r="D7" s="402" t="s">
        <v>10</v>
      </c>
      <c r="E7" s="402" t="s">
        <v>2</v>
      </c>
      <c r="F7" s="338" t="s">
        <v>28</v>
      </c>
      <c r="G7" s="339" t="s">
        <v>544</v>
      </c>
      <c r="H7" s="403" t="s">
        <v>493</v>
      </c>
      <c r="I7" s="661"/>
      <c r="J7" s="340" t="s">
        <v>15</v>
      </c>
      <c r="K7" s="341" t="s">
        <v>16</v>
      </c>
      <c r="L7" s="654"/>
    </row>
    <row r="8" spans="1:13" ht="10.9" customHeight="1">
      <c r="A8" s="230"/>
      <c r="B8" s="231"/>
      <c r="C8" s="232"/>
      <c r="D8" s="232"/>
      <c r="E8" s="232"/>
      <c r="F8" s="317"/>
      <c r="G8" s="233"/>
      <c r="H8" s="404"/>
      <c r="I8" s="234"/>
      <c r="J8" s="235"/>
      <c r="K8" s="236"/>
      <c r="L8" s="237"/>
    </row>
    <row r="9" spans="1:13" ht="19.899999999999999" customHeight="1">
      <c r="A9" s="418" t="s">
        <v>60</v>
      </c>
      <c r="B9" s="407" t="s">
        <v>61</v>
      </c>
      <c r="C9" s="412">
        <f t="shared" ref="C9:I9" si="0">SUM(C10+C14+C15+C16+C17+C18+C19)</f>
        <v>116348656</v>
      </c>
      <c r="D9" s="412">
        <f t="shared" si="0"/>
        <v>117401446</v>
      </c>
      <c r="E9" s="412">
        <f t="shared" si="0"/>
        <v>117401446</v>
      </c>
      <c r="F9" s="412">
        <f t="shared" si="0"/>
        <v>11005316.719999999</v>
      </c>
      <c r="G9" s="412">
        <f>SUM(G10+G14+G15+G16+G17+G18+G19)</f>
        <v>104439504.91000001</v>
      </c>
      <c r="H9" s="412">
        <f>SUM(H10+H14+H15+H16+H17+H18+H19)</f>
        <v>95586592.590000004</v>
      </c>
      <c r="I9" s="412">
        <f t="shared" si="0"/>
        <v>103069197.13000001</v>
      </c>
      <c r="J9" s="412">
        <f>+E9-G9</f>
        <v>12961941.089999989</v>
      </c>
      <c r="K9" s="412">
        <f>+D9-G9</f>
        <v>12961941.089999989</v>
      </c>
      <c r="L9" s="417">
        <f>'EJEC GASTOS'!K9</f>
        <v>88.959300305381262</v>
      </c>
    </row>
    <row r="10" spans="1:13" ht="15" customHeight="1">
      <c r="A10" s="312" t="s">
        <v>62</v>
      </c>
      <c r="B10" s="408" t="s">
        <v>63</v>
      </c>
      <c r="C10" s="361">
        <f>'EJEC GASTOS'!B10</f>
        <v>81195659</v>
      </c>
      <c r="D10" s="361">
        <f>'EJEC GASTOS'!C10</f>
        <v>76788049</v>
      </c>
      <c r="E10" s="361">
        <f>'EJEC GASTOS'!D10</f>
        <v>76788049</v>
      </c>
      <c r="F10" s="361">
        <f>'EJEC GASTOS'!E10</f>
        <v>6322728.96</v>
      </c>
      <c r="G10" s="361">
        <f>'EJEC GASTOS'!F10</f>
        <v>70147837.780000001</v>
      </c>
      <c r="H10" s="361">
        <f>'EJEC GASTOS'!G10</f>
        <v>70147837.780000001</v>
      </c>
      <c r="I10" s="361">
        <f>'EJEC GASTOS'!H10</f>
        <v>70147837.780000001</v>
      </c>
      <c r="J10" s="361">
        <f>+E10-G10</f>
        <v>6640211.2199999988</v>
      </c>
      <c r="K10" s="361">
        <f>+D10-G10</f>
        <v>6640211.2199999988</v>
      </c>
      <c r="L10" s="419">
        <f>'EJEC GASTOS'!K10</f>
        <v>91.352545993192251</v>
      </c>
    </row>
    <row r="11" spans="1:13" ht="15" customHeight="1">
      <c r="A11" s="239" t="s">
        <v>64</v>
      </c>
      <c r="B11" s="409" t="s">
        <v>63</v>
      </c>
      <c r="C11" s="240">
        <f>'EJEC GASTOS'!B11</f>
        <v>70185320</v>
      </c>
      <c r="D11" s="240">
        <f>'EJEC GASTOS'!C11</f>
        <v>66047320</v>
      </c>
      <c r="E11" s="240">
        <f>'EJEC GASTOS'!D11</f>
        <v>66047320</v>
      </c>
      <c r="F11" s="240">
        <f>'EJEC GASTOS'!E11</f>
        <v>5173963.87</v>
      </c>
      <c r="G11" s="240">
        <f>'EJEC GASTOS'!F11</f>
        <v>60044137.660000004</v>
      </c>
      <c r="H11" s="240">
        <f>'EJEC GASTOS'!G11</f>
        <v>60044137.660000004</v>
      </c>
      <c r="I11" s="240">
        <f>'EJEC GASTOS'!H11</f>
        <v>60044137.660000004</v>
      </c>
      <c r="J11" s="240">
        <f t="shared" ref="J11:J19" si="1">+E11-G11</f>
        <v>6003182.3399999961</v>
      </c>
      <c r="K11" s="240">
        <f>+D11-G11</f>
        <v>6003182.3399999961</v>
      </c>
      <c r="L11" s="241">
        <f>'EJEC GASTOS'!K11</f>
        <v>90.910785872916577</v>
      </c>
    </row>
    <row r="12" spans="1:13" ht="15" customHeight="1">
      <c r="A12" s="239" t="s">
        <v>65</v>
      </c>
      <c r="B12" s="409" t="s">
        <v>66</v>
      </c>
      <c r="C12" s="240">
        <f>'EJEC GASTOS'!B12</f>
        <v>3855498</v>
      </c>
      <c r="D12" s="240">
        <f>'EJEC GASTOS'!C12</f>
        <v>3170498</v>
      </c>
      <c r="E12" s="240">
        <f>'EJEC GASTOS'!D12</f>
        <v>3170498</v>
      </c>
      <c r="F12" s="240">
        <f>'EJEC GASTOS'!E12</f>
        <v>348594.81</v>
      </c>
      <c r="G12" s="240">
        <f>'EJEC GASTOS'!F12</f>
        <v>3013075.16</v>
      </c>
      <c r="H12" s="240">
        <f>'EJEC GASTOS'!G12</f>
        <v>3013075.16</v>
      </c>
      <c r="I12" s="240">
        <f>'EJEC GASTOS'!H12</f>
        <v>3013075.16</v>
      </c>
      <c r="J12" s="240">
        <f t="shared" si="1"/>
        <v>157422.83999999985</v>
      </c>
      <c r="K12" s="240">
        <f t="shared" ref="K12:K18" si="2">+D12-G12</f>
        <v>157422.83999999985</v>
      </c>
      <c r="L12" s="241">
        <f>'EJEC GASTOS'!K12</f>
        <v>95.034759838990595</v>
      </c>
      <c r="M12" s="1"/>
    </row>
    <row r="13" spans="1:13" ht="15" customHeight="1">
      <c r="A13" s="239" t="s">
        <v>67</v>
      </c>
      <c r="B13" s="409" t="s">
        <v>68</v>
      </c>
      <c r="C13" s="240">
        <f>'EJEC GASTOS'!B13</f>
        <v>7154841</v>
      </c>
      <c r="D13" s="240">
        <f>'EJEC GASTOS'!C13</f>
        <v>7570231</v>
      </c>
      <c r="E13" s="240">
        <f>'EJEC GASTOS'!D13</f>
        <v>7570231</v>
      </c>
      <c r="F13" s="240">
        <f>'EJEC GASTOS'!E13</f>
        <v>800170.28</v>
      </c>
      <c r="G13" s="240">
        <f>'EJEC GASTOS'!F13</f>
        <v>7090624.96</v>
      </c>
      <c r="H13" s="240">
        <f>'EJEC GASTOS'!G13</f>
        <v>7090624.96</v>
      </c>
      <c r="I13" s="240">
        <f>'EJEC GASTOS'!H13</f>
        <v>7090624.96</v>
      </c>
      <c r="J13" s="240">
        <f t="shared" si="1"/>
        <v>479606.04000000004</v>
      </c>
      <c r="K13" s="240">
        <f t="shared" si="2"/>
        <v>479606.04000000004</v>
      </c>
      <c r="L13" s="241">
        <f>'EJEC GASTOS'!K13</f>
        <v>93.664578531355247</v>
      </c>
    </row>
    <row r="14" spans="1:13" ht="15" customHeight="1">
      <c r="A14" s="239" t="s">
        <v>69</v>
      </c>
      <c r="B14" s="409" t="s">
        <v>70</v>
      </c>
      <c r="C14" s="240">
        <f>'EJEC GASTOS'!B14</f>
        <v>16549125</v>
      </c>
      <c r="D14" s="240">
        <f>'EJEC GASTOS'!C14</f>
        <v>15551725</v>
      </c>
      <c r="E14" s="240">
        <f>'EJEC GASTOS'!D14</f>
        <v>15551725</v>
      </c>
      <c r="F14" s="240">
        <f>'EJEC GASTOS'!E14</f>
        <v>1160769.04</v>
      </c>
      <c r="G14" s="240">
        <f>'EJEC GASTOS'!F14</f>
        <v>13670902.98</v>
      </c>
      <c r="H14" s="240">
        <f>'EJEC GASTOS'!G14</f>
        <v>13670902.979999999</v>
      </c>
      <c r="I14" s="240">
        <f>'EJEC GASTOS'!H14</f>
        <v>13670902.979999999</v>
      </c>
      <c r="J14" s="240">
        <f t="shared" si="1"/>
        <v>1880822.0199999996</v>
      </c>
      <c r="K14" s="240">
        <f t="shared" si="2"/>
        <v>1880822.0199999996</v>
      </c>
      <c r="L14" s="241">
        <f>'EJEC GASTOS'!K14</f>
        <v>87.9060231582027</v>
      </c>
    </row>
    <row r="15" spans="1:13" ht="15" customHeight="1">
      <c r="A15" s="239" t="s">
        <v>71</v>
      </c>
      <c r="B15" s="409" t="s">
        <v>72</v>
      </c>
      <c r="C15" s="240">
        <f>'EJEC GASTOS'!B18</f>
        <v>223200</v>
      </c>
      <c r="D15" s="240">
        <f>'EJEC GASTOS'!C18</f>
        <v>223200</v>
      </c>
      <c r="E15" s="240">
        <f>'EJEC GASTOS'!D18</f>
        <v>223200</v>
      </c>
      <c r="F15" s="240">
        <f>'EJEC GASTOS'!E18</f>
        <v>17083.330000000002</v>
      </c>
      <c r="G15" s="240">
        <f>'EJEC GASTOS'!F18</f>
        <v>214283.33000000002</v>
      </c>
      <c r="H15" s="240">
        <f>'EJEC GASTOS'!G18</f>
        <v>214283.33000000002</v>
      </c>
      <c r="I15" s="240">
        <f>'EJEC GASTOS'!H18</f>
        <v>214283.33000000002</v>
      </c>
      <c r="J15" s="240">
        <f t="shared" si="1"/>
        <v>8916.6699999999837</v>
      </c>
      <c r="K15" s="240">
        <f t="shared" si="2"/>
        <v>8916.6699999999837</v>
      </c>
      <c r="L15" s="241">
        <f>'EJEC GASTOS'!K18</f>
        <v>96.005076164874552</v>
      </c>
    </row>
    <row r="16" spans="1:13" ht="15" customHeight="1">
      <c r="A16" s="239" t="s">
        <v>73</v>
      </c>
      <c r="B16" s="409" t="s">
        <v>74</v>
      </c>
      <c r="C16" s="240">
        <f>'EJEC GASTOS'!B20</f>
        <v>2405758</v>
      </c>
      <c r="D16" s="240">
        <f>'EJEC GASTOS'!C20</f>
        <v>8318558</v>
      </c>
      <c r="E16" s="240">
        <f>'EJEC GASTOS'!D20</f>
        <v>8318558</v>
      </c>
      <c r="F16" s="240">
        <f>'EJEC GASTOS'!E20</f>
        <v>2140070.58</v>
      </c>
      <c r="G16" s="240">
        <f>'EJEC GASTOS'!F20</f>
        <v>6270192.1500000004</v>
      </c>
      <c r="H16" s="240">
        <f>'EJEC GASTOS'!G20</f>
        <v>6270192.1500000004</v>
      </c>
      <c r="I16" s="240">
        <f>'EJEC GASTOS'!H20</f>
        <v>6270192.1500000004</v>
      </c>
      <c r="J16" s="240">
        <f t="shared" si="1"/>
        <v>2048365.8499999996</v>
      </c>
      <c r="K16" s="240">
        <f t="shared" si="2"/>
        <v>2048365.8499999996</v>
      </c>
      <c r="L16" s="241">
        <f>'EJEC GASTOS'!K20</f>
        <v>75.375950375052994</v>
      </c>
    </row>
    <row r="17" spans="1:14" ht="15" customHeight="1">
      <c r="A17" s="239" t="s">
        <v>75</v>
      </c>
      <c r="B17" s="409" t="s">
        <v>76</v>
      </c>
      <c r="C17" s="240">
        <f>'EJEC GASTOS'!B22</f>
        <v>15174914</v>
      </c>
      <c r="D17" s="240">
        <f>'EJEC GASTOS'!C22</f>
        <v>15074914</v>
      </c>
      <c r="E17" s="240">
        <f>'EJEC GASTOS'!D22</f>
        <v>15074914</v>
      </c>
      <c r="F17" s="240">
        <f>'EJEC GASTOS'!E22</f>
        <v>1330878.1199999999</v>
      </c>
      <c r="G17" s="240">
        <f>'EJEC GASTOS'!F22</f>
        <v>13058359.77</v>
      </c>
      <c r="H17" s="240">
        <f>'EJEC GASTOS'!G22</f>
        <v>4262158.6399999997</v>
      </c>
      <c r="I17" s="240">
        <f>'EJEC GASTOS'!H22</f>
        <v>11672218.859999999</v>
      </c>
      <c r="J17" s="240">
        <f t="shared" si="1"/>
        <v>2016554.2300000004</v>
      </c>
      <c r="K17" s="240">
        <f t="shared" si="2"/>
        <v>2016554.2300000004</v>
      </c>
      <c r="L17" s="241">
        <f>'EJEC GASTOS'!K22</f>
        <v>86.623112874806452</v>
      </c>
    </row>
    <row r="18" spans="1:14" ht="15" customHeight="1">
      <c r="A18" s="239" t="s">
        <v>77</v>
      </c>
      <c r="B18" s="409" t="s">
        <v>78</v>
      </c>
      <c r="C18" s="240">
        <f>'EJEC GASTOS'!B27</f>
        <v>800000</v>
      </c>
      <c r="D18" s="240">
        <f>'EJEC GASTOS'!C27</f>
        <v>800000</v>
      </c>
      <c r="E18" s="240">
        <f>'EJEC GASTOS'!D27</f>
        <v>800000</v>
      </c>
      <c r="F18" s="240">
        <f>'EJEC GASTOS'!E27</f>
        <v>0</v>
      </c>
      <c r="G18" s="240">
        <f>'EJEC GASTOS'!F27</f>
        <v>630100</v>
      </c>
      <c r="H18" s="240">
        <f>'EJEC GASTOS'!G27</f>
        <v>630100</v>
      </c>
      <c r="I18" s="240">
        <f>'EJEC GASTOS'!H27</f>
        <v>630100</v>
      </c>
      <c r="J18" s="240">
        <f t="shared" si="1"/>
        <v>169900</v>
      </c>
      <c r="K18" s="240">
        <f t="shared" si="2"/>
        <v>169900</v>
      </c>
      <c r="L18" s="241">
        <f>'EJEC GASTOS'!K27</f>
        <v>78.762500000000003</v>
      </c>
    </row>
    <row r="19" spans="1:14" ht="15" customHeight="1">
      <c r="A19" s="239" t="s">
        <v>79</v>
      </c>
      <c r="B19" s="409" t="s">
        <v>80</v>
      </c>
      <c r="C19" s="240">
        <f>'EJEC GASTOS'!B29</f>
        <v>0</v>
      </c>
      <c r="D19" s="240">
        <f>'EJEC GASTOS'!C29</f>
        <v>645000</v>
      </c>
      <c r="E19" s="240">
        <f>'EJEC GASTOS'!D29</f>
        <v>645000</v>
      </c>
      <c r="F19" s="240">
        <f>'EJEC GASTOS'!E29</f>
        <v>33786.69</v>
      </c>
      <c r="G19" s="240">
        <f>'EJEC GASTOS'!F29</f>
        <v>447828.89999999997</v>
      </c>
      <c r="H19" s="240">
        <f>'EJEC GASTOS'!G29</f>
        <v>391117.71</v>
      </c>
      <c r="I19" s="240">
        <f>'EJEC GASTOS'!H29</f>
        <v>463662.03</v>
      </c>
      <c r="J19" s="240">
        <f t="shared" si="1"/>
        <v>197171.10000000003</v>
      </c>
      <c r="K19" s="240">
        <f>+C19-G19</f>
        <v>-447828.89999999997</v>
      </c>
      <c r="L19" s="241">
        <f>'EJEC GASTOS'!K24</f>
        <v>83.100359215946312</v>
      </c>
    </row>
    <row r="20" spans="1:14" ht="18" customHeight="1">
      <c r="A20" s="239"/>
      <c r="B20" s="409"/>
      <c r="C20" s="240"/>
      <c r="D20" s="240"/>
      <c r="E20" s="240"/>
      <c r="F20" s="240"/>
      <c r="G20" s="240"/>
      <c r="H20" s="240"/>
      <c r="I20" s="240"/>
      <c r="J20" s="240"/>
      <c r="K20" s="240"/>
      <c r="L20" s="241" t="s">
        <v>6</v>
      </c>
    </row>
    <row r="21" spans="1:14" ht="19.899999999999999" customHeight="1">
      <c r="A21" s="415" t="s">
        <v>81</v>
      </c>
      <c r="B21" s="410" t="s">
        <v>82</v>
      </c>
      <c r="C21" s="416">
        <f>SUM(C22:C31)</f>
        <v>18526746</v>
      </c>
      <c r="D21" s="416">
        <f>D22+D23+D24++D25+D26+D28+D29+D30+D31+D27</f>
        <v>12422033.200000001</v>
      </c>
      <c r="E21" s="416">
        <f>SUM(E22:E31)</f>
        <v>12422033.199999999</v>
      </c>
      <c r="F21" s="412">
        <f>SUM(F22:F31)</f>
        <v>81539.22</v>
      </c>
      <c r="G21" s="539">
        <f>'EJEC GASTOS'!F36</f>
        <v>7009141.0299999993</v>
      </c>
      <c r="H21" s="412">
        <f>SUM(H22:H31)</f>
        <v>6533561.629999999</v>
      </c>
      <c r="I21" s="416">
        <f>I22+I23+I24++I25+I26+I28+I29+I30+I31+I27</f>
        <v>5081016.9399999995</v>
      </c>
      <c r="J21" s="416">
        <f>+E21-G21</f>
        <v>5412892.1699999999</v>
      </c>
      <c r="K21" s="412">
        <f>+D21-G21</f>
        <v>5412892.1700000018</v>
      </c>
      <c r="L21" s="417">
        <f>'EJEC GASTOS'!K36</f>
        <v>56.425070816909425</v>
      </c>
      <c r="M21" s="1" t="s">
        <v>6</v>
      </c>
      <c r="N21" s="1" t="s">
        <v>6</v>
      </c>
    </row>
    <row r="22" spans="1:14" ht="15" customHeight="1">
      <c r="A22" s="239">
        <v>100</v>
      </c>
      <c r="B22" s="409" t="s">
        <v>83</v>
      </c>
      <c r="C22" s="240">
        <f>'EJEC GASTOS'!B37</f>
        <v>246881</v>
      </c>
      <c r="D22" s="240">
        <f>'EJEC GASTOS'!C37</f>
        <v>140776</v>
      </c>
      <c r="E22" s="240">
        <f>'EJEC GASTOS'!D37</f>
        <v>140776</v>
      </c>
      <c r="F22" s="240">
        <f>'EJEC GASTOS'!E37</f>
        <v>0</v>
      </c>
      <c r="G22" s="240">
        <f>'EJEC GASTOS'!F37</f>
        <v>52601.31</v>
      </c>
      <c r="H22" s="240">
        <f>'EJEC GASTOS'!G37</f>
        <v>45517.18</v>
      </c>
      <c r="I22" s="240">
        <f>'EJEC GASTOS'!H37</f>
        <v>40794.44</v>
      </c>
      <c r="J22" s="240">
        <f>+E22-G22</f>
        <v>88174.69</v>
      </c>
      <c r="K22" s="240">
        <f t="shared" ref="K22:K30" si="3">+D22-G22</f>
        <v>88174.69</v>
      </c>
      <c r="L22" s="241">
        <f>'EJEC GASTOS'!K37</f>
        <v>37.365254020571683</v>
      </c>
    </row>
    <row r="23" spans="1:14" ht="15" customHeight="1">
      <c r="A23" s="242" t="s">
        <v>85</v>
      </c>
      <c r="B23" s="359" t="s">
        <v>86</v>
      </c>
      <c r="C23" s="240">
        <f>'EJEC GASTOS'!B44</f>
        <v>4602128</v>
      </c>
      <c r="D23" s="240">
        <f>'EJEC GASTOS'!C44</f>
        <v>5587728</v>
      </c>
      <c r="E23" s="240">
        <f>'EJEC GASTOS'!D44</f>
        <v>5587728</v>
      </c>
      <c r="F23" s="240">
        <f>'EJEC GASTOS'!E44</f>
        <v>45579.85</v>
      </c>
      <c r="G23" s="240">
        <f>'EJEC GASTOS'!F44</f>
        <v>4355812.96</v>
      </c>
      <c r="H23" s="240">
        <f>'EJEC GASTOS'!G44</f>
        <v>4344924.6199999992</v>
      </c>
      <c r="I23" s="240">
        <f>'EJEC GASTOS'!H44</f>
        <v>3756137.75</v>
      </c>
      <c r="J23" s="240">
        <f t="shared" ref="J23:J31" si="4">+E23-G23</f>
        <v>1231915.04</v>
      </c>
      <c r="K23" s="240">
        <f t="shared" si="3"/>
        <v>1231915.04</v>
      </c>
      <c r="L23" s="241">
        <f>'EJEC GASTOS'!K44</f>
        <v>77.953203162358648</v>
      </c>
    </row>
    <row r="24" spans="1:14" ht="15" customHeight="1">
      <c r="A24" s="242" t="s">
        <v>87</v>
      </c>
      <c r="B24" s="359" t="s">
        <v>88</v>
      </c>
      <c r="C24" s="240">
        <f>'EJEC GASTOS'!B53</f>
        <v>166433</v>
      </c>
      <c r="D24" s="240">
        <f>'EJEC GASTOS'!C53</f>
        <v>48233</v>
      </c>
      <c r="E24" s="240">
        <f>'EJEC GASTOS'!D53</f>
        <v>48233</v>
      </c>
      <c r="F24" s="240">
        <f>'EJEC GASTOS'!E53</f>
        <v>0</v>
      </c>
      <c r="G24" s="240">
        <f>'EJEC GASTOS'!F53</f>
        <v>8681.7400000000016</v>
      </c>
      <c r="H24" s="240">
        <f>'EJEC GASTOS'!G53</f>
        <v>8302.15</v>
      </c>
      <c r="I24" s="240">
        <f>'EJEC GASTOS'!H53</f>
        <v>8302.15</v>
      </c>
      <c r="J24" s="240">
        <f t="shared" si="4"/>
        <v>39551.259999999995</v>
      </c>
      <c r="K24" s="240">
        <f t="shared" si="3"/>
        <v>39551.259999999995</v>
      </c>
      <c r="L24" s="241">
        <f>'EJEC GASTOS'!K53</f>
        <v>17.999585346132317</v>
      </c>
    </row>
    <row r="25" spans="1:14" ht="15" customHeight="1">
      <c r="A25" s="242" t="s">
        <v>89</v>
      </c>
      <c r="B25" s="359" t="s">
        <v>90</v>
      </c>
      <c r="C25" s="240">
        <f>'EJEC GASTOS'!B55</f>
        <v>312205</v>
      </c>
      <c r="D25" s="240">
        <f>'EJEC GASTOS'!C55</f>
        <v>76450</v>
      </c>
      <c r="E25" s="240">
        <f>'EJEC GASTOS'!D55</f>
        <v>76450</v>
      </c>
      <c r="F25" s="240">
        <f>'EJEC GASTOS'!E55</f>
        <v>0</v>
      </c>
      <c r="G25" s="240">
        <f>'EJEC GASTOS'!F55</f>
        <v>13692.730000000001</v>
      </c>
      <c r="H25" s="240">
        <f>'EJEC GASTOS'!G55</f>
        <v>13440.73</v>
      </c>
      <c r="I25" s="240">
        <f>'EJEC GASTOS'!H55</f>
        <v>10862.029999999999</v>
      </c>
      <c r="J25" s="240">
        <f t="shared" si="4"/>
        <v>62757.27</v>
      </c>
      <c r="K25" s="240">
        <f t="shared" si="3"/>
        <v>62757.27</v>
      </c>
      <c r="L25" s="241">
        <f>'EJEC GASTOS'!K55</f>
        <v>17.910699803793332</v>
      </c>
    </row>
    <row r="26" spans="1:14" ht="15" customHeight="1">
      <c r="A26" s="242" t="s">
        <v>91</v>
      </c>
      <c r="B26" s="359" t="s">
        <v>92</v>
      </c>
      <c r="C26" s="240">
        <f>'EJEC GASTOS'!B58</f>
        <v>1316173</v>
      </c>
      <c r="D26" s="240">
        <f>'EJEC GASTOS'!C58</f>
        <v>344413.92</v>
      </c>
      <c r="E26" s="240">
        <f>'EJEC GASTOS'!D58</f>
        <v>344413.92</v>
      </c>
      <c r="F26" s="240">
        <f>'EJEC GASTOS'!E58</f>
        <v>519</v>
      </c>
      <c r="G26" s="240">
        <f>'EJEC GASTOS'!F58</f>
        <v>249295.42</v>
      </c>
      <c r="H26" s="240">
        <f>'EJEC GASTOS'!G58</f>
        <v>249205.42</v>
      </c>
      <c r="I26" s="240">
        <f>'EJEC GASTOS'!H58</f>
        <v>249205.42</v>
      </c>
      <c r="J26" s="240">
        <f t="shared" si="4"/>
        <v>95118.499999999971</v>
      </c>
      <c r="K26" s="240">
        <f t="shared" si="3"/>
        <v>95118.499999999971</v>
      </c>
      <c r="L26" s="241">
        <f>'EJEC GASTOS'!K58</f>
        <v>72.382504168240359</v>
      </c>
    </row>
    <row r="27" spans="1:14" ht="15" customHeight="1">
      <c r="A27" s="242" t="s">
        <v>94</v>
      </c>
      <c r="B27" s="359" t="s">
        <v>95</v>
      </c>
      <c r="C27" s="240">
        <f>'EJEC GASTOS'!B70</f>
        <v>707102</v>
      </c>
      <c r="D27" s="240">
        <f>'EJEC GASTOS'!C70</f>
        <v>283348.57999999996</v>
      </c>
      <c r="E27" s="240">
        <f>'EJEC GASTOS'!D70</f>
        <v>283348.57999999996</v>
      </c>
      <c r="F27" s="240">
        <f>'EJEC GASTOS'!E70</f>
        <v>2380.1799999999998</v>
      </c>
      <c r="G27" s="240">
        <f>'EJEC GASTOS'!F70</f>
        <v>108352.96000000001</v>
      </c>
      <c r="H27" s="240">
        <f>'EJEC GASTOS'!G70</f>
        <v>97520.56</v>
      </c>
      <c r="I27" s="240">
        <f>'EJEC GASTOS'!H70</f>
        <v>89799.03</v>
      </c>
      <c r="J27" s="240">
        <f t="shared" si="4"/>
        <v>174995.61999999994</v>
      </c>
      <c r="K27" s="240">
        <f t="shared" si="3"/>
        <v>174995.61999999994</v>
      </c>
      <c r="L27" s="241">
        <f>'EJEC GASTOS'!K70</f>
        <v>38.240163405795094</v>
      </c>
    </row>
    <row r="28" spans="1:14" ht="15" customHeight="1">
      <c r="A28" s="242" t="s">
        <v>96</v>
      </c>
      <c r="B28" s="359" t="s">
        <v>97</v>
      </c>
      <c r="C28" s="240">
        <f>'EJEC GASTOS'!B75</f>
        <v>5576534</v>
      </c>
      <c r="D28" s="240">
        <f>'EJEC GASTOS'!C75</f>
        <v>2234444.7000000002</v>
      </c>
      <c r="E28" s="240">
        <f>'EJEC GASTOS'!D75</f>
        <v>2234444.7000000002</v>
      </c>
      <c r="F28" s="240">
        <f>'EJEC GASTOS'!E75</f>
        <v>0</v>
      </c>
      <c r="G28" s="240">
        <f>'EJEC GASTOS'!F75</f>
        <v>999102.39</v>
      </c>
      <c r="H28" s="240">
        <f>'EJEC GASTOS'!G75</f>
        <v>848373.53</v>
      </c>
      <c r="I28" s="240">
        <f>'EJEC GASTOS'!H75</f>
        <v>363926.3</v>
      </c>
      <c r="J28" s="240">
        <f t="shared" si="4"/>
        <v>1235342.31</v>
      </c>
      <c r="K28" s="240">
        <f t="shared" si="3"/>
        <v>1235342.31</v>
      </c>
      <c r="L28" s="241">
        <f>'EJEC GASTOS'!K71</f>
        <v>36.780261521873463</v>
      </c>
    </row>
    <row r="29" spans="1:14" ht="15" customHeight="1">
      <c r="A29" s="243">
        <v>170</v>
      </c>
      <c r="B29" s="411" t="s">
        <v>149</v>
      </c>
      <c r="C29" s="240">
        <f>'EJEC GASTOS'!B81</f>
        <v>3333076</v>
      </c>
      <c r="D29" s="240">
        <f>'EJEC GASTOS'!C81</f>
        <v>1587420</v>
      </c>
      <c r="E29" s="240">
        <f>'EJEC GASTOS'!D81</f>
        <v>1587420</v>
      </c>
      <c r="F29" s="240">
        <f>'EJEC GASTOS'!E81</f>
        <v>6207.94</v>
      </c>
      <c r="G29" s="240">
        <f>'EJEC GASTOS'!F81</f>
        <v>45027.26</v>
      </c>
      <c r="H29" s="240">
        <f>'EJEC GASTOS'!G81</f>
        <v>45027.26</v>
      </c>
      <c r="I29" s="240">
        <f>'EJEC GASTOS'!H81</f>
        <v>0</v>
      </c>
      <c r="J29" s="240">
        <f t="shared" si="4"/>
        <v>1542392.74</v>
      </c>
      <c r="K29" s="240">
        <f t="shared" si="3"/>
        <v>1542392.74</v>
      </c>
      <c r="L29" s="241">
        <f>'EJEC GASTOS'!K72</f>
        <v>39.629753432535409</v>
      </c>
    </row>
    <row r="30" spans="1:14" ht="15" customHeight="1">
      <c r="A30" s="242" t="s">
        <v>98</v>
      </c>
      <c r="B30" s="359" t="s">
        <v>99</v>
      </c>
      <c r="C30" s="240">
        <f>'EJEC GASTOS'!B84</f>
        <v>2266214</v>
      </c>
      <c r="D30" s="240">
        <f>'EJEC GASTOS'!C84</f>
        <v>1632609</v>
      </c>
      <c r="E30" s="240">
        <f>'EJEC GASTOS'!D84</f>
        <v>1632609</v>
      </c>
      <c r="F30" s="240">
        <f>'EJEC GASTOS'!E84</f>
        <v>26852.25</v>
      </c>
      <c r="G30" s="240">
        <f>'EJEC GASTOS'!F84</f>
        <v>735636.78999999992</v>
      </c>
      <c r="H30" s="240">
        <f>'EJEC GASTOS'!G84</f>
        <v>463277.41000000003</v>
      </c>
      <c r="I30" s="240">
        <f>'EJEC GASTOS'!H84</f>
        <v>344485.81</v>
      </c>
      <c r="J30" s="240">
        <f t="shared" si="4"/>
        <v>896972.21000000008</v>
      </c>
      <c r="K30" s="240">
        <f t="shared" si="3"/>
        <v>896972.21000000008</v>
      </c>
      <c r="L30" s="241">
        <f>'EJEC GASTOS'!K73</f>
        <v>46.388483863478058</v>
      </c>
    </row>
    <row r="31" spans="1:14" ht="15" customHeight="1">
      <c r="A31" s="239">
        <v>190</v>
      </c>
      <c r="B31" s="409" t="s">
        <v>100</v>
      </c>
      <c r="C31" s="240">
        <f>'EJEC GASTOS'!B91</f>
        <v>0</v>
      </c>
      <c r="D31" s="240">
        <f>'EJEC GASTOS'!C91</f>
        <v>486610</v>
      </c>
      <c r="E31" s="240">
        <f>'EJEC GASTOS'!D91</f>
        <v>486610</v>
      </c>
      <c r="F31" s="447">
        <f>'EJEC GASTOS'!E91</f>
        <v>0</v>
      </c>
      <c r="G31" s="240">
        <f>'EJEC GASTOS'!F91</f>
        <v>441027.47</v>
      </c>
      <c r="H31" s="240">
        <f>'EJEC GASTOS'!G91</f>
        <v>417972.77</v>
      </c>
      <c r="I31" s="240">
        <f>'EJEC GASTOS'!H91</f>
        <v>217504.01</v>
      </c>
      <c r="J31" s="240">
        <f t="shared" si="4"/>
        <v>45582.530000000028</v>
      </c>
      <c r="K31" s="240">
        <f>+C31-G31</f>
        <v>-441027.47</v>
      </c>
      <c r="L31" s="241">
        <f>'EJEC GASTOS'!K74</f>
        <v>15.165120997943646</v>
      </c>
    </row>
    <row r="32" spans="1:14" ht="18" customHeight="1">
      <c r="A32" s="239"/>
      <c r="B32" s="409"/>
      <c r="C32" s="240"/>
      <c r="D32" s="240"/>
      <c r="E32" s="240"/>
      <c r="F32" s="240"/>
      <c r="G32" s="240"/>
      <c r="H32" s="240"/>
      <c r="I32" s="240"/>
      <c r="J32" s="240"/>
      <c r="K32" s="240"/>
      <c r="L32" s="241">
        <f>'EJEC GASTOS'!K32</f>
        <v>0</v>
      </c>
    </row>
    <row r="33" spans="1:15" ht="19.899999999999999" customHeight="1">
      <c r="A33" s="418" t="s">
        <v>101</v>
      </c>
      <c r="B33" s="407" t="s">
        <v>102</v>
      </c>
      <c r="C33" s="412">
        <f>+C34+C35+C36+C37+C38+C39+C40+C41+C42+C43</f>
        <v>7743903</v>
      </c>
      <c r="D33" s="412">
        <f>SUM(D34:D43)</f>
        <v>5800722.2199999997</v>
      </c>
      <c r="E33" s="416">
        <f>SUM(E34:E43)</f>
        <v>5800722.2199999997</v>
      </c>
      <c r="F33" s="412">
        <f>SUM(F34:F43)</f>
        <v>21565.66</v>
      </c>
      <c r="G33" s="412">
        <f>SUM(G34:G43)</f>
        <v>3656418.1759999995</v>
      </c>
      <c r="H33" s="412">
        <f>SUM(H34:H43)</f>
        <v>2862264.3200000003</v>
      </c>
      <c r="I33" s="412">
        <f>+I34+I35+I36+I37+I38+I39+I40+I41+I42+I43</f>
        <v>2470581.33</v>
      </c>
      <c r="J33" s="412">
        <f>+E33-G33</f>
        <v>2144304.0440000002</v>
      </c>
      <c r="K33" s="412">
        <f>+D33-G33</f>
        <v>2144304.0440000002</v>
      </c>
      <c r="L33" s="417">
        <f>'EJEC GASTOS'!K101</f>
        <v>63.033843740926457</v>
      </c>
      <c r="M33" s="1" t="s">
        <v>6</v>
      </c>
      <c r="N33" s="1" t="s">
        <v>6</v>
      </c>
      <c r="O33" s="1"/>
    </row>
    <row r="34" spans="1:15" ht="15" customHeight="1">
      <c r="A34" s="239" t="s">
        <v>103</v>
      </c>
      <c r="B34" s="409" t="s">
        <v>104</v>
      </c>
      <c r="C34" s="240">
        <f>'EJEC GASTOS'!B102</f>
        <v>546753</v>
      </c>
      <c r="D34" s="240">
        <f>'EJEC GASTOS'!C102</f>
        <v>245813</v>
      </c>
      <c r="E34" s="240">
        <f>'EJEC GASTOS'!D102</f>
        <v>245813</v>
      </c>
      <c r="F34" s="240">
        <f>'EJEC GASTOS'!E102</f>
        <v>3465.5</v>
      </c>
      <c r="G34" s="240">
        <f>'EJEC GASTOS'!F102</f>
        <v>48349.49</v>
      </c>
      <c r="H34" s="240">
        <f>'EJEC GASTOS'!G102</f>
        <v>48349.49</v>
      </c>
      <c r="I34" s="240">
        <f>'EJEC GASTOS'!H102</f>
        <v>43347.74</v>
      </c>
      <c r="J34" s="240">
        <f>+E34-G34</f>
        <v>197463.51</v>
      </c>
      <c r="K34" s="240">
        <f t="shared" ref="K34:K42" si="5">+D34-G34</f>
        <v>197463.51</v>
      </c>
      <c r="L34" s="241">
        <f>'EJEC GASTOS'!K102</f>
        <v>19.669216030071642</v>
      </c>
    </row>
    <row r="35" spans="1:15" ht="15" customHeight="1">
      <c r="A35" s="242" t="s">
        <v>105</v>
      </c>
      <c r="B35" s="359" t="s">
        <v>106</v>
      </c>
      <c r="C35" s="240">
        <f>'EJEC GASTOS'!B105</f>
        <v>997856</v>
      </c>
      <c r="D35" s="240">
        <f>'EJEC GASTOS'!C105</f>
        <v>365044</v>
      </c>
      <c r="E35" s="240">
        <f>'EJEC GASTOS'!D105</f>
        <v>365044</v>
      </c>
      <c r="F35" s="240">
        <f>'EJEC GASTOS'!E105</f>
        <v>0</v>
      </c>
      <c r="G35" s="240">
        <f>'EJEC GASTOS'!F105</f>
        <v>213025.08000000002</v>
      </c>
      <c r="H35" s="240">
        <f>'EJEC GASTOS'!G105</f>
        <v>182528.18</v>
      </c>
      <c r="I35" s="240">
        <f>'EJEC GASTOS'!H105</f>
        <v>164004.59</v>
      </c>
      <c r="J35" s="240">
        <f t="shared" ref="J35:J42" si="6">+E35-G35</f>
        <v>152018.91999999998</v>
      </c>
      <c r="K35" s="240">
        <f t="shared" si="5"/>
        <v>152018.91999999998</v>
      </c>
      <c r="L35" s="241">
        <f>'EJEC GASTOS'!K105</f>
        <v>58.35600092043699</v>
      </c>
    </row>
    <row r="36" spans="1:15" ht="15" customHeight="1">
      <c r="A36" s="242" t="s">
        <v>107</v>
      </c>
      <c r="B36" s="359" t="s">
        <v>108</v>
      </c>
      <c r="C36" s="240">
        <f>'EJEC GASTOS'!B111</f>
        <v>1077438</v>
      </c>
      <c r="D36" s="240">
        <f>'EJEC GASTOS'!C111</f>
        <v>492232.86</v>
      </c>
      <c r="E36" s="240">
        <f>'EJEC GASTOS'!D111</f>
        <v>492232.86</v>
      </c>
      <c r="F36" s="240">
        <f>'EJEC GASTOS'!E111</f>
        <v>5.6</v>
      </c>
      <c r="G36" s="240">
        <f>'EJEC GASTOS'!F111</f>
        <v>394691.38</v>
      </c>
      <c r="H36" s="240">
        <f>'EJEC GASTOS'!G111</f>
        <v>265721.27999999997</v>
      </c>
      <c r="I36" s="240">
        <f>'EJEC GASTOS'!H111</f>
        <v>205934.72000000003</v>
      </c>
      <c r="J36" s="240">
        <f t="shared" si="6"/>
        <v>97541.479999999981</v>
      </c>
      <c r="K36" s="240">
        <f t="shared" si="5"/>
        <v>97541.479999999981</v>
      </c>
      <c r="L36" s="241">
        <f>'EJEC GASTOS'!K111</f>
        <v>80.183874762038442</v>
      </c>
    </row>
    <row r="37" spans="1:15" ht="15" customHeight="1">
      <c r="A37" s="242" t="s">
        <v>109</v>
      </c>
      <c r="B37" s="359" t="s">
        <v>110</v>
      </c>
      <c r="C37" s="240">
        <f>'EJEC GASTOS'!B117</f>
        <v>406407</v>
      </c>
      <c r="D37" s="240">
        <f>'EJEC GASTOS'!C117</f>
        <v>211027</v>
      </c>
      <c r="E37" s="240">
        <f>'EJEC GASTOS'!D117</f>
        <v>211027</v>
      </c>
      <c r="F37" s="240">
        <f>'EJEC GASTOS'!E117</f>
        <v>0</v>
      </c>
      <c r="G37" s="240">
        <f>'EJEC GASTOS'!F117</f>
        <v>148401.21</v>
      </c>
      <c r="H37" s="240">
        <f>'EJEC GASTOS'!G117</f>
        <v>134365.42000000001</v>
      </c>
      <c r="I37" s="240">
        <f>'EJEC GASTOS'!H117</f>
        <v>125465.15999999999</v>
      </c>
      <c r="J37" s="240">
        <f t="shared" si="6"/>
        <v>62625.790000000008</v>
      </c>
      <c r="K37" s="240">
        <f t="shared" si="5"/>
        <v>62625.790000000008</v>
      </c>
      <c r="L37" s="241">
        <f>'EJEC GASTOS'!K117</f>
        <v>70.323328294483645</v>
      </c>
    </row>
    <row r="38" spans="1:15" ht="15" customHeight="1">
      <c r="A38" s="242" t="s">
        <v>111</v>
      </c>
      <c r="B38" s="359" t="s">
        <v>112</v>
      </c>
      <c r="C38" s="240">
        <f>'EJEC GASTOS'!B121</f>
        <v>443589</v>
      </c>
      <c r="D38" s="240">
        <f>'EJEC GASTOS'!C121</f>
        <v>543809.79</v>
      </c>
      <c r="E38" s="240">
        <f>'EJEC GASTOS'!D121</f>
        <v>543809.79</v>
      </c>
      <c r="F38" s="240">
        <f>'EJEC GASTOS'!E121</f>
        <v>0</v>
      </c>
      <c r="G38" s="240">
        <f>'EJEC GASTOS'!F121</f>
        <v>336116.06999999995</v>
      </c>
      <c r="H38" s="240">
        <f>'EJEC GASTOS'!G121</f>
        <v>258687.86</v>
      </c>
      <c r="I38" s="240">
        <f>'EJEC GASTOS'!H121</f>
        <v>229781.76000000001</v>
      </c>
      <c r="J38" s="240">
        <f t="shared" si="6"/>
        <v>207693.72000000009</v>
      </c>
      <c r="K38" s="240">
        <f t="shared" si="5"/>
        <v>207693.72000000009</v>
      </c>
      <c r="L38" s="241">
        <f>'EJEC GASTOS'!K121</f>
        <v>61.807653370859668</v>
      </c>
    </row>
    <row r="39" spans="1:15" ht="15" customHeight="1">
      <c r="A39" s="242" t="s">
        <v>113</v>
      </c>
      <c r="B39" s="359" t="s">
        <v>114</v>
      </c>
      <c r="C39" s="240">
        <f>'EJEC GASTOS'!B135</f>
        <v>987180</v>
      </c>
      <c r="D39" s="240">
        <f>'EJEC GASTOS'!C135</f>
        <v>1130537.6200000001</v>
      </c>
      <c r="E39" s="240">
        <f>'EJEC GASTOS'!D135</f>
        <v>1130537.6200000001</v>
      </c>
      <c r="F39" s="240">
        <f>'EJEC GASTOS'!E135</f>
        <v>2346.7200000000003</v>
      </c>
      <c r="G39" s="240">
        <f>'EJEC GASTOS'!F135</f>
        <v>649137.06599999999</v>
      </c>
      <c r="H39" s="240">
        <f>'EJEC GASTOS'!G135</f>
        <v>431345.95999999996</v>
      </c>
      <c r="I39" s="240">
        <f>'EJEC GASTOS'!H135</f>
        <v>309172.63999999996</v>
      </c>
      <c r="J39" s="240">
        <f t="shared" si="6"/>
        <v>481400.55400000012</v>
      </c>
      <c r="K39" s="240">
        <f t="shared" si="5"/>
        <v>481400.55400000012</v>
      </c>
      <c r="L39" s="241">
        <f>'EJEC GASTOS'!K135</f>
        <v>57.418440086938446</v>
      </c>
    </row>
    <row r="40" spans="1:15" ht="15" customHeight="1">
      <c r="A40" s="242" t="s">
        <v>115</v>
      </c>
      <c r="B40" s="359" t="s">
        <v>116</v>
      </c>
      <c r="C40" s="240">
        <f>'EJEC GASTOS'!B143</f>
        <v>910470</v>
      </c>
      <c r="D40" s="240">
        <f>'EJEC GASTOS'!C143</f>
        <v>727824.63</v>
      </c>
      <c r="E40" s="240">
        <f>'EJEC GASTOS'!D143</f>
        <v>727824.63</v>
      </c>
      <c r="F40" s="240">
        <f>'EJEC GASTOS'!E143</f>
        <v>17185.82</v>
      </c>
      <c r="G40" s="240">
        <f>'EJEC GASTOS'!F143</f>
        <v>423439.57</v>
      </c>
      <c r="H40" s="240">
        <f>'EJEC GASTOS'!G143</f>
        <v>297911.58</v>
      </c>
      <c r="I40" s="240">
        <f>'EJEC GASTOS'!H143</f>
        <v>248876.45</v>
      </c>
      <c r="J40" s="240">
        <f t="shared" si="6"/>
        <v>304385.06</v>
      </c>
      <c r="K40" s="240">
        <f t="shared" si="5"/>
        <v>304385.06</v>
      </c>
      <c r="L40" s="241">
        <f>'EJEC GASTOS'!K143</f>
        <v>58.17879095407914</v>
      </c>
    </row>
    <row r="41" spans="1:15" ht="15" customHeight="1">
      <c r="A41" s="242" t="s">
        <v>117</v>
      </c>
      <c r="B41" s="359" t="s">
        <v>118</v>
      </c>
      <c r="C41" s="240">
        <f>'EJEC GASTOS'!B149</f>
        <v>1721563</v>
      </c>
      <c r="D41" s="240">
        <f>'EJEC GASTOS'!C149</f>
        <v>1533658.32</v>
      </c>
      <c r="E41" s="240">
        <f>'EJEC GASTOS'!D149</f>
        <v>1533658.32</v>
      </c>
      <c r="F41" s="240">
        <f>'EJEC GASTOS'!E149</f>
        <v>0</v>
      </c>
      <c r="G41" s="240">
        <f>'EJEC GASTOS'!F149</f>
        <v>1143946.07</v>
      </c>
      <c r="H41" s="240">
        <f>'EJEC GASTOS'!G149</f>
        <v>1045552.27</v>
      </c>
      <c r="I41" s="240">
        <f>'EJEC GASTOS'!H149</f>
        <v>915497.7</v>
      </c>
      <c r="J41" s="240">
        <f t="shared" si="6"/>
        <v>389712.25</v>
      </c>
      <c r="K41" s="240">
        <f t="shared" si="5"/>
        <v>389712.25</v>
      </c>
      <c r="L41" s="241">
        <f>'EJEC GASTOS'!K149</f>
        <v>74.589369423562346</v>
      </c>
    </row>
    <row r="42" spans="1:15" ht="15" customHeight="1">
      <c r="A42" s="242" t="s">
        <v>119</v>
      </c>
      <c r="B42" s="359" t="s">
        <v>120</v>
      </c>
      <c r="C42" s="240">
        <f>'EJEC GASTOS'!B158</f>
        <v>652647</v>
      </c>
      <c r="D42" s="240">
        <f>'EJEC GASTOS'!C158</f>
        <v>376835</v>
      </c>
      <c r="E42" s="240">
        <f>'EJEC GASTOS'!D158</f>
        <v>376835</v>
      </c>
      <c r="F42" s="240">
        <f>'EJEC GASTOS'!E158</f>
        <v>-1437.98</v>
      </c>
      <c r="G42" s="240">
        <f>'EJEC GASTOS'!F158</f>
        <v>220245.87999999998</v>
      </c>
      <c r="H42" s="240">
        <f>'EJEC GASTOS'!G158</f>
        <v>189459.68</v>
      </c>
      <c r="I42" s="240">
        <f>'EJEC GASTOS'!H158</f>
        <v>151388.49</v>
      </c>
      <c r="J42" s="240">
        <f t="shared" si="6"/>
        <v>156589.12000000002</v>
      </c>
      <c r="K42" s="240">
        <f t="shared" si="5"/>
        <v>156589.12000000002</v>
      </c>
      <c r="L42" s="241">
        <f>'EJEC GASTOS'!K158</f>
        <v>58.446237743309403</v>
      </c>
    </row>
    <row r="43" spans="1:15" ht="15" customHeight="1">
      <c r="A43" s="239">
        <v>290</v>
      </c>
      <c r="B43" s="359" t="s">
        <v>121</v>
      </c>
      <c r="C43" s="240">
        <f>'EJEC GASTOS'!B160</f>
        <v>0</v>
      </c>
      <c r="D43" s="240">
        <f>'EJEC GASTOS'!C160</f>
        <v>173940</v>
      </c>
      <c r="E43" s="240">
        <f>'EJEC GASTOS'!D160</f>
        <v>173940</v>
      </c>
      <c r="F43" s="240">
        <f>'EJEC GASTOS'!E160</f>
        <v>0</v>
      </c>
      <c r="G43" s="240">
        <f>'EJEC GASTOS'!F160</f>
        <v>79066.359999999986</v>
      </c>
      <c r="H43" s="240">
        <f>'EJEC GASTOS'!G160</f>
        <v>8342.6</v>
      </c>
      <c r="I43" s="240">
        <f>'EJEC GASTOS'!H160</f>
        <v>77112.08</v>
      </c>
      <c r="J43" s="240" t="s">
        <v>6</v>
      </c>
      <c r="K43" s="240" t="s">
        <v>6</v>
      </c>
      <c r="L43" s="241">
        <f>'EJEC GASTOS'!K160</f>
        <v>45.456111302748063</v>
      </c>
    </row>
    <row r="44" spans="1:15" ht="18.600000000000001" customHeight="1">
      <c r="A44" s="239"/>
      <c r="B44" s="359"/>
      <c r="C44" s="240"/>
      <c r="D44" s="240"/>
      <c r="E44" s="240"/>
      <c r="F44" s="240"/>
      <c r="G44" s="240"/>
      <c r="H44" s="240"/>
      <c r="I44" s="240"/>
      <c r="J44" s="240"/>
      <c r="K44" s="240"/>
      <c r="L44" s="241" t="s">
        <v>6</v>
      </c>
    </row>
    <row r="45" spans="1:15" ht="19.899999999999999" customHeight="1">
      <c r="A45" s="418">
        <v>4</v>
      </c>
      <c r="B45" s="412" t="s">
        <v>129</v>
      </c>
      <c r="C45" s="412">
        <f>SUM(C46)</f>
        <v>2503569</v>
      </c>
      <c r="D45" s="412">
        <f>SUM(D46:D47)</f>
        <v>2188964.63</v>
      </c>
      <c r="E45" s="412">
        <f>+E46+E47</f>
        <v>2188964.63</v>
      </c>
      <c r="F45" s="412">
        <f>+F46+F47</f>
        <v>0</v>
      </c>
      <c r="G45" s="412">
        <f>+G46+G47</f>
        <v>1691529.58</v>
      </c>
      <c r="H45" s="420">
        <f>SUM(H46:H47)</f>
        <v>1277862.58</v>
      </c>
      <c r="I45" s="412">
        <f>SUM(I46:I47)</f>
        <v>1258435.8999999999</v>
      </c>
      <c r="J45" s="412">
        <f>+E45-G45</f>
        <v>497435.04999999981</v>
      </c>
      <c r="K45" s="412">
        <f>+D45-G45</f>
        <v>497435.04999999981</v>
      </c>
      <c r="L45" s="417">
        <f>'EJEC GASTOS'!K170</f>
        <v>77.275327194300075</v>
      </c>
    </row>
    <row r="46" spans="1:15" ht="15" customHeight="1">
      <c r="A46" s="239">
        <v>430</v>
      </c>
      <c r="B46" s="413" t="s">
        <v>130</v>
      </c>
      <c r="C46" s="240">
        <f>'EJEC GASTOS'!B171</f>
        <v>2503569</v>
      </c>
      <c r="D46" s="240">
        <f>'EJEC GASTOS'!C171</f>
        <v>2048124.63</v>
      </c>
      <c r="E46" s="240">
        <f>'EJEC GASTOS'!D171</f>
        <v>2048124.63</v>
      </c>
      <c r="F46" s="240">
        <f>'EJEC GASTOS'!E172</f>
        <v>0</v>
      </c>
      <c r="G46" s="240">
        <f>'EJEC GASTOS'!F171</f>
        <v>1564668.24</v>
      </c>
      <c r="H46" s="240">
        <f>'EJEC GASTOS'!G172</f>
        <v>1256529.82</v>
      </c>
      <c r="I46" s="240">
        <f>'EJEC GASTOS'!H171</f>
        <v>1135831.17</v>
      </c>
      <c r="J46" s="240">
        <f>+E46-G46</f>
        <v>483456.3899999999</v>
      </c>
      <c r="K46" s="240">
        <f>+D46-G46</f>
        <v>483456.3899999999</v>
      </c>
      <c r="L46" s="241">
        <f>'EJEC GASTOS'!K171</f>
        <v>76.395167417131262</v>
      </c>
    </row>
    <row r="47" spans="1:15" ht="15" customHeight="1">
      <c r="A47" s="239">
        <v>490</v>
      </c>
      <c r="B47" s="359" t="s">
        <v>131</v>
      </c>
      <c r="C47" s="240">
        <f>'EJEC GASTOS'!B173</f>
        <v>0</v>
      </c>
      <c r="D47" s="240">
        <f>'EJEC GASTOS'!C173</f>
        <v>140840</v>
      </c>
      <c r="E47" s="240">
        <f>'EJEC GASTOS'!D173</f>
        <v>140840</v>
      </c>
      <c r="F47" s="240">
        <v>0</v>
      </c>
      <c r="G47" s="240">
        <f>'EJEC GASTOS'!F173</f>
        <v>126861.34</v>
      </c>
      <c r="H47" s="240">
        <f>'EJEC GASTOS'!G173</f>
        <v>21332.76</v>
      </c>
      <c r="I47" s="240">
        <f>'EJEC GASTOS'!H173</f>
        <v>122604.73</v>
      </c>
      <c r="J47" s="240">
        <f>+E47-G47</f>
        <v>13978.660000000003</v>
      </c>
      <c r="K47" s="240">
        <f>+C47-G47</f>
        <v>-126861.34</v>
      </c>
      <c r="L47" s="241">
        <f>'EJEC GASTOS'!K173</f>
        <v>90.074794092587325</v>
      </c>
    </row>
    <row r="48" spans="1:15" ht="18" customHeight="1">
      <c r="A48" s="244"/>
      <c r="B48" s="414"/>
      <c r="C48" s="240"/>
      <c r="D48" s="347"/>
      <c r="E48" s="347"/>
      <c r="F48" s="240" t="s">
        <v>6</v>
      </c>
      <c r="G48" s="245"/>
      <c r="H48" s="406"/>
      <c r="I48" s="245"/>
      <c r="J48" s="245"/>
      <c r="K48" s="245"/>
      <c r="L48" s="241" t="s">
        <v>6</v>
      </c>
    </row>
    <row r="49" spans="1:16" ht="19.899999999999999" customHeight="1">
      <c r="A49" s="418" t="s">
        <v>132</v>
      </c>
      <c r="B49" s="407" t="s">
        <v>160</v>
      </c>
      <c r="C49" s="238">
        <f>SUM(C50:C55)</f>
        <v>13519059</v>
      </c>
      <c r="D49" s="238">
        <f>SUM(D50:D55)</f>
        <v>8280781.7000000002</v>
      </c>
      <c r="E49" s="238">
        <f>SUM(E50:E55)</f>
        <v>8280781.7000000002</v>
      </c>
      <c r="F49" s="238">
        <f>+F50+F51+F52+F53+F54</f>
        <v>1369077.4100000001</v>
      </c>
      <c r="G49" s="238">
        <f>SUM(G50:G55)+1</f>
        <v>4884354.4100000011</v>
      </c>
      <c r="H49" s="405">
        <f>SUM(H50:H55)</f>
        <v>4877816.1000000006</v>
      </c>
      <c r="I49" s="238">
        <f>SUM(I50:I55)</f>
        <v>4825900.3200000012</v>
      </c>
      <c r="J49" s="238">
        <f t="shared" ref="J49:J55" si="7">+E49-G49</f>
        <v>3396427.2899999991</v>
      </c>
      <c r="K49" s="238">
        <f t="shared" ref="K49:K54" si="8">+D49-G49</f>
        <v>3396427.2899999991</v>
      </c>
      <c r="L49" s="313">
        <f>'EJEC GASTOS'!K175</f>
        <v>58.984218965704649</v>
      </c>
      <c r="N49" s="1" t="s">
        <v>6</v>
      </c>
    </row>
    <row r="50" spans="1:16" ht="15" customHeight="1">
      <c r="A50" s="239" t="s">
        <v>133</v>
      </c>
      <c r="B50" s="409" t="s">
        <v>175</v>
      </c>
      <c r="C50" s="240">
        <f>'EJEC GASTOS'!B176</f>
        <v>118164</v>
      </c>
      <c r="D50" s="240">
        <f>'EJEC GASTOS'!C176</f>
        <v>45338</v>
      </c>
      <c r="E50" s="240">
        <f>'EJEC GASTOS'!D176</f>
        <v>45338</v>
      </c>
      <c r="F50" s="240">
        <f>'EJEC GASTOS'!E176</f>
        <v>3777.62</v>
      </c>
      <c r="G50" s="240">
        <f>'EJEC GASTOS'!F176</f>
        <v>45331.44</v>
      </c>
      <c r="H50" s="240">
        <f>'EJEC GASTOS'!G176</f>
        <v>45331.44</v>
      </c>
      <c r="I50" s="240">
        <f>'EJEC GASTOS'!H176</f>
        <v>45331.44</v>
      </c>
      <c r="J50" s="240">
        <f t="shared" si="7"/>
        <v>6.5599999999976717</v>
      </c>
      <c r="K50" s="240">
        <f t="shared" si="8"/>
        <v>6.5599999999976717</v>
      </c>
      <c r="L50" s="241">
        <f>'EJEC GASTOS'!K176</f>
        <v>99.98553090123076</v>
      </c>
    </row>
    <row r="51" spans="1:16" ht="15" customHeight="1">
      <c r="A51" s="242" t="s">
        <v>134</v>
      </c>
      <c r="B51" s="359" t="s">
        <v>93</v>
      </c>
      <c r="C51" s="240">
        <f>'EJEC GASTOS'!B178</f>
        <v>11651426</v>
      </c>
      <c r="D51" s="240">
        <f>'EJEC GASTOS'!C178</f>
        <v>7919977</v>
      </c>
      <c r="E51" s="240">
        <f>'EJEC GASTOS'!D178</f>
        <v>7919977</v>
      </c>
      <c r="F51" s="240">
        <f>'EJEC GASTOS'!E178</f>
        <v>1366499.79</v>
      </c>
      <c r="G51" s="240">
        <f>'EJEC GASTOS'!F178-1</f>
        <v>4681154.5600000005</v>
      </c>
      <c r="H51" s="240">
        <f>'EJEC GASTOS'!G178</f>
        <v>4681155.5600000005</v>
      </c>
      <c r="I51" s="240">
        <f>'EJEC GASTOS'!H178</f>
        <v>4681155.5600000005</v>
      </c>
      <c r="J51" s="240">
        <f t="shared" si="7"/>
        <v>3238822.4399999995</v>
      </c>
      <c r="K51" s="240">
        <f t="shared" si="8"/>
        <v>3238822.4399999995</v>
      </c>
      <c r="L51" s="241">
        <f>'EJEC GASTOS'!K178</f>
        <v>59.105671140206603</v>
      </c>
    </row>
    <row r="52" spans="1:16" ht="15" customHeight="1">
      <c r="A52" s="239">
        <v>620</v>
      </c>
      <c r="B52" s="359" t="s">
        <v>135</v>
      </c>
      <c r="C52" s="240">
        <f>'EJEC GASTOS'!B183</f>
        <v>1464188</v>
      </c>
      <c r="D52" s="240">
        <f>'EJEC GASTOS'!C183</f>
        <v>146370.23999999999</v>
      </c>
      <c r="E52" s="240">
        <f>'EJEC GASTOS'!D183</f>
        <v>146370.23999999999</v>
      </c>
      <c r="F52" s="240">
        <f>'EJEC GASTOS'!E183</f>
        <v>-1200</v>
      </c>
      <c r="G52" s="240">
        <f>'EJEC GASTOS'!F183</f>
        <v>108220.95000000001</v>
      </c>
      <c r="H52" s="240">
        <f>'EJEC GASTOS'!G183</f>
        <v>101682.64</v>
      </c>
      <c r="I52" s="240">
        <f>'EJEC GASTOS'!H183</f>
        <v>98513.32</v>
      </c>
      <c r="J52" s="240">
        <f t="shared" si="7"/>
        <v>38149.289999999979</v>
      </c>
      <c r="K52" s="240">
        <f t="shared" si="8"/>
        <v>38149.289999999979</v>
      </c>
      <c r="L52" s="241">
        <f>'EJEC GASTOS'!K183</f>
        <v>73.936443637723087</v>
      </c>
    </row>
    <row r="53" spans="1:16" ht="15" customHeight="1">
      <c r="A53" s="348">
        <v>640</v>
      </c>
      <c r="B53" s="359" t="s">
        <v>545</v>
      </c>
      <c r="C53" s="240">
        <f>'EJEC GASTOS'!B187</f>
        <v>159266</v>
      </c>
      <c r="D53" s="240">
        <f>'EJEC GASTOS'!C187</f>
        <v>0</v>
      </c>
      <c r="E53" s="240">
        <f>'EJEC GASTOS'!D187</f>
        <v>0</v>
      </c>
      <c r="F53" s="240">
        <f>'EJEC GASTOS'!E187</f>
        <v>0</v>
      </c>
      <c r="G53" s="240">
        <f>'EJEC GASTOS'!F187</f>
        <v>0</v>
      </c>
      <c r="H53" s="240">
        <f>'EJEC GASTOS'!G187</f>
        <v>0</v>
      </c>
      <c r="I53" s="240">
        <f>'EJEC GASTOS'!H187</f>
        <v>0</v>
      </c>
      <c r="J53" s="240">
        <f>+E53-G53</f>
        <v>0</v>
      </c>
      <c r="K53" s="240">
        <f t="shared" si="8"/>
        <v>0</v>
      </c>
      <c r="L53" s="241"/>
    </row>
    <row r="54" spans="1:16" ht="15" customHeight="1">
      <c r="A54" s="239" t="s">
        <v>136</v>
      </c>
      <c r="B54" s="409" t="s">
        <v>137</v>
      </c>
      <c r="C54" s="240">
        <f>'EJEC GASTOS'!B189</f>
        <v>126015</v>
      </c>
      <c r="D54" s="240">
        <f>'EJEC GASTOS'!C189</f>
        <v>134079.94999999998</v>
      </c>
      <c r="E54" s="240">
        <f>'EJEC GASTOS'!D189</f>
        <v>134079.94999999998</v>
      </c>
      <c r="F54" s="240">
        <f>'EJEC GASTOS'!E189</f>
        <v>0</v>
      </c>
      <c r="G54" s="240">
        <f>'EJEC GASTOS'!F189</f>
        <v>40579.949999999997</v>
      </c>
      <c r="H54" s="240">
        <f>'EJEC GASTOS'!G189</f>
        <v>40579.949999999997</v>
      </c>
      <c r="I54" s="240">
        <f>'EJEC GASTOS'!H189</f>
        <v>900</v>
      </c>
      <c r="J54" s="240">
        <f t="shared" si="7"/>
        <v>93499.999999999985</v>
      </c>
      <c r="K54" s="240">
        <f t="shared" si="8"/>
        <v>93499.999999999985</v>
      </c>
      <c r="L54" s="241">
        <f>'EJEC GASTOS'!K189</f>
        <v>30.265487121676287</v>
      </c>
      <c r="O54" s="1" t="s">
        <v>6</v>
      </c>
    </row>
    <row r="55" spans="1:16" ht="15" customHeight="1">
      <c r="A55" s="239">
        <v>690</v>
      </c>
      <c r="B55" s="359" t="s">
        <v>174</v>
      </c>
      <c r="C55" s="240">
        <f>'EJEC GASTOS'!B194</f>
        <v>0</v>
      </c>
      <c r="D55" s="240">
        <f>'EJEC GASTOS'!C194</f>
        <v>35016.51</v>
      </c>
      <c r="E55" s="240">
        <f>'EJEC GASTOS'!D194</f>
        <v>35016.51</v>
      </c>
      <c r="F55" s="240">
        <f>'EJEC GASTOS'!E57</f>
        <v>0</v>
      </c>
      <c r="G55" s="240">
        <f>'EJEC GASTOS'!F194</f>
        <v>9066.51</v>
      </c>
      <c r="H55" s="240">
        <f>'EJEC GASTOS'!G194</f>
        <v>9066.51</v>
      </c>
      <c r="I55" s="240">
        <f>'EJEC GASTOS'!H194</f>
        <v>0</v>
      </c>
      <c r="J55" s="240">
        <f t="shared" si="7"/>
        <v>25950</v>
      </c>
      <c r="K55" s="240">
        <f>+C55-G55</f>
        <v>-9066.51</v>
      </c>
      <c r="L55" s="241">
        <f>'EJEC GASTOS'!K194</f>
        <v>25.892100611968466</v>
      </c>
    </row>
    <row r="56" spans="1:16" ht="15" customHeight="1">
      <c r="A56" s="239"/>
      <c r="B56" s="240"/>
      <c r="C56" s="240"/>
      <c r="D56" s="240"/>
      <c r="E56" s="240"/>
      <c r="F56" s="240">
        <v>0</v>
      </c>
      <c r="G56" s="240"/>
      <c r="H56" s="240"/>
      <c r="I56" s="240"/>
      <c r="J56" s="240"/>
      <c r="K56" s="240"/>
      <c r="L56" s="241">
        <f>'EJEC GASTOS'!K57</f>
        <v>17.655761024182077</v>
      </c>
    </row>
    <row r="57" spans="1:16" ht="19.899999999999999" customHeight="1">
      <c r="A57" s="248" t="s">
        <v>6</v>
      </c>
      <c r="B57" s="421" t="s">
        <v>138</v>
      </c>
      <c r="C57" s="422">
        <f t="shared" ref="C57:I57" si="9">+C49+C45+C33+C21+C9</f>
        <v>158641933</v>
      </c>
      <c r="D57" s="422">
        <f t="shared" si="9"/>
        <v>146093947.75</v>
      </c>
      <c r="E57" s="422">
        <f t="shared" si="9"/>
        <v>146093947.75</v>
      </c>
      <c r="F57" s="422">
        <f t="shared" si="9"/>
        <v>12477499.009999998</v>
      </c>
      <c r="G57" s="422">
        <f t="shared" si="9"/>
        <v>121680948.10600001</v>
      </c>
      <c r="H57" s="422">
        <f>+H49+H45+H33+H21+H9</f>
        <v>111138097.22</v>
      </c>
      <c r="I57" s="422">
        <f t="shared" si="9"/>
        <v>116705131.62</v>
      </c>
      <c r="J57" s="422">
        <f>+E57-G57</f>
        <v>24412999.643999994</v>
      </c>
      <c r="K57" s="412">
        <f>+D57-G57</f>
        <v>24412999.643999994</v>
      </c>
      <c r="L57" s="417">
        <f>'EJEC GASTOS'!K197</f>
        <v>83.289520191639838</v>
      </c>
    </row>
    <row r="58" spans="1:16" ht="19.899999999999999" customHeight="1">
      <c r="A58" s="27"/>
      <c r="B58" s="274"/>
      <c r="C58" s="274"/>
      <c r="D58" s="274"/>
      <c r="E58" s="274"/>
      <c r="F58" s="1" t="s">
        <v>6</v>
      </c>
      <c r="G58" s="274" t="s">
        <v>6</v>
      </c>
      <c r="H58" s="274"/>
      <c r="I58" s="274"/>
      <c r="J58" s="274"/>
      <c r="K58" s="274"/>
      <c r="L58" s="274"/>
      <c r="N58" s="24" t="s">
        <v>6</v>
      </c>
      <c r="P58" t="s">
        <v>6</v>
      </c>
    </row>
    <row r="59" spans="1:16" ht="19.899999999999999" customHeight="1">
      <c r="A59" s="244"/>
      <c r="B59" s="246"/>
      <c r="C59" s="246"/>
      <c r="D59" s="247"/>
      <c r="E59" s="1"/>
      <c r="F59" s="1" t="s">
        <v>6</v>
      </c>
      <c r="G59" s="1" t="s">
        <v>6</v>
      </c>
      <c r="H59" s="1"/>
      <c r="L59" s="24"/>
    </row>
    <row r="60" spans="1:16" ht="19.899999999999999" customHeight="1"/>
    <row r="61" spans="1:16" ht="19.899999999999999" customHeight="1">
      <c r="C61" t="s">
        <v>6</v>
      </c>
    </row>
    <row r="62" spans="1:16" ht="19.899999999999999" customHeight="1">
      <c r="C62" s="1" t="s">
        <v>6</v>
      </c>
    </row>
    <row r="63" spans="1:16" ht="19.899999999999999" customHeight="1"/>
    <row r="64" spans="1:16" ht="19.899999999999999" customHeight="1"/>
    <row r="65" ht="19.899999999999999" customHeight="1"/>
    <row r="66" ht="19.899999999999999" customHeight="1"/>
    <row r="67" ht="19.899999999999999" customHeight="1"/>
    <row r="68" ht="19.899999999999999" customHeight="1"/>
    <row r="69" ht="19.899999999999999" customHeight="1"/>
    <row r="70" ht="19.899999999999999" customHeight="1"/>
    <row r="71" ht="19.899999999999999" customHeight="1"/>
    <row r="72" ht="19.899999999999999" customHeight="1"/>
    <row r="73" ht="19.899999999999999" customHeight="1"/>
    <row r="74" ht="19.899999999999999" customHeight="1"/>
    <row r="75" ht="19.899999999999999" customHeight="1"/>
    <row r="76" ht="19.899999999999999" customHeight="1"/>
    <row r="77" ht="19.899999999999999" customHeight="1"/>
    <row r="78" ht="19.899999999999999" customHeight="1"/>
    <row r="79" ht="19.899999999999999" customHeight="1"/>
    <row r="80" ht="19.899999999999999" customHeight="1"/>
    <row r="81" ht="19.899999999999999" customHeight="1"/>
    <row r="82" ht="19.899999999999999" customHeight="1"/>
    <row r="83" ht="19.899999999999999" customHeight="1"/>
    <row r="84" ht="19.899999999999999" customHeight="1"/>
    <row r="85" ht="19.899999999999999" customHeight="1"/>
    <row r="86" ht="19.899999999999999" customHeight="1"/>
    <row r="87" ht="19.899999999999999" customHeight="1"/>
    <row r="88" ht="19.899999999999999" customHeight="1"/>
    <row r="89" ht="19.899999999999999" customHeight="1"/>
    <row r="90" ht="19.899999999999999" customHeight="1"/>
    <row r="91" ht="19.899999999999999" customHeight="1"/>
    <row r="92" ht="19.899999999999999" customHeight="1"/>
    <row r="93" ht="19.899999999999999" customHeight="1"/>
    <row r="94" ht="19.899999999999999" customHeight="1"/>
    <row r="95" ht="19.899999999999999" customHeight="1"/>
    <row r="96" ht="19.899999999999999" customHeight="1"/>
    <row r="97" ht="19.899999999999999" customHeight="1"/>
    <row r="98" ht="19.899999999999999" customHeight="1"/>
    <row r="99" ht="19.899999999999999" customHeight="1"/>
    <row r="100" ht="19.899999999999999" customHeight="1"/>
    <row r="101" ht="19.899999999999999" customHeight="1"/>
    <row r="102" ht="19.899999999999999" customHeight="1"/>
    <row r="103" ht="19.899999999999999" customHeight="1"/>
    <row r="104" ht="19.899999999999999" customHeight="1"/>
    <row r="105" ht="19.899999999999999" customHeight="1"/>
    <row r="106" ht="19.899999999999999" customHeight="1"/>
    <row r="107" ht="19.899999999999999" customHeight="1"/>
    <row r="108" ht="19.899999999999999" customHeight="1"/>
    <row r="109" ht="19.899999999999999" customHeight="1"/>
    <row r="110" ht="19.899999999999999" customHeight="1"/>
    <row r="111" ht="19.899999999999999" customHeight="1"/>
    <row r="112" ht="19.899999999999999" customHeight="1"/>
    <row r="113" ht="19.899999999999999" customHeight="1"/>
    <row r="114" ht="19.899999999999999" customHeight="1"/>
    <row r="115" ht="19.899999999999999" customHeight="1"/>
    <row r="116" ht="19.899999999999999" customHeight="1"/>
    <row r="117" ht="19.899999999999999" customHeight="1"/>
    <row r="118" ht="19.899999999999999" customHeight="1"/>
    <row r="119" ht="19.899999999999999" customHeight="1"/>
    <row r="120" ht="19.899999999999999" customHeight="1"/>
    <row r="121" ht="19.899999999999999" customHeight="1"/>
    <row r="122" ht="19.899999999999999" customHeight="1"/>
    <row r="123" ht="19.899999999999999" customHeight="1"/>
    <row r="124" ht="19.899999999999999" customHeight="1"/>
    <row r="125" ht="19.899999999999999" customHeight="1"/>
    <row r="126" ht="19.899999999999999" customHeight="1"/>
    <row r="127" ht="19.899999999999999" customHeight="1"/>
    <row r="128" ht="19.899999999999999" customHeight="1"/>
    <row r="129" ht="19.899999999999999" customHeight="1"/>
    <row r="130" ht="19.899999999999999" customHeight="1"/>
    <row r="131" ht="19.899999999999999" customHeight="1"/>
    <row r="132" ht="19.899999999999999" customHeight="1"/>
    <row r="133" ht="19.899999999999999" customHeight="1"/>
    <row r="134" ht="19.899999999999999" customHeight="1"/>
    <row r="135" ht="19.899999999999999" customHeight="1"/>
    <row r="136" ht="19.899999999999999" customHeight="1"/>
    <row r="137" ht="19.899999999999999" customHeight="1"/>
    <row r="138" ht="19.899999999999999" customHeight="1"/>
    <row r="139" ht="19.899999999999999" customHeight="1"/>
    <row r="140" ht="19.899999999999999" customHeight="1"/>
    <row r="141" ht="19.899999999999999" customHeight="1"/>
    <row r="142" ht="19.899999999999999" customHeight="1"/>
    <row r="143" ht="19.899999999999999" customHeight="1"/>
    <row r="144" ht="19.899999999999999" customHeight="1"/>
    <row r="145" ht="19.899999999999999" customHeight="1"/>
    <row r="146" ht="19.899999999999999" customHeight="1"/>
    <row r="147" ht="19.899999999999999" customHeight="1"/>
    <row r="148" ht="19.899999999999999" customHeight="1"/>
    <row r="149" ht="19.899999999999999" customHeight="1"/>
  </sheetData>
  <mergeCells count="11">
    <mergeCell ref="L6:L7"/>
    <mergeCell ref="A1:L1"/>
    <mergeCell ref="A2:L2"/>
    <mergeCell ref="A3:L3"/>
    <mergeCell ref="A4:L4"/>
    <mergeCell ref="A5:L5"/>
    <mergeCell ref="A6:A7"/>
    <mergeCell ref="B6:B7"/>
    <mergeCell ref="I6:I7"/>
    <mergeCell ref="C6:H6"/>
    <mergeCell ref="J6:K6"/>
  </mergeCells>
  <pageMargins left="0.39370078740157483" right="0.23622047244094491" top="0.55118110236220474" bottom="0.15748031496062992" header="0.31496062992125984" footer="0.31496062992125984"/>
  <pageSetup scale="85" orientation="portrait" horizontalDpi="4294967294" verticalDpi="4294967294" r:id="rId1"/>
  <ignoredErrors>
    <ignoredError sqref="D21:G21" formula="1"/>
    <ignoredError sqref="A9:A57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>
    <tabColor theme="6" tint="-0.249977111117893"/>
  </sheetPr>
  <dimension ref="A1:T38"/>
  <sheetViews>
    <sheetView showGridLines="0" showZeros="0" workbookViewId="0">
      <selection activeCell="S36" sqref="S36"/>
    </sheetView>
  </sheetViews>
  <sheetFormatPr baseColWidth="10" defaultColWidth="11.42578125" defaultRowHeight="12.75"/>
  <cols>
    <col min="1" max="1" width="3.85546875" style="6" customWidth="1"/>
    <col min="2" max="2" width="35.28515625" style="6" customWidth="1"/>
    <col min="3" max="3" width="11.42578125" style="6" customWidth="1"/>
    <col min="4" max="4" width="0.7109375" style="6" hidden="1" customWidth="1"/>
    <col min="5" max="5" width="11.85546875" style="6" customWidth="1"/>
    <col min="6" max="6" width="11.28515625" style="6" hidden="1" customWidth="1"/>
    <col min="7" max="7" width="0.140625" style="6" hidden="1" customWidth="1"/>
    <col min="8" max="8" width="14.85546875" style="6" customWidth="1"/>
    <col min="9" max="9" width="12.42578125" style="6" customWidth="1"/>
    <col min="10" max="10" width="13.140625" style="6" customWidth="1"/>
    <col min="11" max="11" width="0.140625" style="6" customWidth="1"/>
    <col min="12" max="12" width="10" style="6" customWidth="1"/>
    <col min="13" max="13" width="10.28515625" style="6" customWidth="1"/>
    <col min="14" max="14" width="0.140625" hidden="1" customWidth="1"/>
    <col min="15" max="15" width="10.42578125" customWidth="1"/>
    <col min="16" max="16" width="23.5703125" bestFit="1" customWidth="1"/>
    <col min="17" max="17" width="12.7109375" bestFit="1" customWidth="1"/>
  </cols>
  <sheetData>
    <row r="1" spans="1:16" ht="18" customHeight="1">
      <c r="A1" s="597" t="s">
        <v>166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</row>
    <row r="2" spans="1:16" ht="18" customHeight="1">
      <c r="A2" s="597" t="s">
        <v>167</v>
      </c>
      <c r="B2" s="597"/>
      <c r="C2" s="597"/>
      <c r="D2" s="597"/>
      <c r="E2" s="597"/>
      <c r="F2" s="597"/>
      <c r="G2" s="597"/>
      <c r="H2" s="597"/>
      <c r="I2" s="597"/>
      <c r="J2" s="597"/>
      <c r="K2" s="597"/>
      <c r="L2" s="597"/>
      <c r="M2" s="597"/>
    </row>
    <row r="3" spans="1:16" ht="18" customHeight="1">
      <c r="A3" s="600" t="s">
        <v>259</v>
      </c>
      <c r="B3" s="600"/>
      <c r="C3" s="600"/>
      <c r="D3" s="600"/>
      <c r="E3" s="600"/>
      <c r="F3" s="600"/>
      <c r="G3" s="600"/>
      <c r="H3" s="600"/>
      <c r="I3" s="600"/>
      <c r="J3" s="600"/>
      <c r="K3" s="600"/>
      <c r="L3" s="600"/>
      <c r="M3" s="600"/>
      <c r="P3" t="s">
        <v>6</v>
      </c>
    </row>
    <row r="4" spans="1:16" ht="18" customHeight="1">
      <c r="A4" s="600" t="s">
        <v>581</v>
      </c>
      <c r="B4" s="600"/>
      <c r="C4" s="600"/>
      <c r="D4" s="600"/>
      <c r="E4" s="600"/>
      <c r="F4" s="600"/>
      <c r="G4" s="600"/>
      <c r="H4" s="600"/>
      <c r="I4" s="600"/>
      <c r="J4" s="600"/>
      <c r="K4" s="600"/>
      <c r="L4" s="600"/>
      <c r="M4" s="600"/>
      <c r="P4" t="s">
        <v>30</v>
      </c>
    </row>
    <row r="5" spans="1:16" ht="6.6" customHeight="1">
      <c r="A5" t="s">
        <v>477</v>
      </c>
      <c r="B5"/>
      <c r="C5"/>
      <c r="D5"/>
      <c r="E5"/>
      <c r="F5"/>
      <c r="G5"/>
      <c r="H5"/>
      <c r="I5"/>
      <c r="J5"/>
      <c r="K5"/>
      <c r="L5"/>
      <c r="M5"/>
    </row>
    <row r="6" spans="1:16" ht="24.95" customHeight="1">
      <c r="A6" s="668" t="s">
        <v>139</v>
      </c>
      <c r="B6" s="670" t="s">
        <v>0</v>
      </c>
      <c r="C6" s="672" t="s">
        <v>24</v>
      </c>
      <c r="D6" s="673"/>
      <c r="E6" s="673"/>
      <c r="F6" s="673"/>
      <c r="G6" s="673"/>
      <c r="H6" s="673"/>
      <c r="I6" s="673"/>
      <c r="J6" s="674"/>
      <c r="K6" s="675" t="s">
        <v>271</v>
      </c>
      <c r="L6" s="676" t="s">
        <v>593</v>
      </c>
      <c r="M6" s="629" t="s">
        <v>597</v>
      </c>
      <c r="P6" t="s">
        <v>6</v>
      </c>
    </row>
    <row r="7" spans="1:16" ht="24.95" customHeight="1">
      <c r="A7" s="669"/>
      <c r="B7" s="671"/>
      <c r="C7" s="342" t="s">
        <v>58</v>
      </c>
      <c r="D7" s="442" t="s">
        <v>59</v>
      </c>
      <c r="E7" s="342" t="s">
        <v>10</v>
      </c>
      <c r="F7" s="343" t="s">
        <v>2</v>
      </c>
      <c r="G7" s="342" t="s">
        <v>28</v>
      </c>
      <c r="H7" s="344" t="s">
        <v>544</v>
      </c>
      <c r="I7" s="385" t="s">
        <v>493</v>
      </c>
      <c r="J7" s="385" t="s">
        <v>542</v>
      </c>
      <c r="K7" s="602"/>
      <c r="L7" s="677"/>
      <c r="M7" s="630"/>
    </row>
    <row r="8" spans="1:16" ht="15" customHeight="1">
      <c r="A8" s="200"/>
      <c r="B8" s="201"/>
      <c r="C8" s="202"/>
      <c r="D8" s="202"/>
      <c r="E8" s="203"/>
      <c r="F8" s="204"/>
      <c r="G8" s="203"/>
      <c r="H8" s="205"/>
      <c r="I8" s="205"/>
      <c r="J8" s="203"/>
      <c r="K8" s="435"/>
      <c r="L8" s="439"/>
      <c r="M8" s="206"/>
    </row>
    <row r="9" spans="1:16" ht="24.95" customHeight="1">
      <c r="A9" s="60"/>
      <c r="B9" s="207" t="s">
        <v>140</v>
      </c>
      <c r="C9" s="208">
        <f t="shared" ref="C9:J9" si="0">+C11+C21+C29</f>
        <v>158641933</v>
      </c>
      <c r="D9" s="208">
        <f t="shared" si="0"/>
        <v>0</v>
      </c>
      <c r="E9" s="208">
        <f>+E11+E21+E29</f>
        <v>146093947.75</v>
      </c>
      <c r="F9" s="209">
        <f>+F11+F21+F29</f>
        <v>146093947.37</v>
      </c>
      <c r="G9" s="509">
        <f t="shared" si="0"/>
        <v>12477499.01</v>
      </c>
      <c r="H9" s="208">
        <f t="shared" si="0"/>
        <v>121680948.11000001</v>
      </c>
      <c r="I9" s="209">
        <f>+I11+I21+I29</f>
        <v>111138097.22</v>
      </c>
      <c r="J9" s="208">
        <f t="shared" si="0"/>
        <v>116705131.61999999</v>
      </c>
      <c r="K9" s="436">
        <f>F9-H9</f>
        <v>24412999.25999999</v>
      </c>
      <c r="L9" s="440">
        <f>+E9-H9</f>
        <v>24412999.639999986</v>
      </c>
      <c r="M9" s="465">
        <f>+H9/F9*100</f>
        <v>83.289520408281376</v>
      </c>
      <c r="N9" s="208">
        <v>109456469.34</v>
      </c>
    </row>
    <row r="10" spans="1:16" ht="13.15" customHeight="1">
      <c r="A10" s="60"/>
      <c r="B10" s="211"/>
      <c r="C10" s="453"/>
      <c r="D10" s="453"/>
      <c r="E10" s="210"/>
      <c r="F10" s="454"/>
      <c r="G10" s="510"/>
      <c r="H10" s="453"/>
      <c r="I10" s="453"/>
      <c r="J10" s="471"/>
      <c r="K10" s="455"/>
      <c r="L10" s="440"/>
      <c r="M10" s="466"/>
      <c r="N10" s="453"/>
    </row>
    <row r="11" spans="1:16" ht="17.45" customHeight="1">
      <c r="A11" s="212">
        <v>1</v>
      </c>
      <c r="B11" s="213" t="s">
        <v>25</v>
      </c>
      <c r="C11" s="208">
        <f>SUM(C13:C20)</f>
        <v>60709167</v>
      </c>
      <c r="D11" s="208">
        <f t="shared" ref="D11:I11" si="1">SUM(D13:D19)</f>
        <v>1372503</v>
      </c>
      <c r="E11" s="210">
        <f t="shared" si="1"/>
        <v>54303503</v>
      </c>
      <c r="F11" s="456">
        <f t="shared" si="1"/>
        <v>54303502.619999997</v>
      </c>
      <c r="G11" s="511">
        <f t="shared" si="1"/>
        <v>4294963.63</v>
      </c>
      <c r="H11" s="210">
        <f>+G11+N11-252910.19</f>
        <v>41738432.580000006</v>
      </c>
      <c r="I11" s="210">
        <f t="shared" si="1"/>
        <v>38219556.710000001</v>
      </c>
      <c r="J11" s="208">
        <f>+J13+J15+J17+J19</f>
        <v>38912115.319999993</v>
      </c>
      <c r="K11" s="436">
        <f>+F11-H11</f>
        <v>12565070.039999992</v>
      </c>
      <c r="L11" s="440">
        <f>+E11-H11</f>
        <v>12565070.419999994</v>
      </c>
      <c r="M11" s="465">
        <f>+H11/F11*100</f>
        <v>76.861400400031883</v>
      </c>
      <c r="N11" s="210">
        <f>37696382.14-3</f>
        <v>37696379.140000001</v>
      </c>
      <c r="O11" s="35" t="s">
        <v>6</v>
      </c>
      <c r="P11" s="19"/>
    </row>
    <row r="12" spans="1:16" ht="11.45" customHeight="1">
      <c r="A12" s="60"/>
      <c r="B12" s="214"/>
      <c r="C12" s="215"/>
      <c r="D12" s="215"/>
      <c r="E12" s="197"/>
      <c r="F12" s="457"/>
      <c r="G12" s="512"/>
      <c r="H12" s="197"/>
      <c r="I12" s="197"/>
      <c r="J12" s="472"/>
      <c r="K12" s="458"/>
      <c r="L12" s="441"/>
      <c r="M12" s="467"/>
      <c r="N12" s="197"/>
    </row>
    <row r="13" spans="1:16" ht="19.899999999999999" customHeight="1">
      <c r="A13" s="216" t="s">
        <v>6</v>
      </c>
      <c r="B13" s="214" t="s">
        <v>141</v>
      </c>
      <c r="C13" s="197">
        <v>14471964</v>
      </c>
      <c r="D13" s="197">
        <v>27903</v>
      </c>
      <c r="E13" s="197">
        <v>13489847.58</v>
      </c>
      <c r="F13" s="457">
        <v>13489847.58</v>
      </c>
      <c r="G13" s="512">
        <v>1104887.24</v>
      </c>
      <c r="H13" s="197">
        <f>+G13+N13</f>
        <v>11329576.460000001</v>
      </c>
      <c r="I13" s="197">
        <v>10342403.689999999</v>
      </c>
      <c r="J13" s="197">
        <v>10597352.84</v>
      </c>
      <c r="K13" s="437">
        <f>+F13-H13</f>
        <v>2160271.1199999992</v>
      </c>
      <c r="L13" s="441">
        <f>+E13-H13</f>
        <v>2160271.1199999992</v>
      </c>
      <c r="M13" s="468">
        <f>+H13/F13*100</f>
        <v>83.98594863886521</v>
      </c>
      <c r="N13" s="197">
        <f>10227498.22-2809</f>
        <v>10224689.220000001</v>
      </c>
      <c r="O13" s="36"/>
      <c r="P13" s="36"/>
    </row>
    <row r="14" spans="1:16" ht="7.15" customHeight="1">
      <c r="A14" s="216"/>
      <c r="B14" s="214"/>
      <c r="C14" s="197"/>
      <c r="D14" s="197"/>
      <c r="E14" s="197">
        <f>SUM(C14:D14)</f>
        <v>0</v>
      </c>
      <c r="F14" s="457" t="s">
        <v>6</v>
      </c>
      <c r="G14" s="512" t="s">
        <v>6</v>
      </c>
      <c r="H14" s="197"/>
      <c r="I14" s="197"/>
      <c r="J14" s="197"/>
      <c r="K14" s="437"/>
      <c r="L14" s="441"/>
      <c r="M14" s="467"/>
      <c r="N14" s="197"/>
    </row>
    <row r="15" spans="1:16" ht="18.600000000000001" customHeight="1">
      <c r="A15" s="216" t="s">
        <v>6</v>
      </c>
      <c r="B15" s="217" t="s">
        <v>142</v>
      </c>
      <c r="C15" s="197">
        <v>987705</v>
      </c>
      <c r="D15" s="197">
        <v>19837</v>
      </c>
      <c r="E15" s="197">
        <v>1013138.38</v>
      </c>
      <c r="F15" s="457">
        <v>1013138</v>
      </c>
      <c r="G15" s="512">
        <v>88875</v>
      </c>
      <c r="H15" s="197">
        <f t="shared" ref="H15:H19" si="2">+G15+N15</f>
        <v>892464.42</v>
      </c>
      <c r="I15" s="197">
        <v>818163.36</v>
      </c>
      <c r="J15" s="197">
        <v>862105.92</v>
      </c>
      <c r="K15" s="437">
        <f>+F15-H15</f>
        <v>120673.57999999996</v>
      </c>
      <c r="L15" s="441">
        <f>+E15-H15</f>
        <v>120673.95999999996</v>
      </c>
      <c r="M15" s="468">
        <f>+H15/F15*100</f>
        <v>88.089127048832438</v>
      </c>
      <c r="N15" s="197">
        <v>803589.42</v>
      </c>
    </row>
    <row r="16" spans="1:16" ht="10.15" customHeight="1">
      <c r="A16" s="216"/>
      <c r="B16" s="217"/>
      <c r="C16" s="197"/>
      <c r="D16" s="197"/>
      <c r="E16" s="197">
        <f>SUM(C16:D16)</f>
        <v>0</v>
      </c>
      <c r="F16" s="457" t="s">
        <v>6</v>
      </c>
      <c r="G16" s="512"/>
      <c r="H16" s="197">
        <f t="shared" si="2"/>
        <v>0</v>
      </c>
      <c r="I16" s="197"/>
      <c r="J16" s="197"/>
      <c r="K16" s="437" t="s">
        <v>6</v>
      </c>
      <c r="L16" s="441">
        <f>+E16-H16</f>
        <v>0</v>
      </c>
      <c r="M16" s="468"/>
      <c r="N16" s="197">
        <v>0</v>
      </c>
    </row>
    <row r="17" spans="1:20" ht="18.600000000000001" customHeight="1">
      <c r="A17" s="216" t="s">
        <v>6</v>
      </c>
      <c r="B17" s="214" t="s">
        <v>143</v>
      </c>
      <c r="C17" s="197">
        <v>42780124</v>
      </c>
      <c r="D17" s="197">
        <v>1428280</v>
      </c>
      <c r="E17" s="197">
        <v>37694294.039999999</v>
      </c>
      <c r="F17" s="457">
        <v>37694294.039999999</v>
      </c>
      <c r="G17" s="512">
        <v>2978842.26</v>
      </c>
      <c r="H17" s="197">
        <f t="shared" si="2"/>
        <v>28393545.140000001</v>
      </c>
      <c r="I17" s="197">
        <v>26037290.510000002</v>
      </c>
      <c r="J17" s="197">
        <v>26363125.149999999</v>
      </c>
      <c r="K17" s="437">
        <f>+F17-H17</f>
        <v>9300748.8999999985</v>
      </c>
      <c r="L17" s="441">
        <f>+E17-H17</f>
        <v>9300748.8999999985</v>
      </c>
      <c r="M17" s="468">
        <f>+H17/F17*100</f>
        <v>75.325844038542442</v>
      </c>
      <c r="N17" s="197">
        <f>25664804.07-250101.19</f>
        <v>25414702.879999999</v>
      </c>
      <c r="O17" s="228" t="s">
        <v>6</v>
      </c>
      <c r="P17" s="19"/>
    </row>
    <row r="18" spans="1:20" ht="11.45" customHeight="1">
      <c r="A18" s="216"/>
      <c r="B18" s="214"/>
      <c r="C18" s="197"/>
      <c r="D18" s="197"/>
      <c r="E18" s="197">
        <f>SUM(C18:D18)</f>
        <v>0</v>
      </c>
      <c r="F18" s="457"/>
      <c r="G18" s="512"/>
      <c r="H18" s="197" t="s">
        <v>6</v>
      </c>
      <c r="I18" s="197"/>
      <c r="J18" s="197"/>
      <c r="K18" s="437" t="s">
        <v>6</v>
      </c>
      <c r="L18" s="441" t="s">
        <v>6</v>
      </c>
      <c r="M18" s="468"/>
      <c r="N18" s="197" t="s">
        <v>6</v>
      </c>
      <c r="O18" s="228"/>
    </row>
    <row r="19" spans="1:20" ht="15.6" customHeight="1">
      <c r="A19" s="216" t="s">
        <v>6</v>
      </c>
      <c r="B19" s="214" t="s">
        <v>144</v>
      </c>
      <c r="C19" s="197">
        <v>2469374</v>
      </c>
      <c r="D19" s="197">
        <v>-103517</v>
      </c>
      <c r="E19" s="197">
        <v>2106223</v>
      </c>
      <c r="F19" s="457">
        <v>2106223</v>
      </c>
      <c r="G19" s="512">
        <v>122359.13</v>
      </c>
      <c r="H19" s="197">
        <f t="shared" si="2"/>
        <v>1122849.56</v>
      </c>
      <c r="I19" s="197">
        <v>1021699.15</v>
      </c>
      <c r="J19" s="215">
        <v>1089531.4099999999</v>
      </c>
      <c r="K19" s="437">
        <f>+F19-H19</f>
        <v>983373.44</v>
      </c>
      <c r="L19" s="441">
        <f>+E19-H19</f>
        <v>983373.44</v>
      </c>
      <c r="M19" s="468">
        <f>+H19/F19*100</f>
        <v>53.311048260321911</v>
      </c>
      <c r="N19" s="197">
        <v>1000490.43</v>
      </c>
      <c r="O19" s="228"/>
    </row>
    <row r="20" spans="1:20" ht="9.6" customHeight="1">
      <c r="A20" s="216"/>
      <c r="B20" s="214"/>
      <c r="C20" s="197"/>
      <c r="D20" s="197"/>
      <c r="E20" s="197" t="s">
        <v>6</v>
      </c>
      <c r="F20" s="457"/>
      <c r="G20" s="512"/>
      <c r="H20" s="197">
        <f>G20</f>
        <v>0</v>
      </c>
      <c r="I20" s="197"/>
      <c r="J20" s="197"/>
      <c r="K20" s="437">
        <f>+F20-H20</f>
        <v>0</v>
      </c>
      <c r="L20" s="441" t="s">
        <v>6</v>
      </c>
      <c r="M20" s="468"/>
      <c r="N20" s="197">
        <v>0</v>
      </c>
      <c r="O20" s="228"/>
    </row>
    <row r="21" spans="1:20" ht="19.899999999999999" customHeight="1">
      <c r="A21" s="212">
        <v>2</v>
      </c>
      <c r="B21" s="213" t="s">
        <v>285</v>
      </c>
      <c r="C21" s="210">
        <f t="shared" ref="C21:H21" si="3">SUM(C23:C27)</f>
        <v>77321811</v>
      </c>
      <c r="D21" s="210">
        <f t="shared" si="3"/>
        <v>347986</v>
      </c>
      <c r="E21" s="210">
        <f t="shared" si="3"/>
        <v>76984534.650000006</v>
      </c>
      <c r="F21" s="456">
        <f t="shared" si="3"/>
        <v>76984534.650000006</v>
      </c>
      <c r="G21" s="511">
        <f t="shared" si="3"/>
        <v>7101139.29</v>
      </c>
      <c r="H21" s="210">
        <f t="shared" si="3"/>
        <v>69342568.189999998</v>
      </c>
      <c r="I21" s="210">
        <f>SUM(I23:I27)</f>
        <v>63222391.920000002</v>
      </c>
      <c r="J21" s="210">
        <f>SUM(J23:J27)</f>
        <v>67532082.489999995</v>
      </c>
      <c r="K21" s="438">
        <f>+F21-H21</f>
        <v>7641966.4600000083</v>
      </c>
      <c r="L21" s="440">
        <f>+E21-H21</f>
        <v>7641966.4600000083</v>
      </c>
      <c r="M21" s="465">
        <f>+H21/F21*100</f>
        <v>90.073374483923047</v>
      </c>
      <c r="N21" s="210">
        <v>62241460.899999999</v>
      </c>
      <c r="O21" s="228" t="s">
        <v>6</v>
      </c>
    </row>
    <row r="22" spans="1:20" ht="11.45" customHeight="1">
      <c r="A22" s="218"/>
      <c r="B22" s="214"/>
      <c r="C22" s="197" t="s">
        <v>6</v>
      </c>
      <c r="D22" s="197"/>
      <c r="E22" s="197"/>
      <c r="F22" s="457"/>
      <c r="G22" s="512"/>
      <c r="H22" s="197">
        <f>G22</f>
        <v>0</v>
      </c>
      <c r="I22" s="197"/>
      <c r="J22" s="197"/>
      <c r="K22" s="437">
        <f>+F22-H22</f>
        <v>0</v>
      </c>
      <c r="L22" s="441" t="s">
        <v>6</v>
      </c>
      <c r="M22" s="468" t="s">
        <v>6</v>
      </c>
      <c r="N22" s="197">
        <v>0</v>
      </c>
      <c r="O22" s="228"/>
    </row>
    <row r="23" spans="1:20" ht="14.45" customHeight="1">
      <c r="A23" s="219" t="s">
        <v>6</v>
      </c>
      <c r="B23" s="214" t="s">
        <v>145</v>
      </c>
      <c r="C23" s="197">
        <v>3099380</v>
      </c>
      <c r="D23" s="197">
        <v>-107180</v>
      </c>
      <c r="E23" s="197">
        <v>2682366.42</v>
      </c>
      <c r="F23" s="457">
        <v>2682366.42</v>
      </c>
      <c r="G23" s="512">
        <v>173329.95</v>
      </c>
      <c r="H23" s="197">
        <f t="shared" ref="H23:H27" si="4">+G23+N23</f>
        <v>1833575.91</v>
      </c>
      <c r="I23" s="197">
        <v>1695938.5</v>
      </c>
      <c r="J23" s="197">
        <v>1761441.39</v>
      </c>
      <c r="K23" s="437">
        <f>+F23-H23</f>
        <v>848790.51</v>
      </c>
      <c r="L23" s="441">
        <f>+E23-H23</f>
        <v>848790.51</v>
      </c>
      <c r="M23" s="468">
        <f>+H23/F23*100</f>
        <v>68.356653152554742</v>
      </c>
      <c r="N23" s="197">
        <f>1660245.96</f>
        <v>1660245.96</v>
      </c>
      <c r="O23" s="228" t="s">
        <v>6</v>
      </c>
      <c r="P23" s="1"/>
      <c r="T23">
        <f>+T18-T19</f>
        <v>0</v>
      </c>
    </row>
    <row r="24" spans="1:20" ht="11.45" customHeight="1">
      <c r="A24" s="219"/>
      <c r="B24" s="214"/>
      <c r="C24" s="197"/>
      <c r="D24" s="197"/>
      <c r="E24" s="197">
        <f>SUM(C24:D24)</f>
        <v>0</v>
      </c>
      <c r="F24" s="457" t="s">
        <v>6</v>
      </c>
      <c r="G24" s="512"/>
      <c r="H24" s="197">
        <f t="shared" si="4"/>
        <v>0</v>
      </c>
      <c r="I24" s="197"/>
      <c r="J24" s="197"/>
      <c r="K24" s="437" t="s">
        <v>6</v>
      </c>
      <c r="L24" s="441">
        <f>+E24-H24</f>
        <v>0</v>
      </c>
      <c r="M24" s="468"/>
      <c r="N24" s="197">
        <v>0</v>
      </c>
      <c r="O24" s="228"/>
    </row>
    <row r="25" spans="1:20" ht="15" customHeight="1">
      <c r="A25" s="219" t="s">
        <v>6</v>
      </c>
      <c r="B25" s="214" t="s">
        <v>146</v>
      </c>
      <c r="C25" s="197">
        <v>40437702</v>
      </c>
      <c r="D25" s="197">
        <v>123688</v>
      </c>
      <c r="E25" s="197">
        <v>40085822.5</v>
      </c>
      <c r="F25" s="457">
        <v>40085822.5</v>
      </c>
      <c r="G25" s="512">
        <v>3783128.42</v>
      </c>
      <c r="H25" s="197">
        <f t="shared" si="4"/>
        <v>36024318.259999998</v>
      </c>
      <c r="I25" s="197">
        <v>32859353.920000002</v>
      </c>
      <c r="J25" s="215">
        <v>34919970.049999997</v>
      </c>
      <c r="K25" s="437">
        <f>+F25-H25</f>
        <v>4061504.2400000021</v>
      </c>
      <c r="L25" s="441">
        <f>+E25-H25</f>
        <v>4061504.2400000021</v>
      </c>
      <c r="M25" s="468">
        <f>+H25/F25*100</f>
        <v>89.867978285839087</v>
      </c>
      <c r="N25" s="197">
        <v>32241189.84</v>
      </c>
      <c r="O25" s="228"/>
      <c r="Q25" s="19"/>
    </row>
    <row r="26" spans="1:20" ht="12" customHeight="1">
      <c r="A26" s="219"/>
      <c r="B26" s="214"/>
      <c r="C26" s="197"/>
      <c r="D26" s="197"/>
      <c r="E26" s="197">
        <f>SUM(C26:D26)</f>
        <v>0</v>
      </c>
      <c r="F26" s="457"/>
      <c r="G26" s="512"/>
      <c r="H26" s="197">
        <f t="shared" si="4"/>
        <v>0</v>
      </c>
      <c r="I26" s="197"/>
      <c r="J26" s="197"/>
      <c r="K26" s="437">
        <f>+F26-H26</f>
        <v>0</v>
      </c>
      <c r="L26" s="441">
        <f>+E26-H26</f>
        <v>0</v>
      </c>
      <c r="M26" s="468"/>
      <c r="N26" s="197">
        <v>0</v>
      </c>
      <c r="O26" s="228"/>
    </row>
    <row r="27" spans="1:20" ht="17.45" customHeight="1">
      <c r="A27" s="219" t="s">
        <v>6</v>
      </c>
      <c r="B27" s="214" t="s">
        <v>147</v>
      </c>
      <c r="C27" s="197">
        <v>33784729</v>
      </c>
      <c r="D27" s="197">
        <v>331478</v>
      </c>
      <c r="E27" s="197">
        <v>34216345.729999997</v>
      </c>
      <c r="F27" s="457">
        <v>34216345.729999997</v>
      </c>
      <c r="G27" s="512">
        <v>3144680.92</v>
      </c>
      <c r="H27" s="197">
        <f t="shared" si="4"/>
        <v>31484674.020000003</v>
      </c>
      <c r="I27" s="197">
        <v>28667099.5</v>
      </c>
      <c r="J27" s="197">
        <v>30850671.050000001</v>
      </c>
      <c r="K27" s="437">
        <f>+F27-H27</f>
        <v>2731671.7099999934</v>
      </c>
      <c r="L27" s="441">
        <f>+E27-H27</f>
        <v>2731671.7099999934</v>
      </c>
      <c r="M27" s="468">
        <f>+H27/F27*100</f>
        <v>92.016471508805992</v>
      </c>
      <c r="N27" s="197">
        <f>28340025-41.9+10</f>
        <v>28339993.100000001</v>
      </c>
      <c r="O27" s="228" t="s">
        <v>6</v>
      </c>
    </row>
    <row r="28" spans="1:20" ht="13.9" customHeight="1">
      <c r="A28" s="220"/>
      <c r="B28" s="214"/>
      <c r="C28" s="197"/>
      <c r="D28" s="197"/>
      <c r="E28" s="197"/>
      <c r="F28" s="457"/>
      <c r="G28" s="512"/>
      <c r="H28" s="197" t="s">
        <v>6</v>
      </c>
      <c r="I28" s="197"/>
      <c r="J28" s="197"/>
      <c r="K28" s="437" t="s">
        <v>6</v>
      </c>
      <c r="L28" s="441" t="s">
        <v>6</v>
      </c>
      <c r="M28" s="468" t="s">
        <v>6</v>
      </c>
      <c r="N28" s="197" t="s">
        <v>6</v>
      </c>
    </row>
    <row r="29" spans="1:20" ht="24.95" customHeight="1">
      <c r="A29" s="221" t="s">
        <v>122</v>
      </c>
      <c r="B29" s="213" t="s">
        <v>26</v>
      </c>
      <c r="C29" s="210">
        <v>20610955</v>
      </c>
      <c r="D29" s="210">
        <v>-1720489</v>
      </c>
      <c r="E29" s="210">
        <v>14805910.1</v>
      </c>
      <c r="F29" s="456">
        <v>14805910.1</v>
      </c>
      <c r="G29" s="511">
        <v>1081396.0900000001</v>
      </c>
      <c r="H29" s="210">
        <f>+G29+N29</f>
        <v>10599947.34</v>
      </c>
      <c r="I29" s="210">
        <v>9696148.5899999999</v>
      </c>
      <c r="J29" s="210">
        <v>10260933.810000001</v>
      </c>
      <c r="K29" s="438">
        <f>+F29-H29</f>
        <v>4205962.76</v>
      </c>
      <c r="L29" s="440">
        <f>+E29-H29</f>
        <v>4205962.76</v>
      </c>
      <c r="M29" s="465">
        <f>+H29/F29*100</f>
        <v>71.592676629854722</v>
      </c>
      <c r="N29" s="210">
        <f>9518626.3-75.05</f>
        <v>9518551.25</v>
      </c>
      <c r="O29" t="s">
        <v>6</v>
      </c>
    </row>
    <row r="30" spans="1:20" ht="6" customHeight="1" thickBot="1">
      <c r="A30" s="222"/>
      <c r="B30" s="223"/>
      <c r="C30" s="224"/>
      <c r="D30" s="224"/>
      <c r="E30" s="224" t="s">
        <v>6</v>
      </c>
      <c r="F30" s="225"/>
      <c r="G30" s="224"/>
      <c r="H30" s="449" t="s">
        <v>6</v>
      </c>
      <c r="I30" s="224"/>
      <c r="J30" s="224"/>
      <c r="K30" s="224"/>
      <c r="L30" s="224" t="s">
        <v>6</v>
      </c>
      <c r="M30" s="226" t="s">
        <v>6</v>
      </c>
      <c r="N30" t="s">
        <v>6</v>
      </c>
    </row>
    <row r="31" spans="1:20" ht="24.95" customHeight="1" thickTop="1">
      <c r="A31" s="667" t="s">
        <v>219</v>
      </c>
      <c r="B31" s="667"/>
      <c r="C31" s="667"/>
      <c r="D31" s="227"/>
      <c r="E31" s="227"/>
      <c r="F31" s="227"/>
      <c r="G31" s="227"/>
      <c r="H31" s="227" t="s">
        <v>6</v>
      </c>
      <c r="I31" s="227"/>
      <c r="J31" s="227"/>
      <c r="K31" s="227"/>
      <c r="L31" s="227" t="s">
        <v>6</v>
      </c>
      <c r="M31"/>
    </row>
    <row r="32" spans="1:20" ht="24.95" customHeight="1">
      <c r="A32" s="7"/>
      <c r="C32" s="8"/>
      <c r="D32" s="8"/>
      <c r="E32" s="8"/>
      <c r="F32" s="8"/>
      <c r="G32" s="8"/>
      <c r="H32" s="9"/>
      <c r="I32" s="9"/>
      <c r="J32" s="9"/>
      <c r="K32" s="9"/>
      <c r="L32" s="10"/>
    </row>
    <row r="36" spans="13:15">
      <c r="O36" t="s">
        <v>6</v>
      </c>
    </row>
    <row r="38" spans="13:15">
      <c r="M38" s="6" t="s">
        <v>6</v>
      </c>
    </row>
  </sheetData>
  <mergeCells count="11">
    <mergeCell ref="A31:C31"/>
    <mergeCell ref="A1:M1"/>
    <mergeCell ref="A2:M2"/>
    <mergeCell ref="A6:A7"/>
    <mergeCell ref="B6:B7"/>
    <mergeCell ref="M6:M7"/>
    <mergeCell ref="A3:M3"/>
    <mergeCell ref="A4:M4"/>
    <mergeCell ref="C6:J6"/>
    <mergeCell ref="K6:K7"/>
    <mergeCell ref="L6:L7"/>
  </mergeCells>
  <phoneticPr fontId="2" type="noConversion"/>
  <pageMargins left="0.23622047244094491" right="0" top="0.55118110236220474" bottom="0.35433070866141736" header="0.51181102362204722" footer="0.98425196850393704"/>
  <pageSetup scale="95" firstPageNumber="0" fitToWidth="0" fitToHeight="0" orientation="landscape" horizontalDpi="4294967294" verticalDpi="4294967294" r:id="rId1"/>
  <headerFooter alignWithMargins="0">
    <oddFooter xml:space="preserve">&amp;R&amp;"Times New Roman,Normal"&amp;12 </oddFooter>
  </headerFooter>
  <ignoredErrors>
    <ignoredError sqref="H11:H12 H14 H20:H22" formula="1"/>
    <ignoredError sqref="A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17</vt:i4>
      </vt:variant>
    </vt:vector>
  </HeadingPairs>
  <TitlesOfParts>
    <vt:vector size="28" baseType="lpstr">
      <vt:lpstr>RESUMEN</vt:lpstr>
      <vt:lpstr>BALANCE INGRESO</vt:lpstr>
      <vt:lpstr>INGRESOS</vt:lpstr>
      <vt:lpstr>FINANCIAMIENTO</vt:lpstr>
      <vt:lpstr>FLUJO ING GASTO</vt:lpstr>
      <vt:lpstr>BALANCE GASTO</vt:lpstr>
      <vt:lpstr>EJEC GASTOS</vt:lpstr>
      <vt:lpstr>C-A6C </vt:lpstr>
      <vt:lpstr>ESTRUC PROGRAMATICA</vt:lpstr>
      <vt:lpstr>PROYECTOS</vt:lpstr>
      <vt:lpstr>INVERSIONES</vt:lpstr>
      <vt:lpstr>'BALANCE GASTO'!Área_de_impresión</vt:lpstr>
      <vt:lpstr>'BALANCE INGRESO'!Área_de_impresión</vt:lpstr>
      <vt:lpstr>'C-A6C '!Área_de_impresión</vt:lpstr>
      <vt:lpstr>'EJEC GASTOS'!Área_de_impresión</vt:lpstr>
      <vt:lpstr>'ESTRUC PROGRAMATICA'!Área_de_impresión</vt:lpstr>
      <vt:lpstr>FINANCIAMIENTO!Área_de_impresión</vt:lpstr>
      <vt:lpstr>'FLUJO ING GASTO'!Área_de_impresión</vt:lpstr>
      <vt:lpstr>INGRESOS!Área_de_impresión</vt:lpstr>
      <vt:lpstr>Excel_BuiltIn_Print_Area_7</vt:lpstr>
      <vt:lpstr>Excel_BuiltIn_Print_Area_7_1</vt:lpstr>
      <vt:lpstr>Excel_BuiltIn_Print_Area_7_1_1</vt:lpstr>
      <vt:lpstr>Excel_BuiltIn_Print_Area_9_1</vt:lpstr>
      <vt:lpstr>Excel_BuiltIn_Print_Titles_11</vt:lpstr>
      <vt:lpstr>Excel_BuiltIn_Print_Titles_7</vt:lpstr>
      <vt:lpstr>'BALANCE GASTO'!Títulos_a_imprimir</vt:lpstr>
      <vt:lpstr>'BALANCE INGRESO'!Títulos_a_imprimir</vt:lpstr>
      <vt:lpstr>'EJEC GASTOS'!Títulos_a_imprimir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CASTILLO</dc:creator>
  <cp:lastModifiedBy>Jaime Young</cp:lastModifiedBy>
  <cp:lastPrinted>2025-01-20T14:14:14Z</cp:lastPrinted>
  <dcterms:created xsi:type="dcterms:W3CDTF">2010-01-07T20:52:23Z</dcterms:created>
  <dcterms:modified xsi:type="dcterms:W3CDTF">2025-01-22T13:43:09Z</dcterms:modified>
</cp:coreProperties>
</file>