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5\feb\"/>
    </mc:Choice>
  </mc:AlternateContent>
  <xr:revisionPtr revIDLastSave="0" documentId="13_ncr:1_{1D6287CA-2DCA-40C9-AE83-5FF29E7BFB5B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Resumen Pto" sheetId="18" r:id="rId1"/>
    <sheet name="BALANCE" sheetId="8" r:id="rId2"/>
    <sheet name="INGRESOS" sheetId="9" r:id="rId3"/>
    <sheet name="FINANCIAMIENTO" sheetId="10" r:id="rId4"/>
    <sheet name="FLUJO" sheetId="11" r:id="rId5"/>
    <sheet name="BALANCE GASTOS" sheetId="12" r:id="rId6"/>
    <sheet name="FUNCIONAMIENTO" sheetId="24" r:id="rId7"/>
    <sheet name="CUENTA FUNC" sheetId="26" r:id="rId8"/>
    <sheet name="ESTRUCT. PROG" sheetId="15" r:id="rId9"/>
    <sheet name="PROYECTOS" sheetId="60" r:id="rId10"/>
    <sheet name="INVERSIONES" sheetId="23" r:id="rId11"/>
  </sheets>
  <externalReferences>
    <externalReference r:id="rId12"/>
    <externalReference r:id="rId13"/>
  </externalReferences>
  <definedNames>
    <definedName name="a">"$#REF!.$CP$1"</definedName>
    <definedName name="_xlnm.Print_Area" localSheetId="5">'BALANCE GASTOS'!$A$6:$K$60</definedName>
    <definedName name="_xlnm.Print_Area" localSheetId="7">'CUENTA FUNC'!$A$1:$L$56</definedName>
    <definedName name="_xlnm.Print_Area" localSheetId="8">'ESTRUCT. PROG'!$A$3:$L$32</definedName>
    <definedName name="_xlnm.Print_Area" localSheetId="3">FINANCIAMIENTO!$A$1:$H$35</definedName>
    <definedName name="_xlnm.Print_Area" localSheetId="4">FLUJO!$A$3:$I$55</definedName>
    <definedName name="_xlnm.Print_Area" localSheetId="2">INGRESOS!$A$1:$J$33</definedName>
    <definedName name="_xlnm.Print_Area" localSheetId="10">INVERSIONES!$A$1:$N$63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BALANCE!$B$3:$I$47</definedName>
    <definedName name="Excel_BuiltIn_Print_Area_7_1">BALANCE!$B$3:$I$41</definedName>
    <definedName name="Excel_BuiltIn_Print_Area_7_1_1">BALANCE!$B$3:$I$47</definedName>
    <definedName name="Excel_BuiltIn_Print_Area_8_1">[1]INGRESOS!$A$6:$I$39</definedName>
    <definedName name="Excel_BuiltIn_Print_Area_8_1_1">[1]INGRESOS!$A$6:$I$40</definedName>
    <definedName name="Excel_BuiltIn_Print_Area_9_1">FINANCIAMIENTO!$A$4:$H$36</definedName>
    <definedName name="Excel_BuiltIn_Print_Titles_11">'BALANCE GASTOS'!$4:$5</definedName>
    <definedName name="Excel_BuiltIn_Print_Titles_12_1">"$#REF!.$A$1:$B$65535;$#REF!.$A$1:$IV$7"</definedName>
    <definedName name="Excel_BuiltIn_Print_Titles_7">BALANCE!$3:$4</definedName>
    <definedName name="Excel_BuiltIn_Print_Titles_7_1">"$cuadro_A_1.$#REF!$#REF!:$#REF!$#REF!"</definedName>
    <definedName name="Excel_BuiltIn_Print_Titles_8_1">[1]INGRESOS!$A$1:$IV$5</definedName>
    <definedName name="_xlnm.Print_Titles" localSheetId="1">BALANCE!$1:$4</definedName>
    <definedName name="_xlnm.Print_Titles" localSheetId="5">'BALANCE GASTOS'!$1:$5</definedName>
    <definedName name="_xlnm.Print_Titles" localSheetId="6">FUNCIONAMIENTO!$4:$10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5" l="1"/>
  <c r="H11" i="15"/>
  <c r="H41" i="12"/>
  <c r="G28" i="8"/>
  <c r="K24" i="9"/>
  <c r="K22" i="9" s="1"/>
  <c r="E39" i="8"/>
  <c r="E32" i="8"/>
  <c r="E29" i="8"/>
  <c r="E28" i="8"/>
  <c r="E27" i="8"/>
  <c r="E25" i="8"/>
  <c r="E19" i="8"/>
  <c r="E18" i="8"/>
  <c r="G19" i="8"/>
  <c r="F36" i="60" l="1"/>
  <c r="F35" i="60"/>
  <c r="G16" i="60"/>
  <c r="G42" i="12" s="1"/>
  <c r="E16" i="60"/>
  <c r="F16" i="60" s="1"/>
  <c r="F30" i="60"/>
  <c r="F26" i="60"/>
  <c r="F29" i="60"/>
  <c r="F20" i="60"/>
  <c r="F17" i="60"/>
  <c r="D8" i="60"/>
  <c r="F15" i="60"/>
  <c r="F10" i="60"/>
  <c r="C9" i="60"/>
  <c r="C8" i="60" s="1"/>
  <c r="H41" i="23"/>
  <c r="G50" i="23"/>
  <c r="H30" i="23"/>
  <c r="G36" i="23"/>
  <c r="H19" i="23"/>
  <c r="E19" i="23"/>
  <c r="G13" i="23"/>
  <c r="N13" i="23" s="1"/>
  <c r="K21" i="23"/>
  <c r="L21" i="23"/>
  <c r="M21" i="23"/>
  <c r="J24" i="23"/>
  <c r="G15" i="23"/>
  <c r="J15" i="23" s="1"/>
  <c r="G16" i="23"/>
  <c r="G17" i="23"/>
  <c r="G14" i="23"/>
  <c r="J14" i="23" s="1"/>
  <c r="G11" i="23"/>
  <c r="G10" i="23" s="1"/>
  <c r="G29" i="15"/>
  <c r="G27" i="15"/>
  <c r="Q23" i="15"/>
  <c r="G23" i="15"/>
  <c r="G19" i="15"/>
  <c r="G17" i="15"/>
  <c r="G15" i="15"/>
  <c r="G13" i="15"/>
  <c r="G19" i="24"/>
  <c r="H174" i="24"/>
  <c r="G32" i="12" s="1"/>
  <c r="H168" i="24"/>
  <c r="E178" i="24"/>
  <c r="D178" i="24"/>
  <c r="D155" i="24"/>
  <c r="D154" i="24" s="1"/>
  <c r="H155" i="24"/>
  <c r="H154" i="24" s="1"/>
  <c r="G18" i="12" s="1"/>
  <c r="I134" i="24"/>
  <c r="H144" i="24"/>
  <c r="D128" i="24"/>
  <c r="D144" i="24"/>
  <c r="G145" i="24"/>
  <c r="D134" i="24"/>
  <c r="D120" i="24"/>
  <c r="F95" i="24"/>
  <c r="D143" i="24"/>
  <c r="G133" i="24"/>
  <c r="H98" i="24"/>
  <c r="H83" i="24"/>
  <c r="H55" i="24"/>
  <c r="H38" i="24"/>
  <c r="G89" i="24"/>
  <c r="G88" i="24"/>
  <c r="J87" i="24"/>
  <c r="D62" i="24"/>
  <c r="D76" i="24"/>
  <c r="D45" i="24"/>
  <c r="D12" i="24"/>
  <c r="G13" i="24"/>
  <c r="G14" i="24"/>
  <c r="G15" i="24"/>
  <c r="C48" i="11"/>
  <c r="C47" i="11"/>
  <c r="B27" i="11"/>
  <c r="B26" i="11" s="1"/>
  <c r="C10" i="10"/>
  <c r="B10" i="10"/>
  <c r="C38" i="8"/>
  <c r="C37" i="8" s="1"/>
  <c r="C42" i="8"/>
  <c r="C41" i="8" s="1"/>
  <c r="C40" i="8" s="1"/>
  <c r="B28" i="10" s="1"/>
  <c r="C31" i="8"/>
  <c r="B20" i="11" s="1"/>
  <c r="C26" i="8"/>
  <c r="B19" i="11" s="1"/>
  <c r="C17" i="8"/>
  <c r="C15" i="8" s="1"/>
  <c r="B17" i="11" s="1"/>
  <c r="C23" i="8"/>
  <c r="C21" i="8" s="1"/>
  <c r="B18" i="11" s="1"/>
  <c r="D23" i="18"/>
  <c r="B20" i="18"/>
  <c r="H10" i="23"/>
  <c r="H9" i="23" s="1"/>
  <c r="C31" i="60"/>
  <c r="G26" i="12"/>
  <c r="G25" i="12"/>
  <c r="G24" i="12"/>
  <c r="G23" i="12"/>
  <c r="I11" i="15"/>
  <c r="H21" i="15"/>
  <c r="H9" i="15"/>
  <c r="I21" i="15"/>
  <c r="H172" i="24"/>
  <c r="H160" i="24"/>
  <c r="G28" i="12" s="1"/>
  <c r="G22" i="12" s="1"/>
  <c r="H134" i="24"/>
  <c r="H128" i="24"/>
  <c r="H120" i="24"/>
  <c r="H114" i="24"/>
  <c r="H110" i="24"/>
  <c r="H104" i="24"/>
  <c r="H95" i="24"/>
  <c r="H76" i="24"/>
  <c r="H67" i="24"/>
  <c r="H62" i="24"/>
  <c r="H58" i="24"/>
  <c r="H45" i="24"/>
  <c r="H16" i="24"/>
  <c r="H12" i="24"/>
  <c r="D22" i="24"/>
  <c r="H31" i="60"/>
  <c r="G31" i="60"/>
  <c r="G43" i="12" s="1"/>
  <c r="E31" i="60"/>
  <c r="D31" i="60"/>
  <c r="B31" i="60"/>
  <c r="B43" i="12" s="1"/>
  <c r="D16" i="60"/>
  <c r="B16" i="60"/>
  <c r="B42" i="12" s="1"/>
  <c r="G8" i="60"/>
  <c r="G41" i="12" s="1"/>
  <c r="B9" i="60"/>
  <c r="B8" i="60" s="1"/>
  <c r="B41" i="12" s="1"/>
  <c r="J12" i="23"/>
  <c r="J22" i="23"/>
  <c r="I10" i="23"/>
  <c r="F10" i="23"/>
  <c r="E10" i="23"/>
  <c r="D10" i="23"/>
  <c r="D9" i="23" s="1"/>
  <c r="I128" i="24"/>
  <c r="I120" i="24"/>
  <c r="I114" i="24"/>
  <c r="I110" i="24"/>
  <c r="I104" i="24"/>
  <c r="I95" i="24"/>
  <c r="I98" i="24"/>
  <c r="I76" i="24"/>
  <c r="I45" i="24"/>
  <c r="I168" i="24"/>
  <c r="F168" i="24"/>
  <c r="E168" i="24"/>
  <c r="D168" i="24"/>
  <c r="C168" i="24"/>
  <c r="E174" i="24"/>
  <c r="E172" i="24"/>
  <c r="D174" i="24"/>
  <c r="C32" i="12" s="1"/>
  <c r="D172" i="24"/>
  <c r="K172" i="24"/>
  <c r="J172" i="24"/>
  <c r="I172" i="24"/>
  <c r="G172" i="24"/>
  <c r="F172" i="24"/>
  <c r="C172" i="24"/>
  <c r="D162" i="24"/>
  <c r="D160" i="24"/>
  <c r="D114" i="24"/>
  <c r="D110" i="24"/>
  <c r="D104" i="24"/>
  <c r="D98" i="24"/>
  <c r="D95" i="24"/>
  <c r="E73" i="24"/>
  <c r="E45" i="24"/>
  <c r="D73" i="24"/>
  <c r="D67" i="24"/>
  <c r="D58" i="24"/>
  <c r="D55" i="24"/>
  <c r="C73" i="24"/>
  <c r="C45" i="24"/>
  <c r="C55" i="24"/>
  <c r="C58" i="24"/>
  <c r="C62" i="24"/>
  <c r="C67" i="24"/>
  <c r="C76" i="24"/>
  <c r="D43" i="24"/>
  <c r="D38" i="24" s="1"/>
  <c r="C28" i="12" l="1"/>
  <c r="C22" i="12" s="1"/>
  <c r="G21" i="15"/>
  <c r="E21" i="18" s="1"/>
  <c r="C43" i="12"/>
  <c r="D30" i="18"/>
  <c r="D94" i="24"/>
  <c r="C41" i="12"/>
  <c r="D26" i="18"/>
  <c r="C40" i="11"/>
  <c r="C18" i="12"/>
  <c r="B39" i="12"/>
  <c r="B16" i="11"/>
  <c r="B13" i="11" s="1"/>
  <c r="B30" i="10"/>
  <c r="B26" i="10" s="1"/>
  <c r="C36" i="8"/>
  <c r="C34" i="8" s="1"/>
  <c r="B13" i="18" s="1"/>
  <c r="B24" i="11"/>
  <c r="B22" i="11" s="1"/>
  <c r="B30" i="11" s="1"/>
  <c r="C13" i="8"/>
  <c r="C19" i="23"/>
  <c r="D19" i="23"/>
  <c r="H60" i="23"/>
  <c r="N11" i="23"/>
  <c r="J11" i="23"/>
  <c r="N10" i="23"/>
  <c r="I9" i="15"/>
  <c r="J13" i="24"/>
  <c r="H94" i="24"/>
  <c r="G17" i="12" s="1"/>
  <c r="H37" i="24"/>
  <c r="G16" i="12" s="1"/>
  <c r="G39" i="12"/>
  <c r="G36" i="12" s="1"/>
  <c r="G40" i="60"/>
  <c r="H159" i="24"/>
  <c r="G20" i="12" s="1"/>
  <c r="H11" i="24"/>
  <c r="D29" i="24"/>
  <c r="D16" i="24"/>
  <c r="G20" i="24"/>
  <c r="I20" i="24" s="1"/>
  <c r="G17" i="24"/>
  <c r="C16" i="24"/>
  <c r="C39" i="11" l="1"/>
  <c r="C17" i="12"/>
  <c r="C11" i="8"/>
  <c r="G15" i="12"/>
  <c r="G13" i="12" s="1"/>
  <c r="G11" i="12" s="1"/>
  <c r="G9" i="12" s="1"/>
  <c r="H182" i="24"/>
  <c r="D11" i="24"/>
  <c r="D15" i="8"/>
  <c r="D17" i="8"/>
  <c r="D23" i="8"/>
  <c r="D21" i="8" s="1"/>
  <c r="D26" i="8"/>
  <c r="D31" i="8"/>
  <c r="D38" i="8"/>
  <c r="D37" i="8" s="1"/>
  <c r="C30" i="10" s="1"/>
  <c r="D42" i="8"/>
  <c r="D45" i="8"/>
  <c r="C9" i="8" l="1"/>
  <c r="B11" i="18"/>
  <c r="C37" i="11"/>
  <c r="C15" i="12"/>
  <c r="D41" i="8"/>
  <c r="D40" i="8" s="1"/>
  <c r="D36" i="8"/>
  <c r="D13" i="8"/>
  <c r="D11" i="8" s="1"/>
  <c r="D11" i="18" s="1"/>
  <c r="D34" i="8" l="1"/>
  <c r="D13" i="18" s="1"/>
  <c r="D9" i="18" s="1"/>
  <c r="L164" i="24"/>
  <c r="C162" i="24"/>
  <c r="F120" i="24"/>
  <c r="E98" i="24"/>
  <c r="G117" i="24"/>
  <c r="L117" i="24" s="1"/>
  <c r="I83" i="24"/>
  <c r="F42" i="8"/>
  <c r="F41" i="8" s="1"/>
  <c r="D9" i="8" l="1"/>
  <c r="K117" i="24"/>
  <c r="J117" i="24"/>
  <c r="G18" i="8" l="1"/>
  <c r="D10" i="10" l="1"/>
  <c r="D13" i="10"/>
  <c r="B23" i="18" l="1"/>
  <c r="B22" i="18"/>
  <c r="E22" i="18"/>
  <c r="E20" i="18"/>
  <c r="C55" i="23"/>
  <c r="C30" i="23"/>
  <c r="D34" i="23"/>
  <c r="B30" i="18" l="1"/>
  <c r="F11" i="15"/>
  <c r="C9" i="18"/>
  <c r="C18" i="18"/>
  <c r="C25" i="18"/>
  <c r="G102" i="24"/>
  <c r="L102" i="24" s="1"/>
  <c r="G23" i="24"/>
  <c r="G18" i="24"/>
  <c r="I18" i="24" s="1"/>
  <c r="F67" i="24"/>
  <c r="I67" i="24"/>
  <c r="E67" i="24"/>
  <c r="C16" i="18" l="1"/>
  <c r="J19" i="15" l="1"/>
  <c r="G39" i="8"/>
  <c r="G46" i="23" l="1"/>
  <c r="G46" i="24" l="1"/>
  <c r="G25" i="8" l="1"/>
  <c r="G43" i="8"/>
  <c r="G32" i="8"/>
  <c r="G29" i="8"/>
  <c r="G27" i="8"/>
  <c r="E23" i="18" l="1"/>
  <c r="F19" i="60" l="1"/>
  <c r="F25" i="60"/>
  <c r="F33" i="60"/>
  <c r="F34" i="60"/>
  <c r="F31" i="60" l="1"/>
  <c r="F8" i="60"/>
  <c r="E26" i="18" s="1"/>
  <c r="F55" i="24" l="1"/>
  <c r="G63" i="24"/>
  <c r="E55" i="24" l="1"/>
  <c r="G54" i="24"/>
  <c r="I27" i="24"/>
  <c r="K25" i="60" l="1"/>
  <c r="F40" i="8" l="1"/>
  <c r="G42" i="8" l="1"/>
  <c r="G41" i="8" s="1"/>
  <c r="I19" i="23"/>
  <c r="I55" i="23"/>
  <c r="G43" i="23"/>
  <c r="G42" i="23"/>
  <c r="E144" i="24"/>
  <c r="K29" i="15" l="1"/>
  <c r="F26" i="8"/>
  <c r="F38" i="8"/>
  <c r="F37" i="8" s="1"/>
  <c r="F36" i="8" s="1"/>
  <c r="F34" i="8" s="1"/>
  <c r="F31" i="8"/>
  <c r="G31" i="8" s="1"/>
  <c r="G26" i="8" l="1"/>
  <c r="G19" i="11" s="1"/>
  <c r="G38" i="8"/>
  <c r="G37" i="8" s="1"/>
  <c r="G27" i="11" s="1"/>
  <c r="H39" i="8"/>
  <c r="H38" i="8" s="1"/>
  <c r="H37" i="8" s="1"/>
  <c r="H36" i="8" s="1"/>
  <c r="E38" i="8"/>
  <c r="E41" i="23"/>
  <c r="G30" i="10" l="1"/>
  <c r="G36" i="8"/>
  <c r="F21" i="15"/>
  <c r="G95" i="24" l="1"/>
  <c r="G96" i="24" l="1"/>
  <c r="L96" i="24" s="1"/>
  <c r="E83" i="24"/>
  <c r="F83" i="24"/>
  <c r="J91" i="24"/>
  <c r="G52" i="24"/>
  <c r="J52" i="24" l="1"/>
  <c r="I43" i="8" l="1"/>
  <c r="E37" i="8"/>
  <c r="G40" i="8"/>
  <c r="G34" i="8" s="1"/>
  <c r="E13" i="18" l="1"/>
  <c r="E36" i="8"/>
  <c r="E42" i="8"/>
  <c r="I25" i="8"/>
  <c r="H25" i="8"/>
  <c r="G23" i="8"/>
  <c r="G21" i="8" s="1"/>
  <c r="F23" i="8"/>
  <c r="E23" i="8"/>
  <c r="E21" i="8" s="1"/>
  <c r="I42" i="8" l="1"/>
  <c r="E41" i="8"/>
  <c r="F21" i="8"/>
  <c r="E17" i="8"/>
  <c r="E15" i="8" s="1"/>
  <c r="E40" i="8" l="1"/>
  <c r="E34" i="8" s="1"/>
  <c r="H34" i="8" s="1"/>
  <c r="F17" i="8"/>
  <c r="G17" i="8" l="1"/>
  <c r="G15" i="8" s="1"/>
  <c r="F47" i="8"/>
  <c r="D46" i="23" l="1"/>
  <c r="J26" i="23"/>
  <c r="F19" i="23"/>
  <c r="G28" i="23"/>
  <c r="G27" i="23"/>
  <c r="N27" i="23" s="1"/>
  <c r="F45" i="24" l="1"/>
  <c r="G45" i="24" s="1"/>
  <c r="I12" i="24"/>
  <c r="H8" i="60" l="1"/>
  <c r="E26" i="8" l="1"/>
  <c r="F15" i="8" l="1"/>
  <c r="F13" i="8" s="1"/>
  <c r="G47" i="23"/>
  <c r="G13" i="8" l="1"/>
  <c r="G108" i="24"/>
  <c r="F104" i="24"/>
  <c r="G104" i="24" s="1"/>
  <c r="L151" i="24" l="1"/>
  <c r="G16" i="11"/>
  <c r="G11" i="8"/>
  <c r="E11" i="18" s="1"/>
  <c r="E58" i="24"/>
  <c r="E9" i="18" l="1"/>
  <c r="G10" i="10"/>
  <c r="I41" i="23" l="1"/>
  <c r="F55" i="23"/>
  <c r="I52" i="23"/>
  <c r="F52" i="23"/>
  <c r="G57" i="23"/>
  <c r="J57" i="23" s="1"/>
  <c r="G53" i="23"/>
  <c r="N53" i="23" s="1"/>
  <c r="G49" i="23"/>
  <c r="G48" i="23"/>
  <c r="G45" i="23"/>
  <c r="G44" i="23"/>
  <c r="N44" i="23" s="1"/>
  <c r="G35" i="23"/>
  <c r="G25" i="23"/>
  <c r="N25" i="23" s="1"/>
  <c r="G55" i="23" l="1"/>
  <c r="N57" i="23"/>
  <c r="G52" i="23"/>
  <c r="I34" i="60"/>
  <c r="I33" i="60"/>
  <c r="G84" i="24"/>
  <c r="L88" i="24" l="1"/>
  <c r="F45" i="8" l="1"/>
  <c r="G45" i="8" s="1"/>
  <c r="I25" i="60" l="1"/>
  <c r="C25" i="60"/>
  <c r="J25" i="60" s="1"/>
  <c r="H16" i="60"/>
  <c r="E8" i="60"/>
  <c r="C16" i="60" l="1"/>
  <c r="H40" i="60"/>
  <c r="E30" i="18"/>
  <c r="E41" i="12"/>
  <c r="H43" i="12"/>
  <c r="E43" i="12"/>
  <c r="D40" i="60"/>
  <c r="B28" i="18"/>
  <c r="B26" i="18"/>
  <c r="B40" i="60"/>
  <c r="F11" i="8"/>
  <c r="F9" i="8" s="1"/>
  <c r="G9" i="8" s="1"/>
  <c r="D43" i="12"/>
  <c r="H42" i="12"/>
  <c r="H39" i="12" s="1"/>
  <c r="D42" i="12"/>
  <c r="D41" i="12"/>
  <c r="I30" i="23"/>
  <c r="G19" i="23"/>
  <c r="N19" i="23" s="1"/>
  <c r="C42" i="12" l="1"/>
  <c r="D28" i="18"/>
  <c r="D25" i="18" s="1"/>
  <c r="B36" i="12"/>
  <c r="B46" i="11"/>
  <c r="B44" i="11" s="1"/>
  <c r="B21" i="10"/>
  <c r="B19" i="10" s="1"/>
  <c r="F21" i="10"/>
  <c r="D21" i="10"/>
  <c r="B25" i="18"/>
  <c r="C40" i="60"/>
  <c r="C46" i="11" s="1"/>
  <c r="F46" i="11"/>
  <c r="I157" i="24"/>
  <c r="I144" i="24"/>
  <c r="I94" i="24" s="1"/>
  <c r="H17" i="12" s="1"/>
  <c r="E134" i="24"/>
  <c r="I62" i="24"/>
  <c r="G92" i="24"/>
  <c r="G90" i="24"/>
  <c r="G51" i="24"/>
  <c r="I38" i="24"/>
  <c r="E16" i="24"/>
  <c r="D46" i="11" l="1"/>
  <c r="C21" i="10"/>
  <c r="J51" i="24"/>
  <c r="K51" i="24"/>
  <c r="L89" i="24"/>
  <c r="L51" i="24"/>
  <c r="E30" i="23" l="1"/>
  <c r="F41" i="23"/>
  <c r="G41" i="23" s="1"/>
  <c r="F30" i="23"/>
  <c r="D35" i="23"/>
  <c r="D28" i="23"/>
  <c r="M28" i="23" s="1"/>
  <c r="M26" i="23"/>
  <c r="G30" i="23" l="1"/>
  <c r="E104" i="24"/>
  <c r="L104" i="24" s="1"/>
  <c r="F98" i="24"/>
  <c r="G181" i="24"/>
  <c r="I155" i="24"/>
  <c r="L148" i="24"/>
  <c r="G111" i="24"/>
  <c r="E95" i="24"/>
  <c r="I29" i="24"/>
  <c r="J148" i="24" l="1"/>
  <c r="J86" i="24"/>
  <c r="K148" i="24"/>
  <c r="L60" i="23" l="1"/>
  <c r="K60" i="23"/>
  <c r="K58" i="23" s="1"/>
  <c r="K57" i="23" s="1"/>
  <c r="K56" i="23" s="1"/>
  <c r="K55" i="23" s="1"/>
  <c r="K53" i="23" s="1"/>
  <c r="K52" i="23" s="1"/>
  <c r="K50" i="23" s="1"/>
  <c r="K49" i="23" s="1"/>
  <c r="K48" i="23" s="1"/>
  <c r="K47" i="23" s="1"/>
  <c r="K46" i="23" s="1"/>
  <c r="K45" i="23" s="1"/>
  <c r="K44" i="23" s="1"/>
  <c r="K43" i="23" s="1"/>
  <c r="K42" i="23" s="1"/>
  <c r="K41" i="23" s="1"/>
  <c r="K39" i="23" s="1"/>
  <c r="K38" i="23" s="1"/>
  <c r="K37" i="23" s="1"/>
  <c r="K36" i="23" s="1"/>
  <c r="K35" i="23" s="1"/>
  <c r="K34" i="23" s="1"/>
  <c r="K33" i="23" s="1"/>
  <c r="K32" i="23" s="1"/>
  <c r="K31" i="23" s="1"/>
  <c r="K30" i="23" s="1"/>
  <c r="K27" i="23" s="1"/>
  <c r="K25" i="23" s="1"/>
  <c r="K23" i="23" s="1"/>
  <c r="K19" i="23" s="1"/>
  <c r="K13" i="23" s="1"/>
  <c r="K12" i="23" s="1"/>
  <c r="K11" i="23" s="1"/>
  <c r="K10" i="23" s="1"/>
  <c r="L58" i="23"/>
  <c r="J58" i="23"/>
  <c r="L57" i="23"/>
  <c r="L56" i="23"/>
  <c r="L55" i="23"/>
  <c r="L53" i="23"/>
  <c r="J53" i="23"/>
  <c r="L52" i="23"/>
  <c r="L50" i="23"/>
  <c r="J50" i="23"/>
  <c r="L49" i="23"/>
  <c r="J49" i="23"/>
  <c r="L48" i="23"/>
  <c r="J48" i="23"/>
  <c r="M47" i="23"/>
  <c r="L47" i="23"/>
  <c r="J47" i="23"/>
  <c r="M46" i="23"/>
  <c r="L46" i="23"/>
  <c r="J46" i="23"/>
  <c r="M45" i="23"/>
  <c r="L45" i="23"/>
  <c r="J45" i="23"/>
  <c r="L44" i="23"/>
  <c r="J44" i="23"/>
  <c r="L43" i="23"/>
  <c r="J43" i="23"/>
  <c r="M42" i="23"/>
  <c r="L42" i="23"/>
  <c r="J42" i="23"/>
  <c r="L41" i="23"/>
  <c r="L39" i="23"/>
  <c r="M38" i="23"/>
  <c r="L38" i="23"/>
  <c r="J38" i="23"/>
  <c r="M37" i="23"/>
  <c r="L37" i="23"/>
  <c r="J37" i="23"/>
  <c r="M36" i="23"/>
  <c r="L36" i="23"/>
  <c r="J36" i="23"/>
  <c r="M35" i="23"/>
  <c r="L35" i="23"/>
  <c r="J35" i="23"/>
  <c r="M34" i="23"/>
  <c r="L34" i="23"/>
  <c r="L33" i="23"/>
  <c r="J33" i="23"/>
  <c r="M32" i="23"/>
  <c r="L32" i="23"/>
  <c r="J32" i="23"/>
  <c r="M31" i="23"/>
  <c r="L31" i="23"/>
  <c r="J31" i="23"/>
  <c r="L30" i="23"/>
  <c r="L27" i="23"/>
  <c r="J27" i="23"/>
  <c r="L25" i="23"/>
  <c r="L23" i="23"/>
  <c r="J23" i="23"/>
  <c r="L19" i="23"/>
  <c r="L13" i="23"/>
  <c r="J13" i="23"/>
  <c r="L12" i="23"/>
  <c r="L11" i="23"/>
  <c r="L10" i="23"/>
  <c r="N49" i="23"/>
  <c r="N48" i="23"/>
  <c r="E55" i="23"/>
  <c r="N55" i="23" s="1"/>
  <c r="E52" i="23"/>
  <c r="C41" i="23"/>
  <c r="I9" i="23"/>
  <c r="I60" i="23" s="1"/>
  <c r="F9" i="23"/>
  <c r="M58" i="23"/>
  <c r="M57" i="23"/>
  <c r="D56" i="23"/>
  <c r="M56" i="23" s="1"/>
  <c r="D52" i="23"/>
  <c r="M52" i="23" s="1"/>
  <c r="M50" i="23"/>
  <c r="M49" i="23"/>
  <c r="M48" i="23"/>
  <c r="M44" i="23"/>
  <c r="D43" i="23"/>
  <c r="J30" i="23"/>
  <c r="D33" i="23"/>
  <c r="M27" i="23"/>
  <c r="M23" i="23"/>
  <c r="M13" i="23"/>
  <c r="M12" i="23"/>
  <c r="E9" i="23"/>
  <c r="K27" i="15"/>
  <c r="K23" i="15"/>
  <c r="K19" i="15"/>
  <c r="D15" i="15"/>
  <c r="D11" i="15" s="1"/>
  <c r="D19" i="18" s="1"/>
  <c r="M33" i="23" l="1"/>
  <c r="D30" i="23"/>
  <c r="M43" i="23"/>
  <c r="D41" i="23"/>
  <c r="J52" i="23"/>
  <c r="N52" i="23"/>
  <c r="F60" i="23"/>
  <c r="J41" i="23"/>
  <c r="N41" i="23"/>
  <c r="M41" i="23"/>
  <c r="M19" i="23"/>
  <c r="J19" i="23"/>
  <c r="J55" i="23"/>
  <c r="E60" i="23"/>
  <c r="M11" i="23"/>
  <c r="M53" i="23"/>
  <c r="D55" i="23"/>
  <c r="M55" i="23" s="1"/>
  <c r="G83" i="24" l="1"/>
  <c r="D84" i="24"/>
  <c r="D83" i="24" s="1"/>
  <c r="D37" i="24" s="1"/>
  <c r="K86" i="24"/>
  <c r="C16" i="12" l="1"/>
  <c r="C38" i="11"/>
  <c r="C36" i="11" s="1"/>
  <c r="L83" i="24"/>
  <c r="C19" i="10" l="1"/>
  <c r="C39" i="12" l="1"/>
  <c r="C36" i="12" s="1"/>
  <c r="C44" i="11" l="1"/>
  <c r="D17" i="11" l="1"/>
  <c r="D24" i="11"/>
  <c r="D19" i="11"/>
  <c r="D20" i="11"/>
  <c r="D27" i="11"/>
  <c r="D30" i="10"/>
  <c r="J181" i="24" l="1"/>
  <c r="L85" i="24"/>
  <c r="C83" i="24"/>
  <c r="G177" i="24"/>
  <c r="G176" i="24"/>
  <c r="G175" i="24"/>
  <c r="G170" i="24"/>
  <c r="G169" i="24"/>
  <c r="G167" i="24"/>
  <c r="G166" i="24"/>
  <c r="L166" i="24" s="1"/>
  <c r="G165" i="24"/>
  <c r="L165" i="24" s="1"/>
  <c r="G163" i="24"/>
  <c r="G161" i="24"/>
  <c r="G156" i="24"/>
  <c r="G143" i="24"/>
  <c r="G142" i="24"/>
  <c r="G141" i="24"/>
  <c r="G140" i="24"/>
  <c r="G139" i="24"/>
  <c r="G138" i="24"/>
  <c r="G137" i="24"/>
  <c r="G136" i="24"/>
  <c r="G135" i="24"/>
  <c r="G132" i="24"/>
  <c r="G131" i="24"/>
  <c r="G130" i="24"/>
  <c r="G129" i="24"/>
  <c r="G127" i="24"/>
  <c r="G126" i="24"/>
  <c r="G125" i="24"/>
  <c r="G124" i="24"/>
  <c r="G123" i="24"/>
  <c r="G122" i="24"/>
  <c r="G121" i="24"/>
  <c r="G119" i="24"/>
  <c r="G118" i="24"/>
  <c r="G116" i="24"/>
  <c r="G115" i="24"/>
  <c r="G113" i="24"/>
  <c r="G112" i="24"/>
  <c r="G109" i="24"/>
  <c r="G107" i="24"/>
  <c r="G106" i="24"/>
  <c r="L106" i="24" s="1"/>
  <c r="G105" i="24"/>
  <c r="L105" i="24" s="1"/>
  <c r="G103" i="24"/>
  <c r="L103" i="24" s="1"/>
  <c r="G101" i="24"/>
  <c r="L101" i="24" s="1"/>
  <c r="G100" i="24"/>
  <c r="L100" i="24" s="1"/>
  <c r="G99" i="24"/>
  <c r="L99" i="24" s="1"/>
  <c r="G97" i="24"/>
  <c r="L97" i="24" s="1"/>
  <c r="G82" i="24"/>
  <c r="G80" i="24"/>
  <c r="G79" i="24"/>
  <c r="G78" i="24"/>
  <c r="G77" i="24"/>
  <c r="G75" i="24"/>
  <c r="G72" i="24"/>
  <c r="G71" i="24"/>
  <c r="G70" i="24"/>
  <c r="G69" i="24"/>
  <c r="G66" i="24"/>
  <c r="G65" i="24"/>
  <c r="K65" i="24" s="1"/>
  <c r="L63" i="24"/>
  <c r="G61" i="24"/>
  <c r="G60" i="24"/>
  <c r="G59" i="24"/>
  <c r="L59" i="24" s="1"/>
  <c r="G57" i="24"/>
  <c r="G56" i="24"/>
  <c r="G50" i="24"/>
  <c r="G49" i="24"/>
  <c r="G48" i="24"/>
  <c r="G47" i="24"/>
  <c r="G44" i="24"/>
  <c r="G43" i="24"/>
  <c r="G42" i="24"/>
  <c r="G41" i="24"/>
  <c r="G40" i="24"/>
  <c r="G39" i="24"/>
  <c r="G168" i="24" l="1"/>
  <c r="L175" i="24"/>
  <c r="L177" i="24"/>
  <c r="L170" i="24"/>
  <c r="L70" i="24"/>
  <c r="L40" i="24"/>
  <c r="L44" i="24"/>
  <c r="L57" i="24"/>
  <c r="L75" i="24"/>
  <c r="L46" i="24"/>
  <c r="L41" i="24"/>
  <c r="L54" i="24"/>
  <c r="L60" i="24"/>
  <c r="L71" i="24"/>
  <c r="L39" i="24"/>
  <c r="L48" i="24"/>
  <c r="L56" i="24"/>
  <c r="L61" i="24"/>
  <c r="J142" i="24"/>
  <c r="L72" i="24"/>
  <c r="L78" i="24"/>
  <c r="L50" i="24"/>
  <c r="L49" i="24"/>
  <c r="L47" i="24"/>
  <c r="J85" i="24"/>
  <c r="K89" i="24"/>
  <c r="K85" i="24"/>
  <c r="J89" i="24"/>
  <c r="G28" i="15"/>
  <c r="G24" i="15"/>
  <c r="G16" i="15"/>
  <c r="G11" i="15" s="1"/>
  <c r="E19" i="18" s="1"/>
  <c r="E18" i="18" s="1"/>
  <c r="G26" i="15"/>
  <c r="J83" i="24" l="1"/>
  <c r="K83" i="24"/>
  <c r="G46" i="8" l="1"/>
  <c r="G33" i="8"/>
  <c r="G30" i="8"/>
  <c r="G24" i="8"/>
  <c r="G22" i="8"/>
  <c r="J28" i="15" l="1"/>
  <c r="J26" i="15"/>
  <c r="G22" i="15"/>
  <c r="J22" i="15" s="1"/>
  <c r="G20" i="15"/>
  <c r="J20" i="15" s="1"/>
  <c r="J16" i="15"/>
  <c r="F9" i="15" l="1"/>
  <c r="G9" i="15" s="1"/>
  <c r="D28" i="24" l="1"/>
  <c r="D27" i="24" l="1"/>
  <c r="E45" i="8"/>
  <c r="D26" i="11" l="1"/>
  <c r="C27" i="11"/>
  <c r="C26" i="11" s="1"/>
  <c r="G9" i="23" l="1"/>
  <c r="N9" i="23" s="1"/>
  <c r="M10" i="23"/>
  <c r="J10" i="23"/>
  <c r="G60" i="23" l="1"/>
  <c r="J9" i="23"/>
  <c r="N60" i="23" l="1"/>
  <c r="J60" i="23"/>
  <c r="G35" i="24"/>
  <c r="G33" i="24"/>
  <c r="G32" i="24"/>
  <c r="G31" i="24"/>
  <c r="G30" i="24"/>
  <c r="G28" i="24"/>
  <c r="K28" i="24" l="1"/>
  <c r="J156" i="24" l="1"/>
  <c r="J139" i="24"/>
  <c r="J137" i="24"/>
  <c r="J133" i="24"/>
  <c r="J132" i="24"/>
  <c r="J127" i="24"/>
  <c r="J125" i="24"/>
  <c r="J124" i="24"/>
  <c r="J123" i="24"/>
  <c r="J122" i="24"/>
  <c r="J42" i="24"/>
  <c r="J28" i="24"/>
  <c r="C11" i="15" l="1"/>
  <c r="B19" i="18" s="1"/>
  <c r="E11" i="15"/>
  <c r="C21" i="15"/>
  <c r="B21" i="18" s="1"/>
  <c r="D21" i="15"/>
  <c r="D21" i="18" s="1"/>
  <c r="D18" i="18" s="1"/>
  <c r="E21" i="15"/>
  <c r="K26" i="15"/>
  <c r="C9" i="15" l="1"/>
  <c r="D9" i="15" s="1"/>
  <c r="K21" i="15"/>
  <c r="B18" i="18"/>
  <c r="K9" i="15"/>
  <c r="E9" i="15"/>
  <c r="J9" i="15" s="1"/>
  <c r="D16" i="18" l="1"/>
  <c r="B16" i="18"/>
  <c r="J113" i="24"/>
  <c r="J112" i="24"/>
  <c r="J111" i="24"/>
  <c r="J109" i="24"/>
  <c r="J108" i="24"/>
  <c r="J107" i="24"/>
  <c r="J105" i="24"/>
  <c r="J102" i="24"/>
  <c r="J101" i="24"/>
  <c r="J100" i="24"/>
  <c r="J99" i="24"/>
  <c r="J97" i="24"/>
  <c r="E120" i="24"/>
  <c r="J96" i="24" l="1"/>
  <c r="G120" i="24" l="1"/>
  <c r="J135" i="24"/>
  <c r="J72" i="24"/>
  <c r="J63" i="24"/>
  <c r="J44" i="24"/>
  <c r="J43" i="24"/>
  <c r="J39" i="24"/>
  <c r="J32" i="24"/>
  <c r="G21" i="24"/>
  <c r="K20" i="24"/>
  <c r="G179" i="24"/>
  <c r="J177" i="24"/>
  <c r="J175" i="24"/>
  <c r="J167" i="24"/>
  <c r="J166" i="24"/>
  <c r="J165" i="24"/>
  <c r="J164" i="24"/>
  <c r="J163" i="24"/>
  <c r="G158" i="24"/>
  <c r="G153" i="24"/>
  <c r="L145" i="24"/>
  <c r="J143" i="24"/>
  <c r="J141" i="24"/>
  <c r="J140" i="24"/>
  <c r="J138" i="24"/>
  <c r="J136" i="24"/>
  <c r="J131" i="24"/>
  <c r="J130" i="24"/>
  <c r="J129" i="24"/>
  <c r="J121" i="24"/>
  <c r="J119" i="24"/>
  <c r="J118" i="24"/>
  <c r="J116" i="24"/>
  <c r="J115" i="24"/>
  <c r="J82" i="24"/>
  <c r="J81" i="24"/>
  <c r="J80" i="24"/>
  <c r="J79" i="24"/>
  <c r="J78" i="24"/>
  <c r="J77" i="24"/>
  <c r="J75" i="24"/>
  <c r="J71" i="24"/>
  <c r="J70" i="24"/>
  <c r="J69" i="24"/>
  <c r="J66" i="24"/>
  <c r="J64" i="24"/>
  <c r="J61" i="24"/>
  <c r="J60" i="24"/>
  <c r="J59" i="24"/>
  <c r="J57" i="24"/>
  <c r="J56" i="24"/>
  <c r="J54" i="24"/>
  <c r="J50" i="24"/>
  <c r="J49" i="24"/>
  <c r="J48" i="24"/>
  <c r="J47" i="24"/>
  <c r="J46" i="24"/>
  <c r="J40" i="24"/>
  <c r="J35" i="24"/>
  <c r="J33" i="24"/>
  <c r="J31" i="24"/>
  <c r="J30" i="24"/>
  <c r="G26" i="24"/>
  <c r="G25" i="24"/>
  <c r="G24" i="24"/>
  <c r="J18" i="24"/>
  <c r="G22" i="24" l="1"/>
  <c r="K13" i="24"/>
  <c r="L153" i="24"/>
  <c r="L150" i="24"/>
  <c r="L146" i="24"/>
  <c r="L152" i="24"/>
  <c r="L147" i="24"/>
  <c r="L149" i="24"/>
  <c r="J179" i="24"/>
  <c r="J145" i="24"/>
  <c r="J26" i="24"/>
  <c r="J24" i="24"/>
  <c r="J23" i="24"/>
  <c r="J17" i="24"/>
  <c r="J146" i="24"/>
  <c r="J151" i="24"/>
  <c r="J147" i="24"/>
  <c r="J152" i="24"/>
  <c r="J149" i="24"/>
  <c r="J153" i="24"/>
  <c r="J150" i="24"/>
  <c r="J14" i="24"/>
  <c r="J20" i="24"/>
  <c r="J15" i="24"/>
  <c r="J169" i="24"/>
  <c r="G157" i="24"/>
  <c r="J158" i="24"/>
  <c r="J170" i="24"/>
  <c r="G160" i="24"/>
  <c r="J161" i="24"/>
  <c r="J21" i="24"/>
  <c r="J41" i="24"/>
  <c r="G12" i="24"/>
  <c r="G16" i="24" l="1"/>
  <c r="J120" i="24"/>
  <c r="J19" i="24"/>
  <c r="J95" i="24" l="1"/>
  <c r="G67" i="24" l="1"/>
  <c r="L67" i="24" l="1"/>
  <c r="E62" i="24"/>
  <c r="F58" i="24"/>
  <c r="G58" i="24" l="1"/>
  <c r="F62" i="24" l="1"/>
  <c r="G62" i="24" l="1"/>
  <c r="K66" i="24"/>
  <c r="L62" i="24" l="1"/>
  <c r="J62" i="24"/>
  <c r="E162" i="24"/>
  <c r="E157" i="24"/>
  <c r="J157" i="24" l="1"/>
  <c r="E38" i="24"/>
  <c r="K27" i="24" l="1"/>
  <c r="C27" i="24"/>
  <c r="G27" i="24" l="1"/>
  <c r="J27" i="24" l="1"/>
  <c r="E160" i="24"/>
  <c r="E155" i="24"/>
  <c r="E114" i="24"/>
  <c r="E110" i="24"/>
  <c r="F134" i="24"/>
  <c r="E128" i="24"/>
  <c r="F128" i="24"/>
  <c r="F110" i="24"/>
  <c r="E76" i="24"/>
  <c r="F76" i="24"/>
  <c r="E29" i="24"/>
  <c r="E22" i="24"/>
  <c r="E12" i="24"/>
  <c r="J12" i="24" s="1"/>
  <c r="E159" i="24" l="1"/>
  <c r="F15" i="10" s="1"/>
  <c r="D28" i="12"/>
  <c r="D22" i="12" s="1"/>
  <c r="E94" i="24"/>
  <c r="L58" i="24"/>
  <c r="E37" i="24"/>
  <c r="E11" i="24"/>
  <c r="J58" i="24"/>
  <c r="G76" i="24"/>
  <c r="G110" i="24"/>
  <c r="G134" i="24"/>
  <c r="G128" i="24"/>
  <c r="G98" i="24"/>
  <c r="L98" i="24" s="1"/>
  <c r="J22" i="24"/>
  <c r="J16" i="24"/>
  <c r="J160" i="24"/>
  <c r="J67" i="24"/>
  <c r="E154" i="24"/>
  <c r="E182" i="24" l="1"/>
  <c r="L76" i="24"/>
  <c r="J110" i="24"/>
  <c r="J134" i="24"/>
  <c r="J104" i="24"/>
  <c r="J128" i="24"/>
  <c r="J76" i="24"/>
  <c r="J98" i="24"/>
  <c r="E31" i="8"/>
  <c r="E13" i="8" s="1"/>
  <c r="F12" i="10" l="1"/>
  <c r="F28" i="10"/>
  <c r="F26" i="10" s="1"/>
  <c r="I174" i="24"/>
  <c r="I178" i="24"/>
  <c r="H32" i="12" l="1"/>
  <c r="K164" i="24" l="1"/>
  <c r="K147" i="24" l="1"/>
  <c r="K150" i="24" l="1"/>
  <c r="F19" i="10" l="1"/>
  <c r="D44" i="11" l="1"/>
  <c r="E46" i="11"/>
  <c r="K146" i="24" l="1"/>
  <c r="C52" i="23" l="1"/>
  <c r="F24" i="11" l="1"/>
  <c r="C120" i="24" l="1"/>
  <c r="D32" i="12"/>
  <c r="F37" i="11" l="1"/>
  <c r="D15" i="12" l="1"/>
  <c r="F38" i="11"/>
  <c r="D16" i="12"/>
  <c r="F39" i="11"/>
  <c r="D17" i="12"/>
  <c r="F40" i="11"/>
  <c r="D18" i="12"/>
  <c r="D20" i="12"/>
  <c r="F42" i="11"/>
  <c r="D13" i="12" l="1"/>
  <c r="F174" i="24"/>
  <c r="F178" i="24"/>
  <c r="E32" i="12" l="1"/>
  <c r="G174" i="24"/>
  <c r="G178" i="24"/>
  <c r="L178" i="24" s="1"/>
  <c r="J174" i="24" l="1"/>
  <c r="L174" i="24"/>
  <c r="F32" i="12"/>
  <c r="J178" i="24"/>
  <c r="F27" i="11" l="1"/>
  <c r="E27" i="11"/>
  <c r="C20" i="11" l="1"/>
  <c r="H30" i="8"/>
  <c r="C19" i="11"/>
  <c r="H24" i="8"/>
  <c r="H22" i="8"/>
  <c r="C17" i="11"/>
  <c r="L107" i="24"/>
  <c r="L142" i="24"/>
  <c r="L139" i="24"/>
  <c r="L126" i="24"/>
  <c r="K41" i="24"/>
  <c r="K100" i="24"/>
  <c r="K96" i="24"/>
  <c r="C10" i="23"/>
  <c r="C9" i="23" s="1"/>
  <c r="L132" i="24"/>
  <c r="L122" i="24"/>
  <c r="C12" i="24"/>
  <c r="F12" i="24"/>
  <c r="F16" i="24"/>
  <c r="I16" i="24"/>
  <c r="C22" i="24"/>
  <c r="F22" i="24"/>
  <c r="I22" i="24"/>
  <c r="K23" i="24"/>
  <c r="K24" i="24"/>
  <c r="F29" i="24"/>
  <c r="K35" i="24"/>
  <c r="C38" i="24"/>
  <c r="C37" i="24" s="1"/>
  <c r="F38" i="24"/>
  <c r="I55" i="24"/>
  <c r="K56" i="24"/>
  <c r="K57" i="24"/>
  <c r="I58" i="24"/>
  <c r="K59" i="24"/>
  <c r="K63" i="24"/>
  <c r="F73" i="24"/>
  <c r="C95" i="24"/>
  <c r="C98" i="24"/>
  <c r="C104" i="24"/>
  <c r="L108" i="24"/>
  <c r="C110" i="24"/>
  <c r="C114" i="24"/>
  <c r="F114" i="24"/>
  <c r="G114" i="24" s="1"/>
  <c r="K119" i="24"/>
  <c r="K122" i="24"/>
  <c r="K124" i="24"/>
  <c r="K125" i="24"/>
  <c r="K126" i="24"/>
  <c r="K127" i="24"/>
  <c r="L127" i="24"/>
  <c r="C128" i="24"/>
  <c r="L130" i="24"/>
  <c r="K132" i="24"/>
  <c r="C134" i="24"/>
  <c r="K138" i="24"/>
  <c r="K140" i="24"/>
  <c r="K141" i="24"/>
  <c r="K142" i="24"/>
  <c r="L143" i="24"/>
  <c r="C144" i="24"/>
  <c r="F144" i="24"/>
  <c r="K149" i="24"/>
  <c r="K151" i="24"/>
  <c r="C155" i="24"/>
  <c r="F155" i="24"/>
  <c r="L156" i="24"/>
  <c r="C157" i="24"/>
  <c r="D157" i="24" s="1"/>
  <c r="F157" i="24"/>
  <c r="C160" i="24"/>
  <c r="F160" i="24"/>
  <c r="F159" i="24" s="1"/>
  <c r="I160" i="24"/>
  <c r="F162" i="24"/>
  <c r="I162" i="24"/>
  <c r="C174" i="24"/>
  <c r="B32" i="12" s="1"/>
  <c r="C178" i="24"/>
  <c r="D11" i="12"/>
  <c r="F30" i="12"/>
  <c r="F35" i="12"/>
  <c r="D39" i="12"/>
  <c r="D36" i="12" s="1"/>
  <c r="H36" i="12"/>
  <c r="H25" i="11"/>
  <c r="E26" i="11"/>
  <c r="F26" i="11"/>
  <c r="F36" i="11"/>
  <c r="F34" i="11" s="1"/>
  <c r="F44" i="11"/>
  <c r="H47" i="11"/>
  <c r="H49" i="11"/>
  <c r="L124" i="24"/>
  <c r="L25" i="24"/>
  <c r="L125" i="24"/>
  <c r="L119" i="24"/>
  <c r="B28" i="12" l="1"/>
  <c r="B22" i="12" s="1"/>
  <c r="I37" i="24"/>
  <c r="F11" i="24"/>
  <c r="B16" i="12"/>
  <c r="B38" i="11"/>
  <c r="M9" i="23"/>
  <c r="C60" i="23"/>
  <c r="H16" i="12"/>
  <c r="C159" i="24"/>
  <c r="I159" i="24"/>
  <c r="F37" i="24"/>
  <c r="G37" i="24" s="1"/>
  <c r="D159" i="24"/>
  <c r="C154" i="24"/>
  <c r="B40" i="11" s="1"/>
  <c r="K181" i="24"/>
  <c r="D11" i="10"/>
  <c r="C24" i="11"/>
  <c r="C22" i="11" s="1"/>
  <c r="C28" i="10"/>
  <c r="C26" i="10" s="1"/>
  <c r="E28" i="12"/>
  <c r="E22" i="12" s="1"/>
  <c r="I11" i="24"/>
  <c r="I182" i="24" s="1"/>
  <c r="G144" i="24"/>
  <c r="F94" i="24"/>
  <c r="H28" i="12"/>
  <c r="H22" i="12" s="1"/>
  <c r="F28" i="12"/>
  <c r="F22" i="12" s="1"/>
  <c r="D18" i="11"/>
  <c r="D16" i="11" s="1"/>
  <c r="D13" i="11" s="1"/>
  <c r="C18" i="11"/>
  <c r="C16" i="11" s="1"/>
  <c r="G11" i="24"/>
  <c r="J11" i="24" s="1"/>
  <c r="L45" i="24"/>
  <c r="G55" i="24"/>
  <c r="G155" i="24"/>
  <c r="L168" i="24"/>
  <c r="K143" i="24"/>
  <c r="G38" i="24"/>
  <c r="G162" i="24"/>
  <c r="G159" i="24" s="1"/>
  <c r="G42" i="11" s="1"/>
  <c r="G29" i="24"/>
  <c r="G73" i="24"/>
  <c r="F14" i="10"/>
  <c r="F22" i="11"/>
  <c r="D22" i="11"/>
  <c r="L111" i="24"/>
  <c r="L113" i="24"/>
  <c r="L20" i="24"/>
  <c r="L19" i="24"/>
  <c r="L17" i="24"/>
  <c r="E24" i="11"/>
  <c r="E22" i="11" s="1"/>
  <c r="D28" i="10"/>
  <c r="D26" i="10" s="1"/>
  <c r="I154" i="24"/>
  <c r="H18" i="12" s="1"/>
  <c r="K14" i="24"/>
  <c r="L14" i="24"/>
  <c r="L13" i="24"/>
  <c r="K97" i="24"/>
  <c r="K78" i="24"/>
  <c r="K109" i="24"/>
  <c r="K166" i="24"/>
  <c r="L109" i="24"/>
  <c r="K19" i="24"/>
  <c r="K179" i="24"/>
  <c r="K165" i="24"/>
  <c r="K18" i="24"/>
  <c r="K69" i="24"/>
  <c r="K82" i="24"/>
  <c r="F20" i="11"/>
  <c r="E20" i="11"/>
  <c r="F19" i="11"/>
  <c r="E19" i="11"/>
  <c r="F18" i="11"/>
  <c r="E18" i="11"/>
  <c r="F17" i="11"/>
  <c r="E17" i="11"/>
  <c r="C11" i="24"/>
  <c r="B15" i="12" s="1"/>
  <c r="F154" i="24"/>
  <c r="C94" i="24"/>
  <c r="B39" i="11" s="1"/>
  <c r="K79" i="24"/>
  <c r="K161" i="24"/>
  <c r="L121" i="24"/>
  <c r="K153" i="24"/>
  <c r="K145" i="24"/>
  <c r="K112" i="24"/>
  <c r="K39" i="24"/>
  <c r="K176" i="24"/>
  <c r="K156" i="24"/>
  <c r="L131" i="24"/>
  <c r="K131" i="24"/>
  <c r="K64" i="24"/>
  <c r="K118" i="24"/>
  <c r="K61" i="24"/>
  <c r="K170" i="24"/>
  <c r="K137" i="24"/>
  <c r="L137" i="24"/>
  <c r="K113" i="24"/>
  <c r="K105" i="24"/>
  <c r="K50" i="24"/>
  <c r="K25" i="24"/>
  <c r="L23" i="24"/>
  <c r="K177" i="24"/>
  <c r="L161" i="24"/>
  <c r="K130" i="24"/>
  <c r="L138" i="24"/>
  <c r="K152" i="24"/>
  <c r="K129" i="24"/>
  <c r="K102" i="24"/>
  <c r="K108" i="24"/>
  <c r="K101" i="24"/>
  <c r="K115" i="24"/>
  <c r="K31" i="24"/>
  <c r="K167" i="24"/>
  <c r="E11" i="8"/>
  <c r="F10" i="10" s="1"/>
  <c r="K81" i="24"/>
  <c r="K77" i="24"/>
  <c r="L136" i="24"/>
  <c r="K136" i="24"/>
  <c r="L128" i="24"/>
  <c r="K133" i="24"/>
  <c r="L133" i="24"/>
  <c r="K116" i="24"/>
  <c r="K111" i="24"/>
  <c r="K99" i="24"/>
  <c r="K75" i="24"/>
  <c r="K60" i="24"/>
  <c r="K49" i="24"/>
  <c r="K48" i="24"/>
  <c r="K47" i="24"/>
  <c r="K46" i="24"/>
  <c r="K43" i="24"/>
  <c r="K33" i="24"/>
  <c r="L24" i="24"/>
  <c r="L18" i="24"/>
  <c r="K158" i="24"/>
  <c r="K175" i="24"/>
  <c r="K169" i="24"/>
  <c r="K163" i="24"/>
  <c r="K139" i="24"/>
  <c r="K121" i="24"/>
  <c r="K107" i="24"/>
  <c r="K103" i="24"/>
  <c r="K54" i="24"/>
  <c r="K72" i="24"/>
  <c r="K80" i="24"/>
  <c r="K30" i="24"/>
  <c r="K15" i="24"/>
  <c r="K44" i="24"/>
  <c r="K32" i="24"/>
  <c r="L15" i="24"/>
  <c r="L26" i="24"/>
  <c r="K40" i="24"/>
  <c r="K26" i="24"/>
  <c r="K71" i="24"/>
  <c r="K106" i="24"/>
  <c r="L135" i="24"/>
  <c r="L123" i="24"/>
  <c r="K123" i="24"/>
  <c r="K70" i="24"/>
  <c r="K42" i="24"/>
  <c r="K17" i="24"/>
  <c r="K135" i="24"/>
  <c r="L112" i="24"/>
  <c r="C15" i="10" l="1"/>
  <c r="C42" i="11"/>
  <c r="C20" i="12"/>
  <c r="D182" i="24"/>
  <c r="C182" i="24"/>
  <c r="L144" i="24"/>
  <c r="G154" i="24"/>
  <c r="G40" i="11" s="1"/>
  <c r="I40" i="11" s="1"/>
  <c r="F182" i="24"/>
  <c r="B17" i="12"/>
  <c r="B42" i="11"/>
  <c r="B20" i="12"/>
  <c r="B15" i="10"/>
  <c r="D40" i="11"/>
  <c r="B18" i="12"/>
  <c r="B13" i="12" s="1"/>
  <c r="B37" i="11"/>
  <c r="B36" i="11" s="1"/>
  <c r="B34" i="11" s="1"/>
  <c r="B51" i="11" s="1"/>
  <c r="D37" i="11"/>
  <c r="E16" i="12"/>
  <c r="F15" i="12"/>
  <c r="C13" i="11"/>
  <c r="C30" i="11" s="1"/>
  <c r="E20" i="12"/>
  <c r="E18" i="12"/>
  <c r="E17" i="12"/>
  <c r="G94" i="24"/>
  <c r="H15" i="12"/>
  <c r="J162" i="24"/>
  <c r="J168" i="24"/>
  <c r="L73" i="24"/>
  <c r="L55" i="24"/>
  <c r="L38" i="24"/>
  <c r="E15" i="12"/>
  <c r="H20" i="12"/>
  <c r="J144" i="24"/>
  <c r="J55" i="24"/>
  <c r="D60" i="23"/>
  <c r="M60" i="23" s="1"/>
  <c r="M30" i="23"/>
  <c r="J114" i="24"/>
  <c r="L114" i="24"/>
  <c r="K55" i="24"/>
  <c r="J45" i="24"/>
  <c r="K155" i="24"/>
  <c r="L155" i="24"/>
  <c r="K178" i="24"/>
  <c r="J38" i="24"/>
  <c r="J155" i="24"/>
  <c r="G37" i="11"/>
  <c r="I37" i="11" s="1"/>
  <c r="J29" i="24"/>
  <c r="C34" i="11"/>
  <c r="C51" i="11" s="1"/>
  <c r="J73" i="24"/>
  <c r="D30" i="11"/>
  <c r="F16" i="11"/>
  <c r="F13" i="11" s="1"/>
  <c r="L162" i="24"/>
  <c r="L160" i="24"/>
  <c r="L12" i="24"/>
  <c r="L16" i="24"/>
  <c r="K22" i="24"/>
  <c r="K157" i="24"/>
  <c r="K144" i="24"/>
  <c r="K38" i="24"/>
  <c r="K160" i="24"/>
  <c r="K168" i="24"/>
  <c r="E16" i="11"/>
  <c r="E13" i="11" s="1"/>
  <c r="E30" i="11" s="1"/>
  <c r="E9" i="8"/>
  <c r="E40" i="11"/>
  <c r="K104" i="24"/>
  <c r="K174" i="24"/>
  <c r="K58" i="24"/>
  <c r="K62" i="24"/>
  <c r="K67" i="24"/>
  <c r="K128" i="24"/>
  <c r="K120" i="24"/>
  <c r="L120" i="24"/>
  <c r="K12" i="24"/>
  <c r="K16" i="24"/>
  <c r="D9" i="12"/>
  <c r="K76" i="24"/>
  <c r="K162" i="24"/>
  <c r="K98" i="24"/>
  <c r="K73" i="24"/>
  <c r="K45" i="24"/>
  <c r="K29" i="24"/>
  <c r="L22" i="24"/>
  <c r="L110" i="24"/>
  <c r="K110" i="24"/>
  <c r="K114" i="24"/>
  <c r="L95" i="24"/>
  <c r="K95" i="24"/>
  <c r="K9" i="23"/>
  <c r="L134" i="24"/>
  <c r="K134" i="24"/>
  <c r="F51" i="11"/>
  <c r="G182" i="24" l="1"/>
  <c r="B11" i="12"/>
  <c r="B9" i="12" s="1"/>
  <c r="B14" i="10"/>
  <c r="B12" i="10" s="1"/>
  <c r="B9" i="18"/>
  <c r="C13" i="12"/>
  <c r="C14" i="10" s="1"/>
  <c r="G12" i="10"/>
  <c r="E13" i="12"/>
  <c r="E11" i="12" s="1"/>
  <c r="G39" i="11"/>
  <c r="I39" i="11" s="1"/>
  <c r="J94" i="24"/>
  <c r="L154" i="24"/>
  <c r="J154" i="24"/>
  <c r="K154" i="24"/>
  <c r="F18" i="12"/>
  <c r="J18" i="12" s="1"/>
  <c r="I42" i="11"/>
  <c r="G15" i="10"/>
  <c r="H15" i="10" s="1"/>
  <c r="J159" i="24"/>
  <c r="F20" i="12"/>
  <c r="F17" i="12"/>
  <c r="J37" i="24"/>
  <c r="K11" i="24"/>
  <c r="G38" i="11"/>
  <c r="I38" i="11" s="1"/>
  <c r="L37" i="24"/>
  <c r="D39" i="11"/>
  <c r="D42" i="11"/>
  <c r="D38" i="11"/>
  <c r="F16" i="12"/>
  <c r="K37" i="24"/>
  <c r="D19" i="10"/>
  <c r="E44" i="11"/>
  <c r="D14" i="10"/>
  <c r="E37" i="11"/>
  <c r="E38" i="11"/>
  <c r="E39" i="11"/>
  <c r="H40" i="11"/>
  <c r="K32" i="12"/>
  <c r="J32" i="12"/>
  <c r="I32" i="12"/>
  <c r="E42" i="11"/>
  <c r="D15" i="10"/>
  <c r="K159" i="24"/>
  <c r="L159" i="24"/>
  <c r="K94" i="24"/>
  <c r="L9" i="23"/>
  <c r="L94" i="24"/>
  <c r="C11" i="12" l="1"/>
  <c r="C12" i="10" s="1"/>
  <c r="G14" i="10"/>
  <c r="F13" i="12"/>
  <c r="F11" i="12" s="1"/>
  <c r="G36" i="11"/>
  <c r="G34" i="11" s="1"/>
  <c r="D36" i="11"/>
  <c r="D34" i="11" s="1"/>
  <c r="D51" i="11" s="1"/>
  <c r="F30" i="11"/>
  <c r="K18" i="12"/>
  <c r="I18" i="12"/>
  <c r="J20" i="12"/>
  <c r="K20" i="12"/>
  <c r="I20" i="12"/>
  <c r="H42" i="11"/>
  <c r="K17" i="12"/>
  <c r="I17" i="12"/>
  <c r="J17" i="12"/>
  <c r="H39" i="11"/>
  <c r="H38" i="11"/>
  <c r="J16" i="12"/>
  <c r="K16" i="12"/>
  <c r="I16" i="12"/>
  <c r="C9" i="12" l="1"/>
  <c r="I36" i="11"/>
  <c r="I34" i="11"/>
  <c r="I22" i="12"/>
  <c r="I28" i="12" s="1"/>
  <c r="K22" i="12"/>
  <c r="J22" i="12"/>
  <c r="J28" i="12" s="1"/>
  <c r="K28" i="12"/>
  <c r="K21" i="24" l="1"/>
  <c r="L11" i="24" l="1"/>
  <c r="J182" i="24" l="1"/>
  <c r="I15" i="12"/>
  <c r="J15" i="12"/>
  <c r="K15" i="12"/>
  <c r="H37" i="11"/>
  <c r="L182" i="24"/>
  <c r="I13" i="12" l="1"/>
  <c r="K13" i="12"/>
  <c r="H14" i="10"/>
  <c r="H12" i="10"/>
  <c r="I11" i="12" l="1"/>
  <c r="K11" i="12"/>
  <c r="E36" i="11" l="1"/>
  <c r="K182" i="24" l="1"/>
  <c r="H36" i="11"/>
  <c r="E34" i="11"/>
  <c r="D12" i="10"/>
  <c r="J13" i="12"/>
  <c r="J11" i="12" l="1"/>
  <c r="E51" i="11"/>
  <c r="E53" i="11" s="1"/>
  <c r="H34" i="11"/>
  <c r="M39" i="23" l="1"/>
  <c r="J90" i="24" l="1"/>
  <c r="K90" i="24"/>
  <c r="K92" i="24"/>
  <c r="J92" i="24"/>
  <c r="J33" i="60"/>
  <c r="J34" i="60" l="1"/>
  <c r="M25" i="23"/>
  <c r="J25" i="23"/>
  <c r="J10" i="60" l="1"/>
  <c r="J26" i="60"/>
  <c r="F43" i="12"/>
  <c r="K15" i="60"/>
  <c r="I19" i="60"/>
  <c r="I9" i="60"/>
  <c r="I17" i="60" l="1"/>
  <c r="K19" i="60"/>
  <c r="K26" i="60"/>
  <c r="K10" i="60"/>
  <c r="K8" i="60"/>
  <c r="K9" i="60"/>
  <c r="K43" i="12"/>
  <c r="J43" i="12"/>
  <c r="I43" i="12"/>
  <c r="I10" i="60"/>
  <c r="I26" i="60"/>
  <c r="J15" i="60"/>
  <c r="J19" i="60"/>
  <c r="I31" i="60"/>
  <c r="K31" i="60"/>
  <c r="J9" i="60"/>
  <c r="I15" i="60"/>
  <c r="J31" i="60"/>
  <c r="K17" i="60"/>
  <c r="I8" i="60" l="1"/>
  <c r="F41" i="12"/>
  <c r="J41" i="12" s="1"/>
  <c r="J8" i="60"/>
  <c r="I41" i="12" l="1"/>
  <c r="K41" i="12"/>
  <c r="H13" i="12" l="1"/>
  <c r="H11" i="12" s="1"/>
  <c r="L23" i="15"/>
  <c r="L27" i="15"/>
  <c r="K15" i="15"/>
  <c r="L29" i="15"/>
  <c r="K13" i="15"/>
  <c r="K17" i="15"/>
  <c r="J25" i="15" l="1"/>
  <c r="K25" i="15"/>
  <c r="J13" i="15"/>
  <c r="H9" i="12"/>
  <c r="L25" i="15"/>
  <c r="J15" i="15"/>
  <c r="L13" i="15"/>
  <c r="L9" i="15"/>
  <c r="J27" i="15"/>
  <c r="L19" i="15"/>
  <c r="J17" i="15"/>
  <c r="J29" i="15"/>
  <c r="J23" i="15"/>
  <c r="L17" i="15"/>
  <c r="L15" i="15"/>
  <c r="K11" i="15" l="1"/>
  <c r="L21" i="15"/>
  <c r="J21" i="15"/>
  <c r="L11" i="15"/>
  <c r="J11" i="15"/>
  <c r="G47" i="8" l="1"/>
  <c r="I23" i="8"/>
  <c r="I41" i="8"/>
  <c r="I47" i="8" l="1"/>
  <c r="I45" i="8"/>
  <c r="H45" i="8"/>
  <c r="G28" i="10"/>
  <c r="G26" i="10" s="1"/>
  <c r="H47" i="8"/>
  <c r="H23" i="8"/>
  <c r="H41" i="8"/>
  <c r="H27" i="11" l="1"/>
  <c r="G26" i="11"/>
  <c r="I27" i="11"/>
  <c r="H28" i="10"/>
  <c r="H26" i="10"/>
  <c r="H26" i="11" l="1"/>
  <c r="I26" i="11"/>
  <c r="I27" i="8" l="1"/>
  <c r="H27" i="8"/>
  <c r="I28" i="8" l="1"/>
  <c r="H28" i="8"/>
  <c r="H32" i="8" l="1"/>
  <c r="I32" i="8"/>
  <c r="G20" i="11"/>
  <c r="I20" i="11" l="1"/>
  <c r="H20" i="11"/>
  <c r="I31" i="8"/>
  <c r="H31" i="8"/>
  <c r="I39" i="8" l="1"/>
  <c r="H21" i="8"/>
  <c r="G18" i="11"/>
  <c r="H18" i="11" s="1"/>
  <c r="I21" i="8"/>
  <c r="I18" i="11" l="1"/>
  <c r="I38" i="8"/>
  <c r="I37" i="8"/>
  <c r="I36" i="8" s="1"/>
  <c r="I34" i="8" l="1"/>
  <c r="H29" i="8"/>
  <c r="I29" i="8"/>
  <c r="H40" i="8" l="1"/>
  <c r="G24" i="11"/>
  <c r="H24" i="11" s="1"/>
  <c r="I40" i="8"/>
  <c r="G22" i="11" l="1"/>
  <c r="H22" i="11" s="1"/>
  <c r="I24" i="11"/>
  <c r="H19" i="8"/>
  <c r="I19" i="8"/>
  <c r="I22" i="11" l="1"/>
  <c r="H17" i="8"/>
  <c r="I17" i="8"/>
  <c r="G17" i="11"/>
  <c r="H15" i="8"/>
  <c r="I15" i="8"/>
  <c r="H17" i="11" l="1"/>
  <c r="I17" i="11"/>
  <c r="H13" i="8"/>
  <c r="I13" i="8"/>
  <c r="I11" i="8"/>
  <c r="G17" i="10" l="1"/>
  <c r="H11" i="8"/>
  <c r="H10" i="10"/>
  <c r="H9" i="8" l="1"/>
  <c r="I9" i="8"/>
  <c r="H26" i="8"/>
  <c r="I26" i="8"/>
  <c r="I16" i="11" l="1"/>
  <c r="H16" i="11"/>
  <c r="G13" i="11"/>
  <c r="H19" i="11"/>
  <c r="I19" i="11"/>
  <c r="H13" i="11" l="1"/>
  <c r="I13" i="11"/>
  <c r="G30" i="11"/>
  <c r="H30" i="11" l="1"/>
  <c r="I30" i="11"/>
  <c r="H18" i="8" l="1"/>
  <c r="I18" i="8"/>
  <c r="E28" i="18" l="1"/>
  <c r="E25" i="18" s="1"/>
  <c r="E16" i="18" s="1"/>
  <c r="E42" i="12"/>
  <c r="E39" i="12" s="1"/>
  <c r="E36" i="12" s="1"/>
  <c r="E9" i="12" s="1"/>
  <c r="E40" i="60"/>
  <c r="F40" i="60" s="1"/>
  <c r="J16" i="60"/>
  <c r="I16" i="60"/>
  <c r="G21" i="10" l="1"/>
  <c r="I40" i="60"/>
  <c r="J40" i="60"/>
  <c r="K40" i="60"/>
  <c r="G46" i="11"/>
  <c r="F42" i="12"/>
  <c r="K16" i="60"/>
  <c r="F39" i="12" l="1"/>
  <c r="I42" i="12"/>
  <c r="J42" i="12"/>
  <c r="K42" i="12"/>
  <c r="I46" i="11"/>
  <c r="H46" i="11"/>
  <c r="G44" i="11"/>
  <c r="H21" i="10"/>
  <c r="G19" i="10"/>
  <c r="I44" i="11" l="1"/>
  <c r="H44" i="11"/>
  <c r="H51" i="11" s="1"/>
  <c r="G51" i="11"/>
  <c r="G32" i="10"/>
  <c r="H19" i="10"/>
  <c r="I39" i="12"/>
  <c r="K39" i="12"/>
  <c r="F36" i="12"/>
  <c r="J39" i="12"/>
  <c r="F9" i="12" l="1"/>
  <c r="J36" i="12"/>
  <c r="I36" i="12"/>
  <c r="K36" i="12"/>
  <c r="I51" i="11"/>
  <c r="G53" i="11"/>
  <c r="I9" i="12" l="1"/>
  <c r="K9" i="12"/>
  <c r="J9" i="12"/>
  <c r="E23" i="12" l="1"/>
  <c r="F23" i="12"/>
  <c r="E25" i="12"/>
  <c r="F25" i="12"/>
  <c r="F26" i="12"/>
  <c r="E26" i="12"/>
  <c r="E24" i="12"/>
  <c r="F24" i="12"/>
  <c r="U54" i="24"/>
</calcChain>
</file>

<file path=xl/sharedStrings.xml><?xml version="1.0" encoding="utf-8"?>
<sst xmlns="http://schemas.openxmlformats.org/spreadsheetml/2006/main" count="1365" uniqueCount="578">
  <si>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</si>
  <si>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</si>
  <si>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</si>
  <si>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</si>
  <si>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</si>
  <si>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</si>
  <si>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</si>
  <si>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</si>
  <si>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</si>
  <si>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   3. Tasa y Derechos</t>
  </si>
  <si>
    <t xml:space="preserve">    4. Ingresos Varios</t>
  </si>
  <si>
    <t xml:space="preserve"> II  Ingreso de Capital</t>
  </si>
  <si>
    <t>MODIFICADO</t>
  </si>
  <si>
    <t>EJECUTADO</t>
  </si>
  <si>
    <t>T   O   T   A   L</t>
  </si>
  <si>
    <t>INGRESOS PROPIOS</t>
  </si>
  <si>
    <t xml:space="preserve">   VENTA DE SERVICIOS</t>
  </si>
  <si>
    <t xml:space="preserve">   OTROS SER. AUTOGESTION</t>
  </si>
  <si>
    <t xml:space="preserve">   MATRICULA-DERECHOS</t>
  </si>
  <si>
    <t xml:space="preserve">   OTROS - BIBLIOTECA</t>
  </si>
  <si>
    <t xml:space="preserve">   TASAS</t>
  </si>
  <si>
    <t xml:space="preserve">   INGRESOS VARIOS</t>
  </si>
  <si>
    <t>APORTE ESTATAL</t>
  </si>
  <si>
    <t>EJECUCION PORCENTUAL</t>
  </si>
  <si>
    <t>ANUAL</t>
  </si>
  <si>
    <t>INGRESOS</t>
  </si>
  <si>
    <t xml:space="preserve"> I. Ingresos Corrientes</t>
  </si>
  <si>
    <t>GASTOS</t>
  </si>
  <si>
    <t xml:space="preserve"> I.   Gastos Corrientes</t>
  </si>
  <si>
    <t xml:space="preserve"> II     Gastos de Capital</t>
  </si>
  <si>
    <t>Resultados Presupuestarios</t>
  </si>
  <si>
    <t>TOTAL</t>
  </si>
  <si>
    <t>FUNCIONAMIENTO</t>
  </si>
  <si>
    <t>INVERSIONES</t>
  </si>
  <si>
    <t>PRESUPUESTO</t>
  </si>
  <si>
    <t>DIRECCION Y ADMON  GENERAL</t>
  </si>
  <si>
    <t>EDUC. SUPERIOR TECNOLOGICA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</si>
  <si>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</si>
  <si>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</si>
  <si>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</si>
  <si>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</si>
  <si>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</si>
  <si>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</si>
  <si>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 xml:space="preserve">           RECAUDACION</t>
  </si>
  <si>
    <t>ACUMULADA</t>
  </si>
  <si>
    <t xml:space="preserve"> 1.2.1.4.07</t>
  </si>
  <si>
    <t xml:space="preserve"> 1.2.1.4.99</t>
  </si>
  <si>
    <t>1.2.4.1.24</t>
  </si>
  <si>
    <t>1.2.4.1.99</t>
  </si>
  <si>
    <t>1.2.4.2.26</t>
  </si>
  <si>
    <t>1.2.6.0.99</t>
  </si>
  <si>
    <t>1.4.2.0.01</t>
  </si>
  <si>
    <t>2.4.2.0.01</t>
  </si>
  <si>
    <t>TRANSFERENCIAS CORRIENTES</t>
  </si>
  <si>
    <t>1.2.3.1.07</t>
  </si>
  <si>
    <t>APORTE LIBRE</t>
  </si>
  <si>
    <t>I.D.A.A.N.</t>
  </si>
  <si>
    <t>CONTRIBUCION A LA S.S.</t>
  </si>
  <si>
    <t>TRANSFERENCIAS DE CAPITAL</t>
  </si>
  <si>
    <t>2.3.2.1.07</t>
  </si>
  <si>
    <t xml:space="preserve"> I.  Ingresos Corrientes</t>
  </si>
  <si>
    <t xml:space="preserve"> II. Gastos Corrientes</t>
  </si>
  <si>
    <t xml:space="preserve">      Gastos  de Operación ( 0-1-2-3-4-9 )</t>
  </si>
  <si>
    <t xml:space="preserve">        Transferencias Corrientes  (6)</t>
  </si>
  <si>
    <t xml:space="preserve"> IV.  Gasto  de Capital</t>
  </si>
  <si>
    <t xml:space="preserve">       Inversión Financiera</t>
  </si>
  <si>
    <t xml:space="preserve">      Transferencia de capital (7)</t>
  </si>
  <si>
    <t xml:space="preserve">     Amortización de la Deuda (8)</t>
  </si>
  <si>
    <t xml:space="preserve"> V.   Ingresos de Capital ( 2 )</t>
  </si>
  <si>
    <t xml:space="preserve">        Saldo Inicial en Caja y Banco</t>
  </si>
  <si>
    <t xml:space="preserve">        Transferencias de Capital</t>
  </si>
  <si>
    <t xml:space="preserve"> VI. Resultado Presupuestario (III -1V + V)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</si>
  <si>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</si>
  <si>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</si>
  <si>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</si>
  <si>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</si>
  <si>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</si>
  <si>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B.  Recursos del Crédito</t>
  </si>
  <si>
    <t xml:space="preserve">   D.   Menos S. Final en Caja</t>
  </si>
  <si>
    <t xml:space="preserve">      Total Final en Caja</t>
  </si>
  <si>
    <t xml:space="preserve">        3.  Materiales y Suministro</t>
  </si>
  <si>
    <t xml:space="preserve">      B.  Inversiones Financieras</t>
  </si>
  <si>
    <t xml:space="preserve">      D  Amortización de la Deuda.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</si>
  <si>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</si>
  <si>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</si>
  <si>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</si>
  <si>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</si>
  <si>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I  Gastos Corrientes</t>
  </si>
  <si>
    <t xml:space="preserve">       A. Operación</t>
  </si>
  <si>
    <t xml:space="preserve">          I.  Servicios Personales</t>
  </si>
  <si>
    <t xml:space="preserve">          3.  Materiales y Suministro</t>
  </si>
  <si>
    <t xml:space="preserve">       B. Transferencias</t>
  </si>
  <si>
    <t xml:space="preserve">               a. Gobierno Central</t>
  </si>
  <si>
    <t xml:space="preserve">               d. Municipios</t>
  </si>
  <si>
    <t xml:space="preserve">    II  Gastos DE CAPITAL</t>
  </si>
  <si>
    <t xml:space="preserve">       A.  Inversiones Físicas</t>
  </si>
  <si>
    <t>EJECUCIÓN</t>
  </si>
  <si>
    <t>PAGADO ACUMUL.</t>
  </si>
  <si>
    <t>LEY</t>
  </si>
  <si>
    <t>ACUMUL.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</si>
  <si>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</si>
  <si>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</si>
  <si>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</si>
  <si>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</si>
  <si>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</si>
  <si>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</si>
  <si>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</si>
  <si>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</si>
  <si>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</si>
  <si>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</si>
  <si>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</si>
  <si>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011</t>
  </si>
  <si>
    <t>SOBRESUELDO POR ANTIG.</t>
  </si>
  <si>
    <t>SOBRESUELDOS POR JEF.</t>
  </si>
  <si>
    <t>019</t>
  </si>
  <si>
    <t>OTROS SOBRESUELDOS</t>
  </si>
  <si>
    <t>030</t>
  </si>
  <si>
    <t>GASTOS DE REPRES.</t>
  </si>
  <si>
    <t>050</t>
  </si>
  <si>
    <t>XIII MES</t>
  </si>
  <si>
    <t>070</t>
  </si>
  <si>
    <t>CONTRIBUC. A LA S.S.</t>
  </si>
  <si>
    <t>071</t>
  </si>
  <si>
    <t>C.P. SEG. SOCIAL</t>
  </si>
  <si>
    <t>072</t>
  </si>
  <si>
    <t>C.P. SEG. EDUCATIVO</t>
  </si>
  <si>
    <t>073</t>
  </si>
  <si>
    <t>C.P. RIESGO PROF.</t>
  </si>
  <si>
    <t>074</t>
  </si>
  <si>
    <t>C.P. FDO COMPLEM.</t>
  </si>
  <si>
    <t>080</t>
  </si>
  <si>
    <t>OTROS SERV. PERSONALES</t>
  </si>
  <si>
    <t>090</t>
  </si>
  <si>
    <t>CR.REC.POR S. PERSONAL</t>
  </si>
  <si>
    <t>091</t>
  </si>
  <si>
    <t>CRED.REC.POR SUELDO</t>
  </si>
  <si>
    <t>092</t>
  </si>
  <si>
    <t>1</t>
  </si>
  <si>
    <t>SERV. NO PERSONALES</t>
  </si>
  <si>
    <t>ALQUILERES</t>
  </si>
  <si>
    <t>101</t>
  </si>
  <si>
    <t>DE EDIFICIOS</t>
  </si>
  <si>
    <t>102</t>
  </si>
  <si>
    <t>EQUIPO ELECTRONICO</t>
  </si>
  <si>
    <t>103</t>
  </si>
  <si>
    <t>EQUIPO DE OFICINA</t>
  </si>
  <si>
    <t>104</t>
  </si>
  <si>
    <t>ALQ. DE EQ. DE PROD.</t>
  </si>
  <si>
    <t>105</t>
  </si>
  <si>
    <t>ALQ. DE EQ. DE TRANSPORTE</t>
  </si>
  <si>
    <t>109</t>
  </si>
  <si>
    <t>OTROS ALQUILERES</t>
  </si>
  <si>
    <t>110</t>
  </si>
  <si>
    <t>SERVICIOS BASICOS</t>
  </si>
  <si>
    <t>111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</si>
  <si>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</si>
  <si>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</si>
  <si>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</si>
  <si>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</si>
  <si>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</si>
  <si>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</si>
  <si>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</si>
  <si>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</si>
  <si>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</si>
  <si>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120</t>
  </si>
  <si>
    <t>IMPRESOS Y ENCUADER.</t>
  </si>
  <si>
    <t>130</t>
  </si>
  <si>
    <t>INF.Y PUBLICIDAD</t>
  </si>
  <si>
    <t>131</t>
  </si>
  <si>
    <t>ANUNCIOS Y AVISOS</t>
  </si>
  <si>
    <t>140</t>
  </si>
  <si>
    <t>VIATICOS</t>
  </si>
  <si>
    <t>141</t>
  </si>
  <si>
    <t>DENTRO DEL PAIS</t>
  </si>
  <si>
    <t>142</t>
  </si>
  <si>
    <t>EN EL EXTERIOR</t>
  </si>
  <si>
    <t>A PERSONAS</t>
  </si>
  <si>
    <t>150</t>
  </si>
  <si>
    <t>TRANSPORTE</t>
  </si>
  <si>
    <t>151</t>
  </si>
  <si>
    <t>152</t>
  </si>
  <si>
    <t>DE OTRAS PERSONAS</t>
  </si>
  <si>
    <t>160</t>
  </si>
  <si>
    <t>S. COMERCIALES</t>
  </si>
  <si>
    <t>164</t>
  </si>
  <si>
    <t>GASTOS DE SEGURO</t>
  </si>
  <si>
    <t>SERVICIOS ADUANEROS</t>
  </si>
  <si>
    <t>169</t>
  </si>
  <si>
    <t>OTROS SERVICIOS</t>
  </si>
  <si>
    <t>172</t>
  </si>
  <si>
    <t>SERVICIOS ESPECIALES</t>
  </si>
  <si>
    <t>180</t>
  </si>
  <si>
    <t>MANTO Y REPARACION</t>
  </si>
  <si>
    <t>MANT. Y REPARACION  EDIF.</t>
  </si>
  <si>
    <t>182</t>
  </si>
  <si>
    <t>OTROS MANTENIMIENTO</t>
  </si>
  <si>
    <t>CR.REC.POR S. NO PERS.</t>
  </si>
  <si>
    <t>2</t>
  </si>
  <si>
    <t>MATER.Y SUMINISTROS</t>
  </si>
  <si>
    <t>200</t>
  </si>
  <si>
    <t>ALIMENTOS Y BEBIDAS</t>
  </si>
  <si>
    <t>201</t>
  </si>
  <si>
    <t>PARA CONSUMO HUMANO</t>
  </si>
  <si>
    <t>203</t>
  </si>
  <si>
    <t>BEBIDAS</t>
  </si>
  <si>
    <t>210</t>
  </si>
  <si>
    <t>TEXTILES Y VESTUARIOS</t>
  </si>
  <si>
    <t>211</t>
  </si>
  <si>
    <t>ACABADO TEXTIL</t>
  </si>
  <si>
    <t>212</t>
  </si>
  <si>
    <t>CALZADOS</t>
  </si>
  <si>
    <t>213</t>
  </si>
  <si>
    <t>HILADOS Y TELAS</t>
  </si>
  <si>
    <t>214</t>
  </si>
  <si>
    <t>PRENDAS DE VESTIR</t>
  </si>
  <si>
    <t>219</t>
  </si>
  <si>
    <t>OTROS TEXTILES</t>
  </si>
  <si>
    <t>220</t>
  </si>
  <si>
    <t>COMBUSTIBLES Y LUB.</t>
  </si>
  <si>
    <t>221</t>
  </si>
  <si>
    <t>DIESEL</t>
  </si>
  <si>
    <t>223</t>
  </si>
  <si>
    <t>GASOLINA</t>
  </si>
  <si>
    <t>224</t>
  </si>
  <si>
    <t>LUBRICANTES</t>
  </si>
  <si>
    <t>OTROS COMBUSTIBLES</t>
  </si>
  <si>
    <t>230</t>
  </si>
  <si>
    <t>PROD. DE PAPEL</t>
  </si>
  <si>
    <t>231</t>
  </si>
  <si>
    <t>IMPRESOS</t>
  </si>
  <si>
    <t>232</t>
  </si>
  <si>
    <t>PAPELERIA</t>
  </si>
  <si>
    <t>239</t>
  </si>
  <si>
    <t>OTROS PROD. DE PAPEL</t>
  </si>
  <si>
    <t>240</t>
  </si>
  <si>
    <t>OTROS PROD. QUIMICOS</t>
  </si>
  <si>
    <t>241</t>
  </si>
  <si>
    <t>ABONOS Y FERTILIZANTES</t>
  </si>
  <si>
    <t>242</t>
  </si>
  <si>
    <t>INSECT. FUMIGANTES Y OTROS</t>
  </si>
  <si>
    <t>243</t>
  </si>
  <si>
    <t>PINTURAS</t>
  </si>
  <si>
    <t>244</t>
  </si>
  <si>
    <t>PRODUCTOS MEDICINALES</t>
  </si>
  <si>
    <t>249</t>
  </si>
  <si>
    <t>OTROS P. QUIMICOS</t>
  </si>
  <si>
    <t>250</t>
  </si>
  <si>
    <t>MAT. DE CONSTRUCCION</t>
  </si>
  <si>
    <t>252</t>
  </si>
  <si>
    <t>CEMENTO</t>
  </si>
  <si>
    <t>253</t>
  </si>
  <si>
    <t>MADERAS</t>
  </si>
  <si>
    <t>M. DE PLOMERIA</t>
  </si>
  <si>
    <t>255</t>
  </si>
  <si>
    <t>M. DE ELECTRICIDAD</t>
  </si>
  <si>
    <t>256</t>
  </si>
  <si>
    <t>M. METALICOS</t>
  </si>
  <si>
    <t>PIEDRA Y ARENA</t>
  </si>
  <si>
    <t>259</t>
  </si>
  <si>
    <t>OROS MATERIALES</t>
  </si>
  <si>
    <t>260</t>
  </si>
  <si>
    <t>PRODUCTOS VARIOS</t>
  </si>
  <si>
    <t>ARTICULOS PARA RECEPCION</t>
  </si>
  <si>
    <t>262</t>
  </si>
  <si>
    <t>265</t>
  </si>
  <si>
    <t>269</t>
  </si>
  <si>
    <t>OTROS P. VARIOS</t>
  </si>
  <si>
    <t>270</t>
  </si>
  <si>
    <t>UTILES DE M. DIVERSOS</t>
  </si>
  <si>
    <t>271</t>
  </si>
  <si>
    <t>UTILES DE COCINA Y COMEDOR</t>
  </si>
  <si>
    <t>272</t>
  </si>
  <si>
    <t>UTILES DEPORTIVOS</t>
  </si>
  <si>
    <t>273</t>
  </si>
  <si>
    <t>UTILES DE ASEO</t>
  </si>
  <si>
    <t>274</t>
  </si>
  <si>
    <t>UTILES DE LABORATORIOS</t>
  </si>
  <si>
    <t>275</t>
  </si>
  <si>
    <t>UTILES DE OFICINA</t>
  </si>
  <si>
    <t>INSTRUMENTOS MEDICOS</t>
  </si>
  <si>
    <t>ARTICULOS DE PROTESIS Y REHA.</t>
  </si>
  <si>
    <t>279</t>
  </si>
  <si>
    <t>OTROS U. Y MATERIALES</t>
  </si>
  <si>
    <t>280</t>
  </si>
  <si>
    <t>REPUESTOS</t>
  </si>
  <si>
    <t>CR.REC.POR MAT. Y SUM.</t>
  </si>
  <si>
    <t>CR.REC. POR ALIMENTOS</t>
  </si>
  <si>
    <t>CD.REC. COMB. Y LUB.</t>
  </si>
  <si>
    <t>CD.REC. PROD. VARIOS</t>
  </si>
  <si>
    <t>CRED.REC.UTILES Y MAT.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</si>
  <si>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</si>
  <si>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</si>
  <si>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</si>
  <si>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</si>
  <si>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</si>
  <si>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</si>
  <si>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</si>
  <si>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</si>
  <si>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</si>
  <si>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OTRAS EXISTENCIAS</t>
  </si>
  <si>
    <t>CR. REC. INVERSIONES FIN.</t>
  </si>
  <si>
    <t>CR. REC.  COMPRA EXISTENCIA</t>
  </si>
  <si>
    <t>6</t>
  </si>
  <si>
    <t>TRANSFERECIAS CORR.</t>
  </si>
  <si>
    <t>600</t>
  </si>
  <si>
    <t>PENSIONES Y JUBILACIONES</t>
  </si>
  <si>
    <t>609</t>
  </si>
  <si>
    <t>610</t>
  </si>
  <si>
    <t>BECAS DE ESTUDIO</t>
  </si>
  <si>
    <t>ADIEST. Y ESTUDIOS</t>
  </si>
  <si>
    <t>660</t>
  </si>
  <si>
    <t>TRANSF. AL EXTERIOR</t>
  </si>
  <si>
    <t>CUOTA  ORG. CENTROAM.</t>
  </si>
  <si>
    <t>663</t>
  </si>
  <si>
    <t>CUOTA  ORG. INTERAM.</t>
  </si>
  <si>
    <t>664</t>
  </si>
  <si>
    <t>CUOTA A ORG. MUNDIALES</t>
  </si>
  <si>
    <t>TOTAL FUNCIONAMIENTO</t>
  </si>
  <si>
    <t>P</t>
  </si>
  <si>
    <t>SALDO A LA FECHA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</si>
  <si>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</si>
  <si>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</si>
  <si>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</si>
  <si>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</si>
  <si>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</si>
  <si>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</si>
  <si>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</si>
  <si>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</si>
  <si>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>163</t>
  </si>
  <si>
    <t>GASTOS JUDICIALES</t>
  </si>
  <si>
    <t>GAS</t>
  </si>
  <si>
    <t>Ingresos Corrientes</t>
  </si>
  <si>
    <t>Ingresos de Capital</t>
  </si>
  <si>
    <t>EGRESOS</t>
  </si>
  <si>
    <t>Construcciones Educativas</t>
  </si>
  <si>
    <t>Mobiliario, Libros y Equipos Educ.</t>
  </si>
  <si>
    <t>PROGRAMA DE CONSTRUCCIONES</t>
  </si>
  <si>
    <t>CONSTRUCCION II FASE DEL PROYECTO DEL CAMPUS CENTRAL</t>
  </si>
  <si>
    <t>PROGRAMA DE MOBILIARIO</t>
  </si>
  <si>
    <t>PROGRAMAS-PROYECTOS</t>
  </si>
  <si>
    <t>099</t>
  </si>
  <si>
    <t>132</t>
  </si>
  <si>
    <t>PROMOCION Y PUBLICIDAD</t>
  </si>
  <si>
    <t>MANT. Y REPARACION MAQ. OTROS</t>
  </si>
  <si>
    <t>MANT. Y REPARACION  MOBILIARIOS</t>
  </si>
  <si>
    <t>MANT. Y REPARACION  OBRAS</t>
  </si>
  <si>
    <t>622</t>
  </si>
  <si>
    <t>BECAS UNIVERSITARIAS</t>
  </si>
  <si>
    <t>DONATIVOS A PERSONAS</t>
  </si>
  <si>
    <t>096</t>
  </si>
  <si>
    <t>CRED.REC.POR DECIMO III</t>
  </si>
  <si>
    <t>CRED. REC. POR TRANSF.COM</t>
  </si>
  <si>
    <t>MANT. DE EQUIPOS DE COMP.</t>
  </si>
  <si>
    <t xml:space="preserve">        1.  Servicios Personales</t>
  </si>
  <si>
    <t xml:space="preserve">     </t>
  </si>
  <si>
    <t>OTRAS TRANSFERENCIAS</t>
  </si>
  <si>
    <t>CONSULTORIAS Y SERV</t>
  </si>
  <si>
    <t>INDEMNIZ. POR RETIRO VOL.</t>
  </si>
  <si>
    <t>INDEMNIZ. ESPECIALES</t>
  </si>
  <si>
    <t>CRED.REC.POR REPUESTOS</t>
  </si>
  <si>
    <t>CR. REC.TRASNF. EXTERIOR</t>
  </si>
  <si>
    <t>FORTALECIMIENTO DE LA SEDE REGIONAL</t>
  </si>
  <si>
    <t>094</t>
  </si>
  <si>
    <t>CRED. REC. GASTOS E REPRES.</t>
  </si>
  <si>
    <t>MAT. Y EQUIPO DE SEGURIDAD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</si>
  <si>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</si>
  <si>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</si>
  <si>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</si>
  <si>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</si>
  <si>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</si>
  <si>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</si>
  <si>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FORTALECIMIENTO DE LA GESTIÓN DE PATENTES TECNOLÓGICAS</t>
  </si>
  <si>
    <t>BECAS DE ESTUDIOS</t>
  </si>
  <si>
    <t>CD.REC. TEXTILES Y VESTUARIOS</t>
  </si>
  <si>
    <t>MANTENIMIENTO PREVENTIVO Y CORRECTIVO DE LA INFRAESTRUCTURA FISICA Y PATRIMONIAL DE LA UTP A NIVEL NACIONAL.</t>
  </si>
  <si>
    <t>INVESTIGACION Y TRANSFERENCIA DE TECNOLOGÍA</t>
  </si>
  <si>
    <t>CD.REC.POR MATERIALES CONST.</t>
  </si>
  <si>
    <t>EQUIIPO MEDICO, LABORATORIOS</t>
  </si>
  <si>
    <t>INDEMNIZACIONES LABORALES</t>
  </si>
  <si>
    <t>Transferencia de Tecnología</t>
  </si>
  <si>
    <t>DECIMO TERCER MES</t>
  </si>
  <si>
    <t>CONTRIBUCIÓN SEG. SOCIAL</t>
  </si>
  <si>
    <t>Dirección y Administración General</t>
  </si>
  <si>
    <t>Educación Superior Tecnológica</t>
  </si>
  <si>
    <t>081</t>
  </si>
  <si>
    <t>GRATIFICACIÓN O AGUINALDO</t>
  </si>
  <si>
    <t>DESARROLLO DEL CENTRO DE ESTUDIOS MULTIDISCIPLINARIO EN CIENCIAS</t>
  </si>
  <si>
    <t>CR.REC.PROD. QUIMICOS Y CONEXOS</t>
  </si>
  <si>
    <t>Investigación, Post Grado y Extensión</t>
  </si>
  <si>
    <t>TRANSPORTE DE BIENES</t>
  </si>
  <si>
    <t>P R E S U P U E S T O</t>
  </si>
  <si>
    <t>MAT. Y SUMINISTROS DE COMP.</t>
  </si>
  <si>
    <t>TRANSFERENCIAS CORR.</t>
  </si>
  <si>
    <t>IMPRESIÓN Y ENCUADERNACIÓN</t>
  </si>
  <si>
    <t>PORCENTUAL</t>
  </si>
  <si>
    <t xml:space="preserve">   B. Transf. de Capital</t>
  </si>
  <si>
    <t>ABOLUTA</t>
  </si>
  <si>
    <t>O/G</t>
  </si>
  <si>
    <t>CTA.</t>
  </si>
  <si>
    <t>EJECUCIÓN  PORCENTUAL</t>
  </si>
  <si>
    <t>CUADRO-2  EJECUCION DE INGRESOS SEGÚN OBJETO</t>
  </si>
  <si>
    <t xml:space="preserve"> CUADRO -3  FINANCIAMIENTO PRESUPUESTARIO DE INGRESOS Y GASTOS</t>
  </si>
  <si>
    <t>EJECUCIÓN PORCENTUAL</t>
  </si>
  <si>
    <t>PAGADO  ACUMULADO</t>
  </si>
  <si>
    <t xml:space="preserve">CUADRO-6. EJECUCION PRESUPUESTARIA  DE FUNCIONAMIENTO </t>
  </si>
  <si>
    <t>SALDO ANUAL</t>
  </si>
  <si>
    <t>MEJORAMIENTO DEL CENTRO DE DATOS DE LA UTP</t>
  </si>
  <si>
    <t>CRED.REC. POR SERVICIOS NO PERS.</t>
  </si>
  <si>
    <t>CRED.REC.POR SERV. BÁSICOS</t>
  </si>
  <si>
    <t>CRED.REC.POR TRANSP. PERSONAS</t>
  </si>
  <si>
    <t>UNIVERSIDAD TECNOLÓGICA DE PANAMÁ</t>
  </si>
  <si>
    <t>DIRECCIÓN NACIONAL DE PRESUPUESTO</t>
  </si>
  <si>
    <t>CUADRO -4  FLUJO PRESUPUESTARIO DE INGRESOS Y GASTOS</t>
  </si>
  <si>
    <t>UNIVERSIDAD TECNOLÓGICA DE PANAMA</t>
  </si>
  <si>
    <t xml:space="preserve">CUADRO A-6A. EJECUCION PRESUPUESTARIA  DE FUNCIONAMIENTO </t>
  </si>
  <si>
    <t>OTRAS PENSIONES Y JUBILACIONES</t>
  </si>
  <si>
    <t>CRED.REC.POR AlQUILERES</t>
  </si>
  <si>
    <t>CRED.REC.POR IMPRESIÓN Y ENC.</t>
  </si>
  <si>
    <t>CRED.REC.POR VIÁTICOS</t>
  </si>
  <si>
    <t>CRED.REC.POR SERV. COMERCIALES</t>
  </si>
  <si>
    <t>CRED.REC.POR MANTO. Y REPARAC.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</si>
  <si>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</si>
  <si>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</si>
  <si>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</si>
  <si>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</si>
  <si>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</si>
  <si>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DIRECCIÓN NACIONAL DE PANAMA</t>
  </si>
  <si>
    <t>CRED. REC. POR TRANSF.</t>
  </si>
  <si>
    <t>PENSIÓN Y JUBILACIONES</t>
  </si>
  <si>
    <t>SERVICIO TRASMISION DATOS</t>
  </si>
  <si>
    <t>CD.REC. PRODUCTO DE PAPEL</t>
  </si>
  <si>
    <t>MEJORAMIENTO LABORATORIOS FACULTADES Y CENTROS REGIONALES</t>
  </si>
  <si>
    <t>CONSULTORÍA</t>
  </si>
  <si>
    <t>CR.REC.  SERV. NO PERSONALES</t>
  </si>
  <si>
    <t xml:space="preserve">CUADRO  A-7 EJECUCION PRESUPUESTARIA SEGÚN ESTRUCTURA PROGRAMATICA  </t>
  </si>
  <si>
    <t>CRED. REC. POR SOBRESURLDOS</t>
  </si>
  <si>
    <t>SERVICIO DE TELEFONÍA CELULAR</t>
  </si>
  <si>
    <t>SALDO EN CAJA  (CORRIENTE)</t>
  </si>
  <si>
    <t>SALDO EN CAJA (CAPITAL)</t>
  </si>
  <si>
    <t xml:space="preserve"> III. Ahorro  en Cta Corriente ( I-II )</t>
  </si>
  <si>
    <t xml:space="preserve">        Inversiòn Fisica  </t>
  </si>
  <si>
    <t xml:space="preserve">        Recursos del Credito</t>
  </si>
  <si>
    <t xml:space="preserve">       2. Transf. Corrientes</t>
  </si>
  <si>
    <t xml:space="preserve">   A.  Saldo Inicial en Caja y Bco.</t>
  </si>
  <si>
    <t xml:space="preserve">   C.  Otros Rec. de Capital</t>
  </si>
  <si>
    <t xml:space="preserve">        1. Transf. de Capital</t>
  </si>
  <si>
    <t xml:space="preserve">    A. Operaciòn</t>
  </si>
  <si>
    <t xml:space="preserve">        2.  Serv. No Personales</t>
  </si>
  <si>
    <t xml:space="preserve">     B.  Transf. Corrientes</t>
  </si>
  <si>
    <t xml:space="preserve">      A.  Inversiones Fìsicas</t>
  </si>
  <si>
    <t xml:space="preserve">      C   Transf. de Capital</t>
  </si>
  <si>
    <t>CUADRO-5  BALANCE PRESUPUESTARIO ACUMULADO DE GASTO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</si>
  <si>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</si>
  <si>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</si>
  <si>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</si>
  <si>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</si>
  <si>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2. Transferencias al Exterior</t>
  </si>
  <si>
    <t xml:space="preserve">        1.  Al Sector Público.</t>
  </si>
  <si>
    <t xml:space="preserve">             a. Gobierno Central</t>
  </si>
  <si>
    <t xml:space="preserve">             c. Empresasa Públicas</t>
  </si>
  <si>
    <t xml:space="preserve">             b. Entidades   Descent.ral. </t>
  </si>
  <si>
    <t xml:space="preserve">          2. Maquinaria y Equipo.</t>
  </si>
  <si>
    <t xml:space="preserve">          3. Investig. Y Transf. de Tec.</t>
  </si>
  <si>
    <t>013</t>
  </si>
  <si>
    <r>
      <t xml:space="preserve">CUADRO </t>
    </r>
    <r>
      <rPr>
        <b/>
        <sz val="14"/>
        <color rgb="FF002060"/>
        <rFont val="Arial"/>
        <family val="2"/>
      </rPr>
      <t xml:space="preserve">1. </t>
    </r>
    <r>
      <rPr>
        <b/>
        <sz val="11"/>
        <color rgb="FF002060"/>
        <rFont val="Arial"/>
        <family val="2"/>
      </rPr>
      <t xml:space="preserve">  BALANCE PRESUPUESTARIO ACUMULADO DE INGRESOS</t>
    </r>
  </si>
  <si>
    <t>CUADRO  A-8.   EJECUCION PRESUPUESTARIA DE INVERSIONES</t>
  </si>
  <si>
    <t xml:space="preserve">CUADRO A-9   EJECUCIÓN PRESUPUESTARIA DE INVERSIONES </t>
  </si>
  <si>
    <t>SERVICIOS BÁSICOS</t>
  </si>
  <si>
    <t>CODIFICACIÓN</t>
  </si>
  <si>
    <t>1.95.1.2.1</t>
  </si>
  <si>
    <t>1.95.1.2</t>
  </si>
  <si>
    <t>1.95.1.2.1.4.99</t>
  </si>
  <si>
    <t>1.95.1.2.3</t>
  </si>
  <si>
    <t xml:space="preserve">    2.  Transferencias Corrientes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</si>
  <si>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</si>
  <si>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</si>
  <si>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</si>
  <si>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</si>
  <si>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</si>
  <si>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</si>
  <si>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</si>
  <si>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</si>
  <si>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</si>
  <si>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</si>
  <si>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</si>
  <si>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</si>
  <si>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</si>
  <si>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</si>
  <si>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</si>
  <si>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     3.1 Tasas por Servicios</t>
  </si>
  <si>
    <t xml:space="preserve">         3.2. Derechos</t>
  </si>
  <si>
    <t xml:space="preserve">         3.3. Otros  -Biblioteca</t>
  </si>
  <si>
    <t xml:space="preserve">         4.1. Otros Ing. Varios</t>
  </si>
  <si>
    <t xml:space="preserve">    1.  No Tributarios</t>
  </si>
  <si>
    <t xml:space="preserve">    1.1  Renta de Activos</t>
  </si>
  <si>
    <t xml:space="preserve">            1.1.1.1 Lab. y C. Especializados.</t>
  </si>
  <si>
    <t xml:space="preserve">          2. 1  Gobierno Central</t>
  </si>
  <si>
    <t xml:space="preserve">           2.1.1  Ministerio de Educación.</t>
  </si>
  <si>
    <t xml:space="preserve">      1. Otros Ingresos de Capital</t>
  </si>
  <si>
    <t xml:space="preserve">        1.1  Transferencias de Capital</t>
  </si>
  <si>
    <t xml:space="preserve">           1.1.1  Gobierno Central</t>
  </si>
  <si>
    <t xml:space="preserve">             1.1.1.1 Ministerio de Educación</t>
  </si>
  <si>
    <t xml:space="preserve">         2. Saldo en Caja y Banco</t>
  </si>
  <si>
    <t>1.95.1.2.1.4</t>
  </si>
  <si>
    <t xml:space="preserve">            1.1.1.2 Otros Servicios-Autogestión.</t>
  </si>
  <si>
    <t xml:space="preserve">  EN MILES DE BALBOAS</t>
  </si>
  <si>
    <t>CR. REC.TRASNF. CORRIENTES</t>
  </si>
  <si>
    <t xml:space="preserve">                                                                                                                            </t>
  </si>
  <si>
    <t>GASTOS BANCARIOS</t>
  </si>
  <si>
    <t>INFORMACIÓN Y PUBLICIDAD</t>
  </si>
  <si>
    <t>CRE.REC.POR CONT. SGURIDAD SOC.</t>
  </si>
  <si>
    <t>CRE.REC.POR OTROS SERVICIOS ESP.</t>
  </si>
  <si>
    <t>HERRAMIENTAS  E INSTRUMENTOS</t>
  </si>
  <si>
    <t>CR. REC.P'OR BECAS DE ESTUDIOS</t>
  </si>
  <si>
    <t>MODIFICAD0</t>
  </si>
  <si>
    <t>OTROS SERVICIOS BASICOS</t>
  </si>
  <si>
    <t xml:space="preserve">CONSULTORIAS </t>
  </si>
  <si>
    <t>OTRAS BECAS</t>
  </si>
  <si>
    <t>TRANSF. CORRIENTES A INST. PUB.</t>
  </si>
  <si>
    <t>AL GOBIERNO CENTRAL</t>
  </si>
  <si>
    <t>.</t>
  </si>
  <si>
    <t>REPARACIÓN DEL EDIFICIO 70 Y TALLER DE METAL MECANICA DE COLÓN</t>
  </si>
  <si>
    <t>IMPLEMENTACIÓN DE LA MOVILIDAD ELECTRICA EN LA UTP</t>
  </si>
  <si>
    <t>MEJORAMIENTO DE LA INFRAESTRUCTURA TECNOLÓGICA DE LA UTP</t>
  </si>
  <si>
    <t>FORTALECIMIENTO DE LA GESTIÓN ADMINISTRATIVA DE LA UTP</t>
  </si>
  <si>
    <t>MEJORAMIENTO DE LOS LABORATORIOS DE LA FAC. DE ING. MECÁNICA UTP</t>
  </si>
  <si>
    <t>EQUIPAMIENTO DE LABORATORIO ACADÉMICOS C.REG. DE BOCAS DEL TORO</t>
  </si>
  <si>
    <t>EQUIPAMIENTO DE LABORATORIO DE SUELDOS Y MATERIALES (LASYMA)</t>
  </si>
  <si>
    <t>HABILITACIÓN DEL LABORATORIO DE ANÁLISIS INDUSTRIALES Y CIENCIA (LABAICA</t>
  </si>
  <si>
    <t>HABILITACIÓN DE LABORATORIOS DE DOCENCIA PARA EL CENTRO CITT</t>
  </si>
  <si>
    <t>FORTALECIMIENTO DE CAPACIDADES DEL LABORATORIO DE BIOSÓLIDOS</t>
  </si>
  <si>
    <t>MEJORAMIENTO DE LAB. ACADÉMICOS Y DE ÁREAS DOCENTES Y ADM. FII-UTP</t>
  </si>
  <si>
    <t>HABILITACIÓN DE LABORATORIOS DE QUÍMICA CAMPUS CENTRAL</t>
  </si>
  <si>
    <t>MEJORAMIENTO DEL LABORATORIO DE SUELOS Y MAT. C.REG. CHIRIQUÍ</t>
  </si>
  <si>
    <t>DESARROLLO DE CONSULTORÍAS PARA PROYECOTS DE ESTADO</t>
  </si>
  <si>
    <t>DESARROLLO DEL HUB DE FORMACIÓN PARA LA TRANSFORMACIÓN DIGITAL E INDUSTRA 4.0</t>
  </si>
  <si>
    <t>HABILITACIÓN DE INFRAEST. Y EQUIP. DE LAB. PARA EL IMPULSO DE INVESTIGACIÓN Y LA INNOVACIÓN.</t>
  </si>
  <si>
    <t>HABILITACIÓN DEL CENTRO NACIONALDE SUPERCOMPUTACIÓN PARA INV. DE DIFERENTES FENÓMENOS Y ESCALAS (IBEROGUN)-UTP</t>
  </si>
  <si>
    <t>HABILITACIÓN DE UN CENTRO DE TEC. AVANZADA PARA LA INDUSTRIA DE SEMICONDUCTORES DE PANAMA (C-TASC PANAMÁ)</t>
  </si>
  <si>
    <t>DESARROLLO DEL PLAN DE FORMACIÓN PARA DOCENTES INVESTIGADORES</t>
  </si>
  <si>
    <t>REHABILITACIÓN DE LOS ESTACIONAMIENTOS DEL CENTRO REGIONAL CHIRIQUÍ</t>
  </si>
  <si>
    <t>CONSTRUCCIÓN II ETAPA DE EDIFICIO DE AULAS  DE PANAMA OESTE</t>
  </si>
  <si>
    <t>CONSTRUCCIÓN DE EDIFICIO DE FACILIDADES ESTUDIANTILES Y CAFETERIA COLÓN</t>
  </si>
  <si>
    <t>TRANSF. CORRIENTES A INST.PUB.</t>
  </si>
  <si>
    <t>DEVENGADO ACUMULADO</t>
  </si>
  <si>
    <t>DEVENGADO        ACUMULADO</t>
  </si>
  <si>
    <t>DEVENGADO  ACUMULADO</t>
  </si>
  <si>
    <t>SALDO  A LA FECHA</t>
  </si>
  <si>
    <t>1.95.1.2.1.4.12</t>
  </si>
  <si>
    <t>1.95.2.4.1</t>
  </si>
  <si>
    <t>1.95.2.4.1.2</t>
  </si>
  <si>
    <t>1.95.2.4.1.2.01</t>
  </si>
  <si>
    <t xml:space="preserve">           2.1. Disponible  Libre en Bco.</t>
  </si>
  <si>
    <t xml:space="preserve">                2.1.1.1 Saldo en Caja</t>
  </si>
  <si>
    <t>EJECUCIÓN ACUMULADA</t>
  </si>
  <si>
    <t>EJEDCUCIÓN ACUMULADA</t>
  </si>
  <si>
    <t>TRANSPORTE DE PERSONAS Y  B.</t>
  </si>
  <si>
    <t>097</t>
  </si>
  <si>
    <t>CRED.REC.POR INFORMACIÓN Y PUB.</t>
  </si>
  <si>
    <t>CUOTA PATRONAL DEL S. SOCIAL</t>
  </si>
  <si>
    <t>CUOTA PATRONAL DEL S. EDUCATIVO</t>
  </si>
  <si>
    <t>CUOTA PATRONAL DEL R. PROFESIONALES</t>
  </si>
  <si>
    <t>CUOTA PATRONAL F. COMPLEMENTARIO</t>
  </si>
  <si>
    <t xml:space="preserve">  A NIVEL DE CUENTAS  AL 28 DE FEBRERO DE 2025</t>
  </si>
  <si>
    <t xml:space="preserve">   AL 28 DE FEBRERO DE 2025</t>
  </si>
  <si>
    <t xml:space="preserve"> OBJETO DE GASTO: AL 28 DE FEBRERO DE 2025</t>
  </si>
  <si>
    <t>Fuente: Dirección Nacional de Presupuesto</t>
  </si>
  <si>
    <t>AL 28 DE FEBRERO DE 2025</t>
  </si>
  <si>
    <t>AL 28 DE  FEBRERO DE 2025</t>
  </si>
  <si>
    <t xml:space="preserve">               2.1.1  Instituc. Descentralizadas</t>
  </si>
  <si>
    <t xml:space="preserve">      1.1.1 Ing. por Vtas. de Servicios</t>
  </si>
  <si>
    <t xml:space="preserve">        4.  Inversiones Fínancieras</t>
  </si>
  <si>
    <t xml:space="preserve">          4.  Inversiones Directas</t>
  </si>
  <si>
    <t xml:space="preserve"> NIVEL DE CUENTA :AL 28 DE FEBRERO DE 2025</t>
  </si>
  <si>
    <t>Fuente: Dirección Nacional de presupuesto</t>
  </si>
  <si>
    <t>EJECUCIÓN   ACUMULADA</t>
  </si>
  <si>
    <t>POR PROGRAMA  AL 28 DE  FEBRERO DE 2025</t>
  </si>
  <si>
    <t xml:space="preserve">   Fuente: Dirección Nacional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</si>
</sst>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]#,##0.00\ ;[$€]\(#,##0.00\);[$€]\-#\ ;@\ "/>
    <numFmt numFmtId="165" formatCode="#,##0\ ;\(#,##0\)"/>
    <numFmt numFmtId="166" formatCode="0.0"/>
    <numFmt numFmtId="167" formatCode="&quot; B/.&quot;#,##0.00\ ;&quot; B/.(&quot;#,##0.00\);&quot; B/.-&quot;#\ ;@\ "/>
    <numFmt numFmtId="168" formatCode="#,##0.0"/>
    <numFmt numFmtId="169" formatCode="0.00\ "/>
    <numFmt numFmtId="170" formatCode="#"/>
    <numFmt numFmtId="171" formatCode="#,###"/>
    <numFmt numFmtId="172" formatCode="dd/mmm"/>
    <numFmt numFmtId="173" formatCode="#,##0.0\ ;\(#,##0.0\)"/>
    <numFmt numFmtId="174" formatCode="#,##0\ ;[Red]\-#,##0\ "/>
    <numFmt numFmtId="175" formatCode="#,##0.0_);[Red]\(#,##0.0\)"/>
    <numFmt numFmtId="176" formatCode="#,##0.0\ ;\(#,###\)"/>
  </numFmts>
  <fonts count="73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2"/>
      <color rgb="FF002060"/>
      <name val="Georgia"/>
      <family val="1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8"/>
      <color rgb="FFFF0000"/>
      <name val="Arial"/>
      <family val="2"/>
    </font>
    <font>
      <sz val="10"/>
      <color rgb="FF000066"/>
      <name val="Arial"/>
      <family val="2"/>
    </font>
    <font>
      <sz val="12"/>
      <color rgb="FF002060"/>
      <name val="Georgia"/>
      <family val="1"/>
    </font>
    <font>
      <sz val="9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 Black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i/>
      <sz val="10.5"/>
      <color rgb="FF002060"/>
      <name val="Arial Black"/>
      <family val="2"/>
    </font>
    <font>
      <sz val="9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"/>
      <color rgb="FF002060"/>
      <name val="Arial Rounded MT Bold"/>
      <family val="2"/>
    </font>
    <font>
      <sz val="10"/>
      <color rgb="FF002060"/>
      <name val="Arial Rounded MT Bold"/>
      <family val="2"/>
    </font>
    <font>
      <b/>
      <u/>
      <sz val="10"/>
      <color rgb="FF002060"/>
      <name val="Arial Rounded MT Bold"/>
      <family val="2"/>
    </font>
    <font>
      <b/>
      <u/>
      <sz val="11"/>
      <color rgb="FF002060"/>
      <name val="Arial"/>
      <family val="2"/>
    </font>
    <font>
      <b/>
      <u/>
      <sz val="10"/>
      <color rgb="FF002060"/>
      <name val="Arial"/>
      <family val="2"/>
    </font>
    <font>
      <sz val="7"/>
      <color rgb="FF002060"/>
      <name val="Arial"/>
      <family val="2"/>
    </font>
    <font>
      <sz val="9"/>
      <color rgb="FF002060"/>
      <name val="Arial Black"/>
      <family val="2"/>
    </font>
    <font>
      <b/>
      <sz val="10.5"/>
      <color rgb="FF002060"/>
      <name val="Arial"/>
      <family val="2"/>
    </font>
    <font>
      <b/>
      <u/>
      <sz val="12"/>
      <color rgb="FF002060"/>
      <name val="Arial"/>
      <family val="2"/>
    </font>
    <font>
      <b/>
      <sz val="10"/>
      <color rgb="FF002060"/>
      <name val="Arial Black"/>
      <family val="2"/>
    </font>
    <font>
      <b/>
      <sz val="9"/>
      <color rgb="FF002060"/>
      <name val="Franklin Gothic Book"/>
      <family val="2"/>
    </font>
    <font>
      <sz val="12"/>
      <color rgb="FF002060"/>
      <name val="Arial"/>
      <family val="2"/>
    </font>
    <font>
      <b/>
      <sz val="12"/>
      <color theme="4" tint="-0.499984740745262"/>
      <name val="Arial"/>
      <family val="2"/>
    </font>
    <font>
      <b/>
      <sz val="9"/>
      <color rgb="FF000066"/>
      <name val="Arial"/>
      <family val="2"/>
    </font>
    <font>
      <b/>
      <sz val="9"/>
      <color rgb="FF062948"/>
      <name val="Arial"/>
      <family val="2"/>
    </font>
    <font>
      <b/>
      <sz val="9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1"/>
      </patternFill>
    </fill>
  </fills>
  <borders count="220">
    <border>
      <left/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rgb="FF002060"/>
      </left>
      <right style="thin">
        <color indexed="62"/>
      </right>
      <top/>
      <bottom/>
      <diagonal/>
    </border>
    <border>
      <left/>
      <right style="thin">
        <color theme="3" tint="-0.499984740745262"/>
      </right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 style="thin">
        <color indexed="62"/>
      </left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indexed="62"/>
      </left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 style="thin">
        <color indexed="62"/>
      </left>
      <right/>
      <top style="medium">
        <color rgb="FF000066"/>
      </top>
      <bottom style="medium">
        <color rgb="FF000066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rgb="FF000066"/>
      </top>
      <bottom style="medium">
        <color rgb="FF000066"/>
      </bottom>
      <diagonal/>
    </border>
    <border>
      <left/>
      <right style="thin">
        <color rgb="FF000066"/>
      </right>
      <top/>
      <bottom/>
      <diagonal/>
    </border>
    <border>
      <left/>
      <right/>
      <top style="medium">
        <color rgb="FF000066"/>
      </top>
      <bottom/>
      <diagonal/>
    </border>
    <border>
      <left/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rgb="FF000066"/>
      </top>
      <bottom style="thin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/>
      <diagonal/>
    </border>
    <border>
      <left/>
      <right style="thin">
        <color theme="3" tint="-0.499984740745262"/>
      </right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2"/>
      </bottom>
      <diagonal/>
    </border>
    <border>
      <left style="thin">
        <color theme="3" tint="-0.499984740745262"/>
      </left>
      <right/>
      <top style="medium">
        <color auto="1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/>
      <top style="medium">
        <color auto="1"/>
      </top>
      <bottom style="medium">
        <color auto="1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/>
      <bottom style="thin">
        <color theme="3" tint="-0.499984740745262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rgb="FF002060"/>
      </left>
      <right style="thin">
        <color rgb="FF002060"/>
      </right>
      <top style="thin">
        <color rgb="FF000066"/>
      </top>
      <bottom/>
      <diagonal/>
    </border>
    <border>
      <left style="thin">
        <color rgb="FF002060"/>
      </left>
      <right style="thin">
        <color rgb="FF002060"/>
      </right>
      <top style="thin">
        <color rgb="FF000066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rgb="FF000066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2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medium">
        <color auto="1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rgb="FF002060"/>
      </left>
      <right/>
      <top style="thin">
        <color auto="1"/>
      </top>
      <bottom style="thin">
        <color rgb="FF000066"/>
      </bottom>
      <diagonal/>
    </border>
    <border>
      <left/>
      <right/>
      <top style="thin">
        <color auto="1"/>
      </top>
      <bottom style="thin">
        <color rgb="FF000066"/>
      </bottom>
      <diagonal/>
    </border>
    <border>
      <left/>
      <right style="thin">
        <color rgb="FF002060"/>
      </right>
      <top style="thin">
        <color auto="1"/>
      </top>
      <bottom style="thin">
        <color rgb="FF000066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/>
      <diagonal/>
    </border>
    <border>
      <left style="thin">
        <color rgb="FF000066"/>
      </left>
      <right style="thin">
        <color rgb="FF000066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</borders>
  <cellStyleXfs count="4">
    <xf numFmtId="0" fontId="0" fillId="0" borderId="0"/>
    <xf numFmtId="164" fontId="14" fillId="0" borderId="0" applyFill="0" applyBorder="0" applyAlignment="0" applyProtection="0"/>
    <xf numFmtId="167" fontId="14" fillId="0" borderId="0" applyFill="0" applyBorder="0" applyAlignment="0" applyProtection="0"/>
    <xf numFmtId="0" fontId="14" fillId="0" borderId="0"/>
  </cellStyleXfs>
  <cellXfs count="754">
    <xf numFmtId="0" fontId="0" fillId="0" borderId="0" xfId="0"/>
    <xf numFmtId="3" fontId="0" fillId="0" borderId="0" xfId="0" applyNumberForma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2" xfId="0" applyBorder="1"/>
    <xf numFmtId="0" fontId="10" fillId="0" borderId="0" xfId="0" applyFont="1"/>
    <xf numFmtId="3" fontId="2" fillId="0" borderId="0" xfId="0" applyNumberFormat="1" applyFont="1" applyAlignment="1">
      <alignment horizontal="center"/>
    </xf>
    <xf numFmtId="3" fontId="9" fillId="0" borderId="0" xfId="0" applyNumberFormat="1" applyFont="1"/>
    <xf numFmtId="169" fontId="8" fillId="0" borderId="0" xfId="0" applyNumberFormat="1" applyFont="1" applyAlignment="1">
      <alignment horizontal="left"/>
    </xf>
    <xf numFmtId="174" fontId="9" fillId="0" borderId="0" xfId="0" applyNumberFormat="1" applyFont="1"/>
    <xf numFmtId="0" fontId="13" fillId="0" borderId="0" xfId="0" applyFont="1"/>
    <xf numFmtId="49" fontId="8" fillId="0" borderId="0" xfId="0" applyNumberFormat="1" applyFont="1" applyAlignment="1">
      <alignment horizontal="left"/>
    </xf>
    <xf numFmtId="3" fontId="9" fillId="0" borderId="3" xfId="0" applyNumberFormat="1" applyFont="1" applyBorder="1"/>
    <xf numFmtId="17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4" xfId="0" applyNumberFormat="1" applyFont="1" applyBorder="1"/>
    <xf numFmtId="0" fontId="0" fillId="3" borderId="0" xfId="0" applyFill="1"/>
    <xf numFmtId="0" fontId="15" fillId="0" borderId="0" xfId="0" applyFont="1"/>
    <xf numFmtId="3" fontId="12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0" fillId="0" borderId="0" xfId="0" applyNumberFormat="1"/>
    <xf numFmtId="0" fontId="20" fillId="0" borderId="0" xfId="0" applyFont="1"/>
    <xf numFmtId="49" fontId="22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3" fontId="23" fillId="0" borderId="0" xfId="0" applyNumberFormat="1" applyFont="1"/>
    <xf numFmtId="49" fontId="24" fillId="0" borderId="0" xfId="0" applyNumberFormat="1" applyFont="1"/>
    <xf numFmtId="3" fontId="25" fillId="0" borderId="0" xfId="0" applyNumberFormat="1" applyFont="1"/>
    <xf numFmtId="37" fontId="25" fillId="0" borderId="0" xfId="0" applyNumberFormat="1" applyFont="1" applyAlignment="1">
      <alignment horizontal="right"/>
    </xf>
    <xf numFmtId="0" fontId="23" fillId="0" borderId="0" xfId="0" applyFont="1"/>
    <xf numFmtId="0" fontId="26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3" fontId="26" fillId="0" borderId="0" xfId="0" applyNumberFormat="1" applyFont="1"/>
    <xf numFmtId="3" fontId="20" fillId="0" borderId="0" xfId="0" applyNumberFormat="1" applyFont="1"/>
    <xf numFmtId="2" fontId="28" fillId="0" borderId="0" xfId="0" applyNumberFormat="1" applyFont="1"/>
    <xf numFmtId="168" fontId="28" fillId="0" borderId="0" xfId="0" applyNumberFormat="1" applyFont="1"/>
    <xf numFmtId="0" fontId="24" fillId="0" borderId="0" xfId="0" applyFont="1"/>
    <xf numFmtId="3" fontId="21" fillId="0" borderId="0" xfId="0" applyNumberFormat="1" applyFont="1"/>
    <xf numFmtId="37" fontId="20" fillId="0" borderId="0" xfId="0" applyNumberFormat="1" applyFont="1"/>
    <xf numFmtId="0" fontId="21" fillId="0" borderId="0" xfId="0" applyFont="1"/>
    <xf numFmtId="3" fontId="8" fillId="0" borderId="0" xfId="0" applyNumberFormat="1" applyFont="1"/>
    <xf numFmtId="0" fontId="19" fillId="0" borderId="0" xfId="0" applyFont="1"/>
    <xf numFmtId="3" fontId="34" fillId="0" borderId="0" xfId="0" applyNumberFormat="1" applyFont="1" applyAlignment="1">
      <alignment horizontal="left"/>
    </xf>
    <xf numFmtId="49" fontId="34" fillId="0" borderId="0" xfId="0" applyNumberFormat="1" applyFont="1"/>
    <xf numFmtId="4" fontId="0" fillId="0" borderId="0" xfId="0" applyNumberFormat="1"/>
    <xf numFmtId="0" fontId="32" fillId="0" borderId="0" xfId="0" applyFont="1"/>
    <xf numFmtId="4" fontId="32" fillId="0" borderId="0" xfId="0" applyNumberFormat="1" applyFont="1"/>
    <xf numFmtId="0" fontId="33" fillId="0" borderId="0" xfId="0" applyFont="1" applyAlignment="1">
      <alignment horizontal="center"/>
    </xf>
    <xf numFmtId="0" fontId="33" fillId="0" borderId="0" xfId="0" applyFont="1"/>
    <xf numFmtId="3" fontId="35" fillId="0" borderId="0" xfId="0" applyNumberFormat="1" applyFont="1"/>
    <xf numFmtId="166" fontId="0" fillId="0" borderId="0" xfId="0" applyNumberFormat="1"/>
    <xf numFmtId="0" fontId="36" fillId="0" borderId="0" xfId="0" applyFont="1"/>
    <xf numFmtId="0" fontId="18" fillId="5" borderId="0" xfId="0" applyFont="1" applyFill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22" fillId="4" borderId="0" xfId="0" applyFont="1" applyFill="1"/>
    <xf numFmtId="0" fontId="37" fillId="0" borderId="0" xfId="0" applyFont="1"/>
    <xf numFmtId="0" fontId="27" fillId="0" borderId="0" xfId="0" applyFont="1" applyAlignment="1">
      <alignment horizontal="center"/>
    </xf>
    <xf numFmtId="3" fontId="17" fillId="0" borderId="0" xfId="0" applyNumberFormat="1" applyFont="1"/>
    <xf numFmtId="0" fontId="0" fillId="0" borderId="0" xfId="0" applyAlignment="1">
      <alignment horizontal="center"/>
    </xf>
    <xf numFmtId="3" fontId="29" fillId="0" borderId="10" xfId="0" applyNumberFormat="1" applyFont="1" applyBorder="1"/>
    <xf numFmtId="3" fontId="20" fillId="0" borderId="10" xfId="0" applyNumberFormat="1" applyFont="1" applyBorder="1"/>
    <xf numFmtId="0" fontId="39" fillId="0" borderId="0" xfId="0" applyFont="1"/>
    <xf numFmtId="0" fontId="40" fillId="0" borderId="0" xfId="0" applyFont="1" applyAlignment="1">
      <alignment vertical="center"/>
    </xf>
    <xf numFmtId="4" fontId="40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4" fontId="42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4" fontId="43" fillId="0" borderId="0" xfId="0" applyNumberFormat="1" applyFont="1" applyAlignment="1">
      <alignment vertical="center"/>
    </xf>
    <xf numFmtId="169" fontId="1" fillId="0" borderId="0" xfId="0" applyNumberFormat="1" applyFont="1" applyAlignment="1">
      <alignment horizontal="left"/>
    </xf>
    <xf numFmtId="3" fontId="6" fillId="0" borderId="0" xfId="0" applyNumberFormat="1" applyFont="1"/>
    <xf numFmtId="0" fontId="48" fillId="0" borderId="0" xfId="0" applyFont="1"/>
    <xf numFmtId="0" fontId="49" fillId="0" borderId="0" xfId="0" applyFont="1"/>
    <xf numFmtId="0" fontId="45" fillId="0" borderId="0" xfId="0" applyFont="1"/>
    <xf numFmtId="0" fontId="51" fillId="0" borderId="0" xfId="0" applyFont="1"/>
    <xf numFmtId="3" fontId="38" fillId="0" borderId="16" xfId="0" applyNumberFormat="1" applyFont="1" applyBorder="1" applyAlignment="1">
      <alignment horizontal="left"/>
    </xf>
    <xf numFmtId="3" fontId="38" fillId="0" borderId="10" xfId="0" applyNumberFormat="1" applyFont="1" applyBorder="1" applyAlignment="1">
      <alignment horizontal="left"/>
    </xf>
    <xf numFmtId="3" fontId="38" fillId="0" borderId="10" xfId="0" applyNumberFormat="1" applyFont="1" applyBorder="1"/>
    <xf numFmtId="3" fontId="52" fillId="0" borderId="16" xfId="0" applyNumberFormat="1" applyFont="1" applyBorder="1" applyAlignment="1">
      <alignment horizontal="left"/>
    </xf>
    <xf numFmtId="3" fontId="52" fillId="0" borderId="10" xfId="0" applyNumberFormat="1" applyFont="1" applyBorder="1" applyAlignment="1">
      <alignment horizontal="left"/>
    </xf>
    <xf numFmtId="3" fontId="52" fillId="0" borderId="10" xfId="0" applyNumberFormat="1" applyFont="1" applyBorder="1"/>
    <xf numFmtId="3" fontId="38" fillId="0" borderId="10" xfId="0" applyNumberFormat="1" applyFont="1" applyBorder="1" applyAlignment="1">
      <alignment horizontal="right"/>
    </xf>
    <xf numFmtId="3" fontId="38" fillId="0" borderId="16" xfId="0" applyNumberFormat="1" applyFont="1" applyBorder="1"/>
    <xf numFmtId="3" fontId="52" fillId="0" borderId="16" xfId="0" applyNumberFormat="1" applyFont="1" applyBorder="1"/>
    <xf numFmtId="3" fontId="52" fillId="0" borderId="16" xfId="0" applyNumberFormat="1" applyFont="1" applyBorder="1" applyAlignment="1">
      <alignment horizontal="left" vertical="center" wrapText="1"/>
    </xf>
    <xf numFmtId="3" fontId="52" fillId="0" borderId="0" xfId="0" applyNumberFormat="1" applyFont="1" applyAlignment="1">
      <alignment horizontal="left"/>
    </xf>
    <xf numFmtId="3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3" fontId="52" fillId="0" borderId="1" xfId="0" applyNumberFormat="1" applyFont="1" applyBorder="1" applyAlignment="1">
      <alignment horizontal="left" vertical="center"/>
    </xf>
    <xf numFmtId="3" fontId="38" fillId="0" borderId="0" xfId="0" applyNumberFormat="1" applyFont="1"/>
    <xf numFmtId="3" fontId="52" fillId="0" borderId="0" xfId="0" applyNumberFormat="1" applyFont="1"/>
    <xf numFmtId="3" fontId="52" fillId="0" borderId="0" xfId="0" applyNumberFormat="1" applyFont="1" applyAlignment="1">
      <alignment vertical="center"/>
    </xf>
    <xf numFmtId="3" fontId="38" fillId="0" borderId="51" xfId="0" applyNumberFormat="1" applyFont="1" applyBorder="1" applyAlignment="1">
      <alignment horizontal="left"/>
    </xf>
    <xf numFmtId="3" fontId="52" fillId="0" borderId="10" xfId="0" applyNumberFormat="1" applyFont="1" applyBorder="1" applyAlignment="1">
      <alignment vertical="center" wrapText="1"/>
    </xf>
    <xf numFmtId="3" fontId="38" fillId="0" borderId="34" xfId="0" applyNumberFormat="1" applyFont="1" applyBorder="1" applyAlignment="1">
      <alignment horizontal="left"/>
    </xf>
    <xf numFmtId="0" fontId="38" fillId="0" borderId="34" xfId="0" applyFont="1" applyBorder="1"/>
    <xf numFmtId="3" fontId="38" fillId="0" borderId="36" xfId="0" applyNumberFormat="1" applyFont="1" applyBorder="1" applyAlignment="1">
      <alignment horizontal="left"/>
    </xf>
    <xf numFmtId="3" fontId="38" fillId="0" borderId="36" xfId="0" applyNumberFormat="1" applyFont="1" applyBorder="1"/>
    <xf numFmtId="3" fontId="52" fillId="0" borderId="32" xfId="0" applyNumberFormat="1" applyFont="1" applyBorder="1" applyAlignment="1">
      <alignment vertical="center"/>
    </xf>
    <xf numFmtId="3" fontId="52" fillId="0" borderId="10" xfId="0" applyNumberFormat="1" applyFont="1" applyBorder="1" applyAlignment="1">
      <alignment vertical="center"/>
    </xf>
    <xf numFmtId="3" fontId="38" fillId="0" borderId="32" xfId="0" applyNumberFormat="1" applyFont="1" applyBorder="1"/>
    <xf numFmtId="3" fontId="52" fillId="0" borderId="32" xfId="0" applyNumberFormat="1" applyFont="1" applyBorder="1"/>
    <xf numFmtId="3" fontId="38" fillId="0" borderId="26" xfId="0" applyNumberFormat="1" applyFont="1" applyBorder="1"/>
    <xf numFmtId="3" fontId="52" fillId="0" borderId="24" xfId="0" applyNumberFormat="1" applyFont="1" applyBorder="1" applyAlignment="1">
      <alignment vertical="center"/>
    </xf>
    <xf numFmtId="3" fontId="52" fillId="0" borderId="27" xfId="0" applyNumberFormat="1" applyFont="1" applyBorder="1" applyAlignment="1">
      <alignment vertical="center"/>
    </xf>
    <xf numFmtId="3" fontId="38" fillId="0" borderId="23" xfId="0" applyNumberFormat="1" applyFont="1" applyBorder="1"/>
    <xf numFmtId="3" fontId="38" fillId="0" borderId="24" xfId="0" applyNumberFormat="1" applyFont="1" applyBorder="1"/>
    <xf numFmtId="3" fontId="52" fillId="0" borderId="23" xfId="0" applyNumberFormat="1" applyFont="1" applyBorder="1" applyAlignment="1">
      <alignment vertical="center"/>
    </xf>
    <xf numFmtId="3" fontId="52" fillId="0" borderId="30" xfId="0" applyNumberFormat="1" applyFont="1" applyBorder="1"/>
    <xf numFmtId="3" fontId="38" fillId="0" borderId="30" xfId="0" applyNumberFormat="1" applyFont="1" applyBorder="1" applyAlignment="1">
      <alignment horizontal="left"/>
    </xf>
    <xf numFmtId="3" fontId="38" fillId="0" borderId="30" xfId="0" applyNumberFormat="1" applyFont="1" applyBorder="1"/>
    <xf numFmtId="0" fontId="38" fillId="0" borderId="30" xfId="0" applyFont="1" applyBorder="1"/>
    <xf numFmtId="4" fontId="38" fillId="0" borderId="30" xfId="0" applyNumberFormat="1" applyFont="1" applyBorder="1"/>
    <xf numFmtId="3" fontId="52" fillId="0" borderId="26" xfId="0" applyNumberFormat="1" applyFont="1" applyBorder="1"/>
    <xf numFmtId="3" fontId="38" fillId="0" borderId="48" xfId="0" applyNumberFormat="1" applyFont="1" applyBorder="1"/>
    <xf numFmtId="3" fontId="10" fillId="0" borderId="28" xfId="0" applyNumberFormat="1" applyFont="1" applyBorder="1" applyAlignment="1">
      <alignment horizontal="left" vertical="center"/>
    </xf>
    <xf numFmtId="3" fontId="52" fillId="0" borderId="11" xfId="0" applyNumberFormat="1" applyFont="1" applyBorder="1" applyAlignment="1">
      <alignment horizontal="left" vertical="center"/>
    </xf>
    <xf numFmtId="3" fontId="52" fillId="0" borderId="11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horizontal="left" vertical="center"/>
    </xf>
    <xf numFmtId="3" fontId="52" fillId="0" borderId="50" xfId="0" applyNumberFormat="1" applyFont="1" applyBorder="1" applyAlignment="1">
      <alignment horizontal="left" vertical="center"/>
    </xf>
    <xf numFmtId="3" fontId="52" fillId="0" borderId="42" xfId="0" applyNumberFormat="1" applyFont="1" applyBorder="1" applyAlignment="1">
      <alignment vertical="center"/>
    </xf>
    <xf numFmtId="3" fontId="52" fillId="0" borderId="43" xfId="0" applyNumberFormat="1" applyFont="1" applyBorder="1" applyAlignment="1">
      <alignment vertical="center"/>
    </xf>
    <xf numFmtId="3" fontId="52" fillId="0" borderId="44" xfId="0" applyNumberFormat="1" applyFont="1" applyBorder="1" applyAlignment="1">
      <alignment vertical="center"/>
    </xf>
    <xf numFmtId="3" fontId="52" fillId="0" borderId="6" xfId="0" applyNumberFormat="1" applyFont="1" applyBorder="1" applyAlignment="1">
      <alignment horizontal="left" vertical="center"/>
    </xf>
    <xf numFmtId="3" fontId="52" fillId="0" borderId="63" xfId="0" applyNumberFormat="1" applyFont="1" applyBorder="1" applyAlignment="1">
      <alignment horizontal="left" vertical="center"/>
    </xf>
    <xf numFmtId="3" fontId="52" fillId="0" borderId="63" xfId="0" applyNumberFormat="1" applyFont="1" applyBorder="1" applyAlignment="1">
      <alignment vertical="center"/>
    </xf>
    <xf numFmtId="3" fontId="52" fillId="0" borderId="57" xfId="0" applyNumberFormat="1" applyFont="1" applyBorder="1" applyAlignment="1">
      <alignment horizontal="left" vertical="center"/>
    </xf>
    <xf numFmtId="3" fontId="52" fillId="0" borderId="26" xfId="0" applyNumberFormat="1" applyFont="1" applyBorder="1" applyAlignment="1">
      <alignment vertical="center"/>
    </xf>
    <xf numFmtId="3" fontId="38" fillId="0" borderId="33" xfId="0" applyNumberFormat="1" applyFont="1" applyBorder="1"/>
    <xf numFmtId="3" fontId="38" fillId="0" borderId="26" xfId="0" applyNumberFormat="1" applyFont="1" applyBorder="1" applyAlignment="1">
      <alignment horizontal="left"/>
    </xf>
    <xf numFmtId="3" fontId="52" fillId="0" borderId="33" xfId="0" applyNumberFormat="1" applyFont="1" applyBorder="1" applyAlignment="1">
      <alignment vertical="center"/>
    </xf>
    <xf numFmtId="3" fontId="38" fillId="0" borderId="58" xfId="0" applyNumberFormat="1" applyFont="1" applyBorder="1" applyAlignment="1">
      <alignment horizontal="left"/>
    </xf>
    <xf numFmtId="3" fontId="38" fillId="0" borderId="57" xfId="0" applyNumberFormat="1" applyFont="1" applyBorder="1"/>
    <xf numFmtId="3" fontId="52" fillId="0" borderId="58" xfId="0" applyNumberFormat="1" applyFont="1" applyBorder="1" applyAlignment="1">
      <alignment vertical="center"/>
    </xf>
    <xf numFmtId="3" fontId="52" fillId="0" borderId="57" xfId="0" applyNumberFormat="1" applyFont="1" applyBorder="1" applyAlignment="1">
      <alignment vertical="center"/>
    </xf>
    <xf numFmtId="3" fontId="52" fillId="0" borderId="62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6" xfId="0" applyNumberFormat="1" applyFont="1" applyBorder="1" applyAlignment="1">
      <alignment vertical="center"/>
    </xf>
    <xf numFmtId="3" fontId="52" fillId="0" borderId="33" xfId="0" applyNumberFormat="1" applyFont="1" applyBorder="1"/>
    <xf numFmtId="3" fontId="52" fillId="0" borderId="29" xfId="0" applyNumberFormat="1" applyFont="1" applyBorder="1"/>
    <xf numFmtId="3" fontId="38" fillId="0" borderId="29" xfId="0" applyNumberFormat="1" applyFont="1" applyBorder="1"/>
    <xf numFmtId="3" fontId="52" fillId="0" borderId="66" xfId="0" applyNumberFormat="1" applyFont="1" applyBorder="1" applyAlignment="1">
      <alignment horizontal="left" vertical="center"/>
    </xf>
    <xf numFmtId="3" fontId="52" fillId="0" borderId="26" xfId="0" applyNumberFormat="1" applyFont="1" applyBorder="1" applyAlignment="1">
      <alignment horizontal="left"/>
    </xf>
    <xf numFmtId="3" fontId="10" fillId="0" borderId="71" xfId="0" applyNumberFormat="1" applyFont="1" applyBorder="1" applyAlignment="1">
      <alignment horizontal="left" vertical="center"/>
    </xf>
    <xf numFmtId="3" fontId="10" fillId="0" borderId="71" xfId="0" applyNumberFormat="1" applyFont="1" applyBorder="1" applyAlignment="1">
      <alignment vertical="center"/>
    </xf>
    <xf numFmtId="3" fontId="10" fillId="0" borderId="72" xfId="0" applyNumberFormat="1" applyFont="1" applyBorder="1" applyAlignment="1">
      <alignment vertical="center"/>
    </xf>
    <xf numFmtId="3" fontId="10" fillId="0" borderId="5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8" fontId="31" fillId="0" borderId="0" xfId="0" applyNumberFormat="1" applyFont="1"/>
    <xf numFmtId="0" fontId="52" fillId="0" borderId="0" xfId="0" applyFont="1"/>
    <xf numFmtId="0" fontId="21" fillId="0" borderId="16" xfId="0" applyFont="1" applyBorder="1"/>
    <xf numFmtId="3" fontId="20" fillId="0" borderId="0" xfId="0" applyNumberFormat="1" applyFont="1" applyAlignment="1">
      <alignment vertical="center"/>
    </xf>
    <xf numFmtId="3" fontId="20" fillId="0" borderId="34" xfId="0" applyNumberFormat="1" applyFont="1" applyBorder="1" applyAlignment="1">
      <alignment vertical="center"/>
    </xf>
    <xf numFmtId="3" fontId="20" fillId="0" borderId="34" xfId="0" applyNumberFormat="1" applyFont="1" applyBorder="1"/>
    <xf numFmtId="49" fontId="38" fillId="0" borderId="16" xfId="0" applyNumberFormat="1" applyFont="1" applyBorder="1" applyAlignment="1">
      <alignment horizontal="left"/>
    </xf>
    <xf numFmtId="4" fontId="23" fillId="0" borderId="0" xfId="0" applyNumberFormat="1" applyFont="1"/>
    <xf numFmtId="0" fontId="20" fillId="0" borderId="0" xfId="0" applyFont="1" applyAlignment="1">
      <alignment horizontal="left"/>
    </xf>
    <xf numFmtId="3" fontId="60" fillId="0" borderId="0" xfId="0" applyNumberFormat="1" applyFont="1" applyAlignment="1">
      <alignment horizontal="right" vertical="center"/>
    </xf>
    <xf numFmtId="3" fontId="45" fillId="0" borderId="0" xfId="0" applyNumberFormat="1" applyFont="1" applyAlignment="1">
      <alignment horizontal="left"/>
    </xf>
    <xf numFmtId="3" fontId="20" fillId="0" borderId="0" xfId="0" applyNumberFormat="1" applyFont="1" applyAlignment="1">
      <alignment horizontal="right"/>
    </xf>
    <xf numFmtId="3" fontId="45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 vertical="center"/>
    </xf>
    <xf numFmtId="3" fontId="61" fillId="0" borderId="0" xfId="0" applyNumberFormat="1" applyFont="1" applyAlignment="1">
      <alignment horizontal="right" vertical="center"/>
    </xf>
    <xf numFmtId="3" fontId="45" fillId="0" borderId="0" xfId="0" applyNumberFormat="1" applyFont="1"/>
    <xf numFmtId="166" fontId="22" fillId="0" borderId="24" xfId="0" applyNumberFormat="1" applyFont="1" applyBorder="1"/>
    <xf numFmtId="166" fontId="20" fillId="0" borderId="24" xfId="0" applyNumberFormat="1" applyFont="1" applyBorder="1"/>
    <xf numFmtId="3" fontId="20" fillId="0" borderId="23" xfId="0" applyNumberFormat="1" applyFont="1" applyBorder="1"/>
    <xf numFmtId="3" fontId="20" fillId="0" borderId="23" xfId="0" applyNumberFormat="1" applyFont="1" applyBorder="1" applyAlignment="1">
      <alignment horizontal="left"/>
    </xf>
    <xf numFmtId="3" fontId="20" fillId="0" borderId="23" xfId="0" applyNumberFormat="1" applyFont="1" applyBorder="1" applyAlignment="1">
      <alignment horizontal="center"/>
    </xf>
    <xf numFmtId="3" fontId="56" fillId="0" borderId="23" xfId="0" applyNumberFormat="1" applyFont="1" applyBorder="1"/>
    <xf numFmtId="3" fontId="56" fillId="0" borderId="23" xfId="0" applyNumberFormat="1" applyFont="1" applyBorder="1" applyAlignment="1">
      <alignment horizontal="right"/>
    </xf>
    <xf numFmtId="0" fontId="20" fillId="0" borderId="98" xfId="0" applyFont="1" applyBorder="1"/>
    <xf numFmtId="3" fontId="64" fillId="0" borderId="10" xfId="0" applyNumberFormat="1" applyFont="1" applyBorder="1"/>
    <xf numFmtId="3" fontId="56" fillId="0" borderId="10" xfId="0" applyNumberFormat="1" applyFont="1" applyBorder="1"/>
    <xf numFmtId="0" fontId="56" fillId="0" borderId="0" xfId="0" applyFont="1"/>
    <xf numFmtId="37" fontId="56" fillId="0" borderId="23" xfId="0" applyNumberFormat="1" applyFont="1" applyBorder="1"/>
    <xf numFmtId="165" fontId="56" fillId="2" borderId="23" xfId="0" applyNumberFormat="1" applyFont="1" applyFill="1" applyBorder="1"/>
    <xf numFmtId="0" fontId="20" fillId="0" borderId="24" xfId="0" applyFont="1" applyBorder="1"/>
    <xf numFmtId="0" fontId="22" fillId="0" borderId="98" xfId="0" applyFont="1" applyBorder="1"/>
    <xf numFmtId="0" fontId="64" fillId="0" borderId="98" xfId="0" applyFont="1" applyBorder="1"/>
    <xf numFmtId="3" fontId="64" fillId="2" borderId="23" xfId="0" applyNumberFormat="1" applyFont="1" applyFill="1" applyBorder="1"/>
    <xf numFmtId="165" fontId="64" fillId="2" borderId="23" xfId="0" applyNumberFormat="1" applyFont="1" applyFill="1" applyBorder="1"/>
    <xf numFmtId="166" fontId="64" fillId="0" borderId="24" xfId="0" applyNumberFormat="1" applyFont="1" applyBorder="1" applyAlignment="1">
      <alignment horizontal="center"/>
    </xf>
    <xf numFmtId="3" fontId="64" fillId="0" borderId="23" xfId="0" applyNumberFormat="1" applyFont="1" applyBorder="1"/>
    <xf numFmtId="165" fontId="64" fillId="0" borderId="23" xfId="0" applyNumberFormat="1" applyFont="1" applyBorder="1"/>
    <xf numFmtId="0" fontId="64" fillId="0" borderId="24" xfId="0" applyFont="1" applyBorder="1" applyAlignment="1">
      <alignment horizontal="center"/>
    </xf>
    <xf numFmtId="0" fontId="64" fillId="0" borderId="98" xfId="0" applyFont="1" applyBorder="1" applyAlignment="1">
      <alignment horizontal="left"/>
    </xf>
    <xf numFmtId="0" fontId="56" fillId="0" borderId="98" xfId="0" applyFont="1" applyBorder="1" applyAlignment="1">
      <alignment horizontal="left"/>
    </xf>
    <xf numFmtId="0" fontId="56" fillId="0" borderId="23" xfId="0" applyFont="1" applyBorder="1"/>
    <xf numFmtId="166" fontId="56" fillId="0" borderId="24" xfId="0" applyNumberFormat="1" applyFont="1" applyBorder="1" applyAlignment="1">
      <alignment horizontal="center"/>
    </xf>
    <xf numFmtId="0" fontId="56" fillId="0" borderId="98" xfId="0" applyFont="1" applyBorder="1"/>
    <xf numFmtId="3" fontId="64" fillId="0" borderId="23" xfId="0" applyNumberFormat="1" applyFont="1" applyBorder="1" applyAlignment="1">
      <alignment horizontal="right"/>
    </xf>
    <xf numFmtId="170" fontId="56" fillId="0" borderId="23" xfId="0" applyNumberFormat="1" applyFont="1" applyBorder="1"/>
    <xf numFmtId="0" fontId="56" fillId="0" borderId="99" xfId="0" applyFont="1" applyBorder="1"/>
    <xf numFmtId="0" fontId="56" fillId="0" borderId="111" xfId="0" applyFont="1" applyBorder="1"/>
    <xf numFmtId="3" fontId="56" fillId="0" borderId="111" xfId="0" applyNumberFormat="1" applyFont="1" applyBorder="1"/>
    <xf numFmtId="37" fontId="56" fillId="0" borderId="111" xfId="0" applyNumberFormat="1" applyFont="1" applyBorder="1"/>
    <xf numFmtId="0" fontId="56" fillId="0" borderId="112" xfId="0" applyFont="1" applyBorder="1"/>
    <xf numFmtId="3" fontId="20" fillId="0" borderId="24" xfId="0" applyNumberFormat="1" applyFont="1" applyBorder="1"/>
    <xf numFmtId="3" fontId="20" fillId="0" borderId="98" xfId="0" applyNumberFormat="1" applyFont="1" applyBorder="1"/>
    <xf numFmtId="0" fontId="56" fillId="0" borderId="93" xfId="0" applyFont="1" applyBorder="1"/>
    <xf numFmtId="3" fontId="56" fillId="0" borderId="93" xfId="0" applyNumberFormat="1" applyFont="1" applyBorder="1"/>
    <xf numFmtId="37" fontId="56" fillId="0" borderId="93" xfId="0" applyNumberFormat="1" applyFont="1" applyBorder="1"/>
    <xf numFmtId="0" fontId="21" fillId="0" borderId="34" xfId="0" applyFont="1" applyBorder="1" applyAlignment="1">
      <alignment horizontal="center"/>
    </xf>
    <xf numFmtId="0" fontId="20" fillId="0" borderId="56" xfId="0" applyFont="1" applyBorder="1"/>
    <xf numFmtId="0" fontId="64" fillId="0" borderId="10" xfId="0" applyFont="1" applyBorder="1"/>
    <xf numFmtId="165" fontId="64" fillId="0" borderId="34" xfId="0" applyNumberFormat="1" applyFont="1" applyBorder="1"/>
    <xf numFmtId="166" fontId="64" fillId="0" borderId="35" xfId="0" applyNumberFormat="1" applyFont="1" applyBorder="1"/>
    <xf numFmtId="3" fontId="46" fillId="0" borderId="10" xfId="0" applyNumberFormat="1" applyFont="1" applyBorder="1"/>
    <xf numFmtId="165" fontId="46" fillId="0" borderId="34" xfId="0" applyNumberFormat="1" applyFont="1" applyBorder="1"/>
    <xf numFmtId="166" fontId="46" fillId="0" borderId="35" xfId="0" applyNumberFormat="1" applyFont="1" applyBorder="1"/>
    <xf numFmtId="165" fontId="56" fillId="0" borderId="34" xfId="0" applyNumberFormat="1" applyFont="1" applyBorder="1" applyAlignment="1">
      <alignment horizontal="right"/>
    </xf>
    <xf numFmtId="166" fontId="56" fillId="0" borderId="35" xfId="0" applyNumberFormat="1" applyFont="1" applyBorder="1"/>
    <xf numFmtId="165" fontId="56" fillId="0" borderId="34" xfId="0" applyNumberFormat="1" applyFont="1" applyBorder="1"/>
    <xf numFmtId="165" fontId="46" fillId="0" borderId="34" xfId="0" applyNumberFormat="1" applyFont="1" applyBorder="1" applyAlignment="1">
      <alignment horizontal="right"/>
    </xf>
    <xf numFmtId="165" fontId="64" fillId="0" borderId="34" xfId="0" applyNumberFormat="1" applyFont="1" applyBorder="1" applyAlignment="1">
      <alignment horizontal="right"/>
    </xf>
    <xf numFmtId="37" fontId="46" fillId="0" borderId="34" xfId="0" applyNumberFormat="1" applyFont="1" applyBorder="1"/>
    <xf numFmtId="37" fontId="46" fillId="0" borderId="36" xfId="0" applyNumberFormat="1" applyFont="1" applyBorder="1"/>
    <xf numFmtId="166" fontId="46" fillId="0" borderId="37" xfId="0" applyNumberFormat="1" applyFont="1" applyBorder="1"/>
    <xf numFmtId="0" fontId="21" fillId="0" borderId="45" xfId="0" applyFont="1" applyBorder="1" applyAlignment="1">
      <alignment horizontal="center"/>
    </xf>
    <xf numFmtId="0" fontId="21" fillId="0" borderId="34" xfId="0" applyFont="1" applyBorder="1"/>
    <xf numFmtId="0" fontId="21" fillId="0" borderId="34" xfId="0" applyFont="1" applyBorder="1" applyAlignment="1">
      <alignment horizontal="left"/>
    </xf>
    <xf numFmtId="0" fontId="64" fillId="0" borderId="45" xfId="0" applyFont="1" applyBorder="1" applyAlignment="1">
      <alignment horizontal="center"/>
    </xf>
    <xf numFmtId="0" fontId="64" fillId="0" borderId="34" xfId="0" applyFont="1" applyBorder="1"/>
    <xf numFmtId="3" fontId="64" fillId="0" borderId="34" xfId="0" applyNumberFormat="1" applyFont="1" applyBorder="1"/>
    <xf numFmtId="0" fontId="46" fillId="0" borderId="45" xfId="0" applyFont="1" applyBorder="1" applyAlignment="1">
      <alignment horizontal="left"/>
    </xf>
    <xf numFmtId="0" fontId="46" fillId="0" borderId="34" xfId="0" applyFont="1" applyBorder="1"/>
    <xf numFmtId="3" fontId="46" fillId="0" borderId="34" xfId="0" applyNumberFormat="1" applyFont="1" applyBorder="1"/>
    <xf numFmtId="0" fontId="56" fillId="0" borderId="45" xfId="0" applyFont="1" applyBorder="1" applyAlignment="1">
      <alignment horizontal="left"/>
    </xf>
    <xf numFmtId="0" fontId="56" fillId="0" borderId="34" xfId="0" applyFont="1" applyBorder="1" applyAlignment="1">
      <alignment horizontal="center"/>
    </xf>
    <xf numFmtId="3" fontId="56" fillId="0" borderId="34" xfId="0" applyNumberFormat="1" applyFont="1" applyBorder="1"/>
    <xf numFmtId="0" fontId="56" fillId="0" borderId="45" xfId="0" applyFont="1" applyBorder="1"/>
    <xf numFmtId="0" fontId="46" fillId="0" borderId="45" xfId="0" applyFont="1" applyBorder="1"/>
    <xf numFmtId="0" fontId="46" fillId="0" borderId="34" xfId="0" applyFont="1" applyBorder="1" applyAlignment="1">
      <alignment horizontal="center"/>
    </xf>
    <xf numFmtId="0" fontId="64" fillId="0" borderId="34" xfId="0" applyFont="1" applyBorder="1" applyAlignment="1">
      <alignment horizontal="center"/>
    </xf>
    <xf numFmtId="0" fontId="64" fillId="0" borderId="45" xfId="0" applyFont="1" applyBorder="1" applyAlignment="1">
      <alignment horizontal="center" vertical="center" wrapText="1"/>
    </xf>
    <xf numFmtId="3" fontId="46" fillId="4" borderId="34" xfId="0" applyNumberFormat="1" applyFont="1" applyFill="1" applyBorder="1"/>
    <xf numFmtId="0" fontId="46" fillId="0" borderId="125" xfId="0" applyFont="1" applyBorder="1"/>
    <xf numFmtId="0" fontId="46" fillId="0" borderId="36" xfId="0" applyFont="1" applyBorder="1" applyAlignment="1">
      <alignment horizontal="center"/>
    </xf>
    <xf numFmtId="3" fontId="46" fillId="0" borderId="36" xfId="0" applyNumberFormat="1" applyFont="1" applyBorder="1"/>
    <xf numFmtId="0" fontId="20" fillId="0" borderId="75" xfId="0" applyFont="1" applyBorder="1"/>
    <xf numFmtId="0" fontId="21" fillId="4" borderId="0" xfId="0" applyFont="1" applyFill="1"/>
    <xf numFmtId="0" fontId="20" fillId="0" borderId="129" xfId="0" applyFont="1" applyBorder="1"/>
    <xf numFmtId="0" fontId="22" fillId="0" borderId="23" xfId="0" applyFont="1" applyBorder="1" applyAlignment="1">
      <alignment horizontal="center"/>
    </xf>
    <xf numFmtId="172" fontId="22" fillId="0" borderId="24" xfId="0" applyNumberFormat="1" applyFont="1" applyBorder="1" applyAlignment="1">
      <alignment horizontal="center"/>
    </xf>
    <xf numFmtId="168" fontId="64" fillId="4" borderId="24" xfId="0" applyNumberFormat="1" applyFont="1" applyFill="1" applyBorder="1"/>
    <xf numFmtId="168" fontId="64" fillId="0" borderId="24" xfId="0" applyNumberFormat="1" applyFont="1" applyBorder="1"/>
    <xf numFmtId="0" fontId="64" fillId="4" borderId="98" xfId="0" applyFont="1" applyFill="1" applyBorder="1" applyAlignment="1">
      <alignment horizontal="left"/>
    </xf>
    <xf numFmtId="3" fontId="64" fillId="4" borderId="23" xfId="0" applyNumberFormat="1" applyFont="1" applyFill="1" applyBorder="1"/>
    <xf numFmtId="0" fontId="46" fillId="4" borderId="98" xfId="0" applyFont="1" applyFill="1" applyBorder="1" applyAlignment="1">
      <alignment horizontal="left"/>
    </xf>
    <xf numFmtId="3" fontId="46" fillId="4" borderId="23" xfId="0" applyNumberFormat="1" applyFont="1" applyFill="1" applyBorder="1"/>
    <xf numFmtId="168" fontId="46" fillId="4" borderId="24" xfId="0" applyNumberFormat="1" applyFont="1" applyFill="1" applyBorder="1"/>
    <xf numFmtId="0" fontId="56" fillId="4" borderId="98" xfId="0" applyFont="1" applyFill="1" applyBorder="1"/>
    <xf numFmtId="3" fontId="56" fillId="4" borderId="23" xfId="0" applyNumberFormat="1" applyFont="1" applyFill="1" applyBorder="1"/>
    <xf numFmtId="168" fontId="56" fillId="4" borderId="24" xfId="0" applyNumberFormat="1" applyFont="1" applyFill="1" applyBorder="1"/>
    <xf numFmtId="0" fontId="56" fillId="4" borderId="98" xfId="0" applyFont="1" applyFill="1" applyBorder="1" applyAlignment="1">
      <alignment horizontal="left"/>
    </xf>
    <xf numFmtId="0" fontId="56" fillId="4" borderId="23" xfId="0" applyFont="1" applyFill="1" applyBorder="1" applyAlignment="1">
      <alignment horizontal="left"/>
    </xf>
    <xf numFmtId="0" fontId="64" fillId="4" borderId="23" xfId="0" applyFont="1" applyFill="1" applyBorder="1" applyAlignment="1">
      <alignment horizontal="left"/>
    </xf>
    <xf numFmtId="3" fontId="64" fillId="4" borderId="23" xfId="0" applyNumberFormat="1" applyFont="1" applyFill="1" applyBorder="1" applyAlignment="1">
      <alignment horizontal="right"/>
    </xf>
    <xf numFmtId="165" fontId="64" fillId="4" borderId="23" xfId="0" applyNumberFormat="1" applyFont="1" applyFill="1" applyBorder="1" applyAlignment="1">
      <alignment horizontal="right"/>
    </xf>
    <xf numFmtId="0" fontId="50" fillId="4" borderId="98" xfId="0" applyFont="1" applyFill="1" applyBorder="1" applyAlignment="1">
      <alignment horizontal="left"/>
    </xf>
    <xf numFmtId="0" fontId="50" fillId="4" borderId="23" xfId="0" applyFont="1" applyFill="1" applyBorder="1" applyAlignment="1">
      <alignment horizontal="left"/>
    </xf>
    <xf numFmtId="3" fontId="46" fillId="6" borderId="23" xfId="0" applyNumberFormat="1" applyFont="1" applyFill="1" applyBorder="1"/>
    <xf numFmtId="0" fontId="64" fillId="4" borderId="130" xfId="0" applyFont="1" applyFill="1" applyBorder="1" applyAlignment="1">
      <alignment horizontal="left"/>
    </xf>
    <xf numFmtId="0" fontId="64" fillId="4" borderId="101" xfId="0" applyFont="1" applyFill="1" applyBorder="1" applyAlignment="1">
      <alignment horizontal="left"/>
    </xf>
    <xf numFmtId="165" fontId="64" fillId="4" borderId="101" xfId="0" applyNumberFormat="1" applyFont="1" applyFill="1" applyBorder="1"/>
    <xf numFmtId="168" fontId="46" fillId="4" borderId="81" xfId="0" applyNumberFormat="1" applyFont="1" applyFill="1" applyBorder="1"/>
    <xf numFmtId="0" fontId="64" fillId="0" borderId="16" xfId="0" applyFont="1" applyBorder="1"/>
    <xf numFmtId="0" fontId="46" fillId="0" borderId="16" xfId="0" applyFont="1" applyBorder="1"/>
    <xf numFmtId="0" fontId="56" fillId="0" borderId="16" xfId="0" applyFont="1" applyBorder="1"/>
    <xf numFmtId="168" fontId="22" fillId="0" borderId="0" xfId="0" applyNumberFormat="1" applyFont="1"/>
    <xf numFmtId="0" fontId="63" fillId="5" borderId="98" xfId="0" applyFont="1" applyFill="1" applyBorder="1" applyAlignment="1">
      <alignment horizontal="center" vertical="center" wrapText="1"/>
    </xf>
    <xf numFmtId="0" fontId="63" fillId="5" borderId="23" xfId="0" applyFont="1" applyFill="1" applyBorder="1" applyAlignment="1">
      <alignment horizontal="center" vertical="center" wrapText="1"/>
    </xf>
    <xf numFmtId="0" fontId="63" fillId="4" borderId="23" xfId="0" applyFont="1" applyFill="1" applyBorder="1" applyAlignment="1">
      <alignment horizontal="center" vertical="center" wrapText="1"/>
    </xf>
    <xf numFmtId="0" fontId="63" fillId="4" borderId="23" xfId="0" applyFont="1" applyFill="1" applyBorder="1"/>
    <xf numFmtId="0" fontId="63" fillId="4" borderId="23" xfId="0" applyFont="1" applyFill="1" applyBorder="1" applyAlignment="1">
      <alignment horizontal="center"/>
    </xf>
    <xf numFmtId="0" fontId="63" fillId="4" borderId="24" xfId="0" applyFont="1" applyFill="1" applyBorder="1" applyAlignment="1">
      <alignment horizontal="center" vertical="center" wrapText="1"/>
    </xf>
    <xf numFmtId="0" fontId="29" fillId="0" borderId="98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6" fillId="0" borderId="23" xfId="0" applyFont="1" applyBorder="1"/>
    <xf numFmtId="0" fontId="46" fillId="0" borderId="24" xfId="0" applyFont="1" applyBorder="1" applyAlignment="1">
      <alignment horizontal="center"/>
    </xf>
    <xf numFmtId="0" fontId="64" fillId="0" borderId="23" xfId="0" applyFont="1" applyBorder="1"/>
    <xf numFmtId="168" fontId="64" fillId="0" borderId="23" xfId="0" applyNumberFormat="1" applyFont="1" applyBorder="1"/>
    <xf numFmtId="173" fontId="64" fillId="0" borderId="23" xfId="0" applyNumberFormat="1" applyFont="1" applyBorder="1"/>
    <xf numFmtId="0" fontId="46" fillId="0" borderId="98" xfId="0" applyFont="1" applyBorder="1"/>
    <xf numFmtId="168" fontId="46" fillId="0" borderId="23" xfId="0" applyNumberFormat="1" applyFont="1" applyBorder="1"/>
    <xf numFmtId="166" fontId="46" fillId="0" borderId="24" xfId="0" applyNumberFormat="1" applyFont="1" applyBorder="1" applyAlignment="1">
      <alignment horizontal="center"/>
    </xf>
    <xf numFmtId="168" fontId="56" fillId="0" borderId="23" xfId="0" applyNumberFormat="1" applyFont="1" applyBorder="1"/>
    <xf numFmtId="173" fontId="56" fillId="0" borderId="23" xfId="0" applyNumberFormat="1" applyFont="1" applyBorder="1"/>
    <xf numFmtId="173" fontId="46" fillId="0" borderId="23" xfId="0" applyNumberFormat="1" applyFont="1" applyBorder="1"/>
    <xf numFmtId="0" fontId="56" fillId="0" borderId="23" xfId="0" applyFont="1" applyBorder="1" applyAlignment="1">
      <alignment horizontal="center"/>
    </xf>
    <xf numFmtId="0" fontId="29" fillId="0" borderId="130" xfId="0" applyFont="1" applyBorder="1" applyAlignment="1">
      <alignment horizontal="center"/>
    </xf>
    <xf numFmtId="0" fontId="56" fillId="0" borderId="101" xfId="0" applyFont="1" applyBorder="1" applyAlignment="1">
      <alignment horizontal="center"/>
    </xf>
    <xf numFmtId="175" fontId="56" fillId="0" borderId="101" xfId="0" applyNumberFormat="1" applyFont="1" applyBorder="1"/>
    <xf numFmtId="168" fontId="56" fillId="0" borderId="101" xfId="0" applyNumberFormat="1" applyFont="1" applyBorder="1"/>
    <xf numFmtId="173" fontId="29" fillId="0" borderId="101" xfId="0" applyNumberFormat="1" applyFont="1" applyBorder="1"/>
    <xf numFmtId="166" fontId="56" fillId="0" borderId="81" xfId="0" applyNumberFormat="1" applyFont="1" applyBorder="1" applyAlignment="1">
      <alignment horizontal="center"/>
    </xf>
    <xf numFmtId="0" fontId="22" fillId="0" borderId="131" xfId="0" applyFont="1" applyBorder="1"/>
    <xf numFmtId="2" fontId="22" fillId="0" borderId="131" xfId="0" applyNumberFormat="1" applyFont="1" applyBorder="1"/>
    <xf numFmtId="0" fontId="20" fillId="0" borderId="131" xfId="0" applyFont="1" applyBorder="1" applyAlignment="1">
      <alignment horizontal="center"/>
    </xf>
    <xf numFmtId="3" fontId="29" fillId="0" borderId="8" xfId="0" applyNumberFormat="1" applyFont="1" applyBorder="1"/>
    <xf numFmtId="3" fontId="64" fillId="0" borderId="10" xfId="0" applyNumberFormat="1" applyFont="1" applyBorder="1" applyAlignment="1">
      <alignment horizontal="center"/>
    </xf>
    <xf numFmtId="168" fontId="56" fillId="0" borderId="13" xfId="0" applyNumberFormat="1" applyFont="1" applyBorder="1" applyAlignment="1">
      <alignment horizontal="center"/>
    </xf>
    <xf numFmtId="168" fontId="64" fillId="0" borderId="13" xfId="0" applyNumberFormat="1" applyFont="1" applyBorder="1" applyAlignment="1">
      <alignment horizontal="center"/>
    </xf>
    <xf numFmtId="168" fontId="29" fillId="0" borderId="13" xfId="0" applyNumberFormat="1" applyFont="1" applyBorder="1" applyAlignment="1">
      <alignment horizontal="center"/>
    </xf>
    <xf numFmtId="0" fontId="29" fillId="0" borderId="16" xfId="0" applyFont="1" applyBorder="1"/>
    <xf numFmtId="168" fontId="29" fillId="0" borderId="14" xfId="0" applyNumberFormat="1" applyFont="1" applyBorder="1" applyAlignment="1">
      <alignment horizontal="center"/>
    </xf>
    <xf numFmtId="0" fontId="50" fillId="0" borderId="10" xfId="0" applyFont="1" applyBorder="1"/>
    <xf numFmtId="168" fontId="46" fillId="0" borderId="13" xfId="0" applyNumberFormat="1" applyFont="1" applyBorder="1" applyAlignment="1">
      <alignment horizontal="center"/>
    </xf>
    <xf numFmtId="0" fontId="28" fillId="0" borderId="133" xfId="0" applyFont="1" applyBorder="1"/>
    <xf numFmtId="0" fontId="28" fillId="0" borderId="134" xfId="0" applyFont="1" applyBorder="1"/>
    <xf numFmtId="3" fontId="23" fillId="0" borderId="134" xfId="0" applyNumberFormat="1" applyFont="1" applyBorder="1"/>
    <xf numFmtId="3" fontId="25" fillId="0" borderId="134" xfId="0" applyNumberFormat="1" applyFont="1" applyBorder="1"/>
    <xf numFmtId="168" fontId="23" fillId="0" borderId="135" xfId="0" applyNumberFormat="1" applyFont="1" applyBorder="1" applyAlignment="1">
      <alignment horizontal="center"/>
    </xf>
    <xf numFmtId="0" fontId="20" fillId="0" borderId="136" xfId="0" applyFont="1" applyBorder="1" applyAlignment="1">
      <alignment horizontal="center"/>
    </xf>
    <xf numFmtId="3" fontId="20" fillId="0" borderId="57" xfId="0" applyNumberFormat="1" applyFont="1" applyBorder="1" applyAlignment="1">
      <alignment horizontal="left"/>
    </xf>
    <xf numFmtId="3" fontId="20" fillId="0" borderId="26" xfId="0" applyNumberFormat="1" applyFont="1" applyBorder="1" applyAlignment="1">
      <alignment horizontal="left"/>
    </xf>
    <xf numFmtId="3" fontId="20" fillId="0" borderId="26" xfId="0" applyNumberFormat="1" applyFont="1" applyBorder="1"/>
    <xf numFmtId="168" fontId="20" fillId="0" borderId="33" xfId="0" applyNumberFormat="1" applyFont="1" applyBorder="1"/>
    <xf numFmtId="3" fontId="22" fillId="0" borderId="53" xfId="0" applyNumberFormat="1" applyFont="1" applyBorder="1" applyAlignment="1">
      <alignment horizontal="left" vertical="center"/>
    </xf>
    <xf numFmtId="3" fontId="22" fillId="0" borderId="53" xfId="0" applyNumberFormat="1" applyFont="1" applyBorder="1" applyAlignment="1">
      <alignment vertical="center"/>
    </xf>
    <xf numFmtId="166" fontId="22" fillId="0" borderId="54" xfId="0" applyNumberFormat="1" applyFont="1" applyBorder="1" applyAlignment="1">
      <alignment vertical="center"/>
    </xf>
    <xf numFmtId="166" fontId="20" fillId="0" borderId="33" xfId="0" applyNumberFormat="1" applyFont="1" applyBorder="1"/>
    <xf numFmtId="3" fontId="20" fillId="0" borderId="47" xfId="0" applyNumberFormat="1" applyFont="1" applyBorder="1" applyAlignment="1">
      <alignment horizontal="left"/>
    </xf>
    <xf numFmtId="3" fontId="64" fillId="0" borderId="41" xfId="0" applyNumberFormat="1" applyFont="1" applyBorder="1" applyAlignment="1">
      <alignment horizontal="left" vertical="center"/>
    </xf>
    <xf numFmtId="3" fontId="64" fillId="0" borderId="41" xfId="0" applyNumberFormat="1" applyFont="1" applyBorder="1" applyAlignment="1">
      <alignment vertical="center"/>
    </xf>
    <xf numFmtId="166" fontId="64" fillId="0" borderId="55" xfId="0" applyNumberFormat="1" applyFont="1" applyBorder="1" applyAlignment="1">
      <alignment vertical="center"/>
    </xf>
    <xf numFmtId="166" fontId="20" fillId="0" borderId="0" xfId="0" applyNumberFormat="1" applyFont="1"/>
    <xf numFmtId="3" fontId="22" fillId="0" borderId="142" xfId="0" applyNumberFormat="1" applyFont="1" applyBorder="1" applyAlignment="1">
      <alignment horizontal="left" vertical="center"/>
    </xf>
    <xf numFmtId="3" fontId="22" fillId="0" borderId="138" xfId="0" applyNumberFormat="1" applyFont="1" applyBorder="1" applyAlignment="1">
      <alignment horizontal="left" vertical="center"/>
    </xf>
    <xf numFmtId="3" fontId="22" fillId="0" borderId="138" xfId="0" applyNumberFormat="1" applyFont="1" applyBorder="1" applyAlignment="1">
      <alignment vertical="center"/>
    </xf>
    <xf numFmtId="168" fontId="22" fillId="0" borderId="143" xfId="0" applyNumberFormat="1" applyFont="1" applyBorder="1" applyAlignment="1">
      <alignment vertical="center"/>
    </xf>
    <xf numFmtId="3" fontId="22" fillId="0" borderId="144" xfId="0" applyNumberFormat="1" applyFont="1" applyBorder="1" applyAlignment="1">
      <alignment horizontal="left" vertical="center"/>
    </xf>
    <xf numFmtId="3" fontId="20" fillId="0" borderId="57" xfId="0" applyNumberFormat="1" applyFont="1" applyBorder="1"/>
    <xf numFmtId="3" fontId="20" fillId="0" borderId="57" xfId="0" applyNumberFormat="1" applyFont="1" applyBorder="1" applyAlignment="1">
      <alignment horizontal="left" vertical="center" wrapText="1"/>
    </xf>
    <xf numFmtId="3" fontId="20" fillId="0" borderId="26" xfId="0" applyNumberFormat="1" applyFont="1" applyBorder="1" applyAlignment="1">
      <alignment vertical="center" wrapText="1"/>
    </xf>
    <xf numFmtId="166" fontId="22" fillId="0" borderId="139" xfId="0" applyNumberFormat="1" applyFont="1" applyBorder="1" applyAlignment="1">
      <alignment vertical="center"/>
    </xf>
    <xf numFmtId="3" fontId="22" fillId="0" borderId="61" xfId="0" applyNumberFormat="1" applyFont="1" applyBorder="1" applyAlignment="1">
      <alignment horizontal="left" vertical="center"/>
    </xf>
    <xf numFmtId="3" fontId="22" fillId="0" borderId="66" xfId="0" applyNumberFormat="1" applyFont="1" applyBorder="1" applyAlignment="1">
      <alignment vertical="center"/>
    </xf>
    <xf numFmtId="166" fontId="22" fillId="0" borderId="64" xfId="0" applyNumberFormat="1" applyFont="1" applyBorder="1" applyAlignment="1">
      <alignment vertical="center"/>
    </xf>
    <xf numFmtId="3" fontId="20" fillId="0" borderId="145" xfId="0" applyNumberFormat="1" applyFont="1" applyBorder="1"/>
    <xf numFmtId="0" fontId="20" fillId="0" borderId="57" xfId="0" applyFont="1" applyBorder="1"/>
    <xf numFmtId="0" fontId="20" fillId="0" borderId="140" xfId="0" applyFont="1" applyBorder="1"/>
    <xf numFmtId="0" fontId="20" fillId="0" borderId="26" xfId="0" applyFont="1" applyBorder="1"/>
    <xf numFmtId="0" fontId="20" fillId="0" borderId="33" xfId="0" applyFont="1" applyBorder="1"/>
    <xf numFmtId="3" fontId="22" fillId="0" borderId="66" xfId="0" applyNumberFormat="1" applyFont="1" applyBorder="1" applyAlignment="1">
      <alignment horizontal="left" vertical="center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62" fillId="4" borderId="1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right" vertical="center"/>
    </xf>
    <xf numFmtId="3" fontId="22" fillId="0" borderId="25" xfId="0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vertical="center"/>
    </xf>
    <xf numFmtId="166" fontId="22" fillId="0" borderId="13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3" fontId="61" fillId="0" borderId="10" xfId="0" applyNumberFormat="1" applyFont="1" applyBorder="1" applyAlignment="1">
      <alignment vertical="center"/>
    </xf>
    <xf numFmtId="0" fontId="65" fillId="0" borderId="16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171" fontId="22" fillId="0" borderId="10" xfId="0" applyNumberFormat="1" applyFont="1" applyBorder="1" applyAlignment="1">
      <alignment vertical="center"/>
    </xf>
    <xf numFmtId="171" fontId="22" fillId="0" borderId="25" xfId="0" applyNumberFormat="1" applyFont="1" applyBorder="1" applyAlignment="1">
      <alignment vertical="center"/>
    </xf>
    <xf numFmtId="0" fontId="26" fillId="0" borderId="10" xfId="0" applyFont="1" applyBorder="1"/>
    <xf numFmtId="3" fontId="20" fillId="0" borderId="10" xfId="0" applyNumberFormat="1" applyFont="1" applyBorder="1" applyAlignment="1">
      <alignment horizontal="right"/>
    </xf>
    <xf numFmtId="171" fontId="20" fillId="0" borderId="10" xfId="0" applyNumberFormat="1" applyFont="1" applyBorder="1"/>
    <xf numFmtId="171" fontId="20" fillId="0" borderId="25" xfId="0" applyNumberFormat="1" applyFont="1" applyBorder="1"/>
    <xf numFmtId="0" fontId="20" fillId="0" borderId="10" xfId="0" applyFont="1" applyBorder="1" applyAlignment="1">
      <alignment horizontal="center"/>
    </xf>
    <xf numFmtId="166" fontId="20" fillId="0" borderId="13" xfId="0" applyNumberFormat="1" applyFont="1" applyBorder="1"/>
    <xf numFmtId="0" fontId="20" fillId="0" borderId="16" xfId="0" applyFont="1" applyBorder="1" applyAlignment="1">
      <alignment horizontal="right"/>
    </xf>
    <xf numFmtId="166" fontId="20" fillId="0" borderId="13" xfId="0" applyNumberFormat="1" applyFont="1" applyBorder="1" applyAlignment="1">
      <alignment horizontal="right"/>
    </xf>
    <xf numFmtId="0" fontId="26" fillId="0" borderId="10" xfId="0" applyFont="1" applyBorder="1" applyAlignment="1">
      <alignment horizontal="left"/>
    </xf>
    <xf numFmtId="0" fontId="28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right"/>
    </xf>
    <xf numFmtId="49" fontId="20" fillId="0" borderId="16" xfId="0" applyNumberFormat="1" applyFont="1" applyBorder="1" applyAlignment="1">
      <alignment horizontal="right"/>
    </xf>
    <xf numFmtId="49" fontId="22" fillId="0" borderId="16" xfId="0" applyNumberFormat="1" applyFont="1" applyBorder="1" applyAlignment="1">
      <alignment horizontal="right"/>
    </xf>
    <xf numFmtId="49" fontId="65" fillId="0" borderId="16" xfId="0" applyNumberFormat="1" applyFont="1" applyBorder="1" applyAlignment="1">
      <alignment horizontal="center"/>
    </xf>
    <xf numFmtId="49" fontId="22" fillId="0" borderId="76" xfId="0" applyNumberFormat="1" applyFont="1" applyBorder="1" applyAlignment="1">
      <alignment horizontal="right"/>
    </xf>
    <xf numFmtId="0" fontId="26" fillId="0" borderId="77" xfId="0" applyFont="1" applyBorder="1"/>
    <xf numFmtId="3" fontId="20" fillId="0" borderId="77" xfId="0" applyNumberFormat="1" applyFont="1" applyBorder="1"/>
    <xf numFmtId="3" fontId="20" fillId="0" borderId="80" xfId="0" applyNumberFormat="1" applyFont="1" applyBorder="1"/>
    <xf numFmtId="0" fontId="20" fillId="0" borderId="78" xfId="0" applyFont="1" applyBorder="1"/>
    <xf numFmtId="0" fontId="63" fillId="0" borderId="0" xfId="0" applyFont="1"/>
    <xf numFmtId="169" fontId="26" fillId="0" borderId="0" xfId="0" applyNumberFormat="1" applyFont="1" applyAlignment="1">
      <alignment horizontal="left"/>
    </xf>
    <xf numFmtId="169" fontId="62" fillId="0" borderId="0" xfId="0" applyNumberFormat="1" applyFont="1" applyAlignment="1">
      <alignment horizontal="left"/>
    </xf>
    <xf numFmtId="174" fontId="21" fillId="0" borderId="0" xfId="0" applyNumberFormat="1" applyFont="1"/>
    <xf numFmtId="166" fontId="67" fillId="0" borderId="0" xfId="0" applyNumberFormat="1" applyFont="1" applyAlignment="1">
      <alignment horizontal="right"/>
    </xf>
    <xf numFmtId="4" fontId="21" fillId="0" borderId="0" xfId="0" applyNumberFormat="1" applyFont="1"/>
    <xf numFmtId="3" fontId="22" fillId="0" borderId="149" xfId="0" applyNumberFormat="1" applyFont="1" applyBorder="1" applyAlignment="1">
      <alignment horizontal="left"/>
    </xf>
    <xf numFmtId="3" fontId="21" fillId="0" borderId="148" xfId="0" applyNumberFormat="1" applyFont="1" applyBorder="1" applyAlignment="1">
      <alignment horizontal="left"/>
    </xf>
    <xf numFmtId="3" fontId="22" fillId="0" borderId="148" xfId="0" applyNumberFormat="1" applyFont="1" applyBorder="1"/>
    <xf numFmtId="3" fontId="22" fillId="0" borderId="148" xfId="0" applyNumberFormat="1" applyFont="1" applyBorder="1" applyAlignment="1">
      <alignment horizontal="center"/>
    </xf>
    <xf numFmtId="166" fontId="22" fillId="0" borderId="150" xfId="0" applyNumberFormat="1" applyFont="1" applyBorder="1"/>
    <xf numFmtId="3" fontId="20" fillId="0" borderId="98" xfId="0" applyNumberFormat="1" applyFont="1" applyBorder="1" applyAlignment="1">
      <alignment horizontal="left"/>
    </xf>
    <xf numFmtId="49" fontId="20" fillId="0" borderId="98" xfId="0" applyNumberFormat="1" applyFont="1" applyBorder="1" applyAlignment="1">
      <alignment horizontal="left"/>
    </xf>
    <xf numFmtId="49" fontId="45" fillId="0" borderId="98" xfId="0" applyNumberFormat="1" applyFont="1" applyBorder="1" applyAlignment="1">
      <alignment horizontal="left"/>
    </xf>
    <xf numFmtId="3" fontId="45" fillId="0" borderId="23" xfId="0" applyNumberFormat="1" applyFont="1" applyBorder="1"/>
    <xf numFmtId="3" fontId="66" fillId="0" borderId="23" xfId="0" applyNumberFormat="1" applyFont="1" applyBorder="1"/>
    <xf numFmtId="3" fontId="45" fillId="0" borderId="23" xfId="0" applyNumberFormat="1" applyFont="1" applyBorder="1" applyAlignment="1">
      <alignment horizontal="center"/>
    </xf>
    <xf numFmtId="166" fontId="45" fillId="0" borderId="24" xfId="0" applyNumberFormat="1" applyFont="1" applyBorder="1"/>
    <xf numFmtId="3" fontId="22" fillId="0" borderId="105" xfId="0" applyNumberFormat="1" applyFont="1" applyBorder="1" applyAlignment="1">
      <alignment horizontal="left"/>
    </xf>
    <xf numFmtId="3" fontId="21" fillId="0" borderId="106" xfId="0" applyNumberFormat="1" applyFont="1" applyBorder="1" applyAlignment="1">
      <alignment horizontal="left"/>
    </xf>
    <xf numFmtId="3" fontId="22" fillId="0" borderId="106" xfId="0" applyNumberFormat="1" applyFont="1" applyBorder="1"/>
    <xf numFmtId="3" fontId="22" fillId="0" borderId="106" xfId="0" applyNumberFormat="1" applyFont="1" applyBorder="1" applyAlignment="1">
      <alignment horizontal="center"/>
    </xf>
    <xf numFmtId="166" fontId="22" fillId="0" borderId="107" xfId="0" applyNumberFormat="1" applyFont="1" applyBorder="1"/>
    <xf numFmtId="3" fontId="22" fillId="0" borderId="23" xfId="0" applyNumberFormat="1" applyFont="1" applyBorder="1"/>
    <xf numFmtId="3" fontId="66" fillId="0" borderId="98" xfId="0" applyNumberFormat="1" applyFont="1" applyBorder="1"/>
    <xf numFmtId="3" fontId="20" fillId="0" borderId="23" xfId="0" applyNumberFormat="1" applyFont="1" applyBorder="1" applyAlignment="1">
      <alignment vertical="center"/>
    </xf>
    <xf numFmtId="3" fontId="45" fillId="0" borderId="98" xfId="0" applyNumberFormat="1" applyFont="1" applyBorder="1"/>
    <xf numFmtId="3" fontId="66" fillId="0" borderId="98" xfId="0" applyNumberFormat="1" applyFont="1" applyBorder="1" applyAlignment="1">
      <alignment horizontal="left"/>
    </xf>
    <xf numFmtId="3" fontId="22" fillId="0" borderId="151" xfId="0" applyNumberFormat="1" applyFont="1" applyBorder="1" applyAlignment="1">
      <alignment horizontal="left"/>
    </xf>
    <xf numFmtId="3" fontId="21" fillId="0" borderId="152" xfId="0" applyNumberFormat="1" applyFont="1" applyBorder="1" applyAlignment="1">
      <alignment horizontal="left"/>
    </xf>
    <xf numFmtId="3" fontId="22" fillId="0" borderId="152" xfId="0" applyNumberFormat="1" applyFont="1" applyBorder="1"/>
    <xf numFmtId="3" fontId="22" fillId="0" borderId="152" xfId="0" applyNumberFormat="1" applyFont="1" applyBorder="1" applyAlignment="1">
      <alignment horizontal="center"/>
    </xf>
    <xf numFmtId="166" fontId="22" fillId="0" borderId="153" xfId="0" applyNumberFormat="1" applyFont="1" applyBorder="1"/>
    <xf numFmtId="3" fontId="22" fillId="0" borderId="98" xfId="0" applyNumberFormat="1" applyFont="1" applyBorder="1" applyAlignment="1">
      <alignment horizontal="left"/>
    </xf>
    <xf numFmtId="3" fontId="21" fillId="0" borderId="148" xfId="0" applyNumberFormat="1" applyFont="1" applyBorder="1"/>
    <xf numFmtId="3" fontId="45" fillId="0" borderId="98" xfId="0" applyNumberFormat="1" applyFont="1" applyBorder="1" applyAlignment="1">
      <alignment horizontal="left"/>
    </xf>
    <xf numFmtId="3" fontId="22" fillId="0" borderId="148" xfId="0" applyNumberFormat="1" applyFont="1" applyBorder="1" applyAlignment="1">
      <alignment horizontal="left"/>
    </xf>
    <xf numFmtId="3" fontId="45" fillId="0" borderId="149" xfId="0" applyNumberFormat="1" applyFont="1" applyBorder="1" applyAlignment="1">
      <alignment horizontal="left"/>
    </xf>
    <xf numFmtId="3" fontId="22" fillId="0" borderId="148" xfId="0" applyNumberFormat="1" applyFont="1" applyBorder="1" applyAlignment="1">
      <alignment horizontal="center" vertical="center"/>
    </xf>
    <xf numFmtId="3" fontId="22" fillId="0" borderId="148" xfId="0" applyNumberFormat="1" applyFont="1" applyBorder="1" applyAlignment="1">
      <alignment vertical="center"/>
    </xf>
    <xf numFmtId="166" fontId="22" fillId="0" borderId="150" xfId="0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0" fontId="68" fillId="0" borderId="0" xfId="0" applyFont="1"/>
    <xf numFmtId="0" fontId="22" fillId="0" borderId="84" xfId="0" applyFont="1" applyBorder="1" applyAlignment="1">
      <alignment horizontal="center" vertical="center"/>
    </xf>
    <xf numFmtId="0" fontId="26" fillId="0" borderId="59" xfId="0" applyFont="1" applyBorder="1"/>
    <xf numFmtId="0" fontId="22" fillId="0" borderId="88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vertical="center"/>
    </xf>
    <xf numFmtId="0" fontId="26" fillId="0" borderId="59" xfId="0" applyFont="1" applyBorder="1" applyAlignment="1">
      <alignment horizontal="left" vertical="center" wrapText="1"/>
    </xf>
    <xf numFmtId="0" fontId="22" fillId="0" borderId="90" xfId="0" applyFont="1" applyBorder="1" applyAlignment="1">
      <alignment horizontal="center" vertical="center"/>
    </xf>
    <xf numFmtId="3" fontId="26" fillId="0" borderId="23" xfId="0" applyNumberFormat="1" applyFont="1" applyBorder="1" applyAlignment="1">
      <alignment horizontal="left"/>
    </xf>
    <xf numFmtId="166" fontId="52" fillId="0" borderId="22" xfId="0" applyNumberFormat="1" applyFont="1" applyBorder="1" applyAlignment="1">
      <alignment horizontal="center" vertical="center"/>
    </xf>
    <xf numFmtId="166" fontId="52" fillId="0" borderId="13" xfId="0" applyNumberFormat="1" applyFont="1" applyBorder="1" applyAlignment="1">
      <alignment horizontal="center"/>
    </xf>
    <xf numFmtId="166" fontId="38" fillId="0" borderId="13" xfId="0" applyNumberFormat="1" applyFont="1" applyBorder="1" applyAlignment="1">
      <alignment horizontal="center"/>
    </xf>
    <xf numFmtId="166" fontId="52" fillId="0" borderId="18" xfId="0" applyNumberFormat="1" applyFont="1" applyBorder="1" applyAlignment="1">
      <alignment horizontal="center"/>
    </xf>
    <xf numFmtId="166" fontId="52" fillId="0" borderId="43" xfId="0" applyNumberFormat="1" applyFont="1" applyBorder="1" applyAlignment="1">
      <alignment horizontal="center" vertical="center"/>
    </xf>
    <xf numFmtId="166" fontId="52" fillId="0" borderId="5" xfId="0" applyNumberFormat="1" applyFont="1" applyBorder="1" applyAlignment="1">
      <alignment horizontal="center" vertical="center"/>
    </xf>
    <xf numFmtId="166" fontId="38" fillId="0" borderId="5" xfId="0" applyNumberFormat="1" applyFont="1" applyBorder="1" applyAlignment="1">
      <alignment horizontal="center"/>
    </xf>
    <xf numFmtId="166" fontId="52" fillId="0" borderId="5" xfId="0" applyNumberFormat="1" applyFont="1" applyBorder="1" applyAlignment="1">
      <alignment horizontal="center"/>
    </xf>
    <xf numFmtId="166" fontId="52" fillId="0" borderId="7" xfId="0" applyNumberFormat="1" applyFont="1" applyBorder="1" applyAlignment="1">
      <alignment horizontal="center" vertical="center"/>
    </xf>
    <xf numFmtId="166" fontId="10" fillId="0" borderId="72" xfId="0" applyNumberFormat="1" applyFont="1" applyBorder="1" applyAlignment="1">
      <alignment horizontal="center" vertical="center"/>
    </xf>
    <xf numFmtId="3" fontId="7" fillId="0" borderId="0" xfId="0" applyNumberFormat="1" applyFont="1"/>
    <xf numFmtId="0" fontId="6" fillId="0" borderId="59" xfId="0" applyFont="1" applyBorder="1"/>
    <xf numFmtId="167" fontId="64" fillId="0" borderId="98" xfId="2" applyFont="1" applyFill="1" applyBorder="1" applyAlignment="1" applyProtection="1"/>
    <xf numFmtId="0" fontId="64" fillId="0" borderId="130" xfId="0" applyFont="1" applyBorder="1" applyAlignment="1">
      <alignment horizontal="left"/>
    </xf>
    <xf numFmtId="166" fontId="56" fillId="0" borderId="112" xfId="0" applyNumberFormat="1" applyFont="1" applyBorder="1" applyAlignment="1">
      <alignment horizontal="center"/>
    </xf>
    <xf numFmtId="3" fontId="52" fillId="0" borderId="157" xfId="0" applyNumberFormat="1" applyFont="1" applyBorder="1" applyAlignment="1">
      <alignment vertical="center"/>
    </xf>
    <xf numFmtId="3" fontId="52" fillId="0" borderId="158" xfId="0" applyNumberFormat="1" applyFont="1" applyBorder="1" applyAlignment="1">
      <alignment vertical="center"/>
    </xf>
    <xf numFmtId="3" fontId="22" fillId="0" borderId="23" xfId="0" applyNumberFormat="1" applyFont="1" applyBorder="1" applyAlignment="1">
      <alignment horizontal="left"/>
    </xf>
    <xf numFmtId="3" fontId="56" fillId="0" borderId="36" xfId="0" applyNumberFormat="1" applyFont="1" applyBorder="1"/>
    <xf numFmtId="4" fontId="21" fillId="0" borderId="0" xfId="0" applyNumberFormat="1" applyFont="1" applyAlignment="1">
      <alignment vertical="center"/>
    </xf>
    <xf numFmtId="3" fontId="64" fillId="0" borderId="98" xfId="0" applyNumberFormat="1" applyFont="1" applyBorder="1"/>
    <xf numFmtId="3" fontId="56" fillId="0" borderId="98" xfId="0" applyNumberFormat="1" applyFont="1" applyBorder="1"/>
    <xf numFmtId="3" fontId="64" fillId="0" borderId="98" xfId="0" applyNumberFormat="1" applyFont="1" applyBorder="1" applyAlignment="1">
      <alignment horizontal="right"/>
    </xf>
    <xf numFmtId="0" fontId="29" fillId="0" borderId="0" xfId="0" applyFont="1" applyAlignment="1">
      <alignment vertical="center"/>
    </xf>
    <xf numFmtId="3" fontId="38" fillId="0" borderId="31" xfId="0" applyNumberFormat="1" applyFont="1" applyBorder="1"/>
    <xf numFmtId="166" fontId="38" fillId="0" borderId="25" xfId="0" applyNumberFormat="1" applyFont="1" applyBorder="1" applyAlignment="1">
      <alignment horizontal="center"/>
    </xf>
    <xf numFmtId="0" fontId="26" fillId="0" borderId="0" xfId="0" applyFont="1" applyAlignment="1">
      <alignment horizontal="left" wrapText="1"/>
    </xf>
    <xf numFmtId="3" fontId="38" fillId="0" borderId="13" xfId="0" applyNumberFormat="1" applyFont="1" applyBorder="1"/>
    <xf numFmtId="4" fontId="52" fillId="0" borderId="11" xfId="0" applyNumberFormat="1" applyFont="1" applyBorder="1" applyAlignment="1">
      <alignment vertical="center"/>
    </xf>
    <xf numFmtId="4" fontId="52" fillId="0" borderId="10" xfId="0" applyNumberFormat="1" applyFont="1" applyBorder="1"/>
    <xf numFmtId="4" fontId="38" fillId="0" borderId="10" xfId="0" applyNumberFormat="1" applyFont="1" applyBorder="1"/>
    <xf numFmtId="4" fontId="38" fillId="0" borderId="10" xfId="0" applyNumberFormat="1" applyFont="1" applyBorder="1" applyAlignment="1">
      <alignment horizontal="right"/>
    </xf>
    <xf numFmtId="3" fontId="38" fillId="0" borderId="16" xfId="0" applyNumberFormat="1" applyFont="1" applyBorder="1" applyAlignment="1">
      <alignment horizontal="left" vertical="center" wrapText="1"/>
    </xf>
    <xf numFmtId="3" fontId="38" fillId="0" borderId="10" xfId="0" applyNumberFormat="1" applyFont="1" applyBorder="1" applyAlignment="1">
      <alignment vertical="center" wrapText="1"/>
    </xf>
    <xf numFmtId="166" fontId="38" fillId="0" borderId="33" xfId="0" applyNumberFormat="1" applyFont="1" applyBorder="1" applyAlignment="1">
      <alignment horizontal="center"/>
    </xf>
    <xf numFmtId="0" fontId="26" fillId="0" borderId="16" xfId="0" applyFont="1" applyBorder="1" applyAlignment="1">
      <alignment wrapText="1"/>
    </xf>
    <xf numFmtId="3" fontId="20" fillId="4" borderId="10" xfId="0" applyNumberFormat="1" applyFont="1" applyFill="1" applyBorder="1"/>
    <xf numFmtId="3" fontId="20" fillId="4" borderId="0" xfId="0" applyNumberFormat="1" applyFont="1" applyFill="1"/>
    <xf numFmtId="3" fontId="20" fillId="4" borderId="34" xfId="0" applyNumberFormat="1" applyFont="1" applyFill="1" applyBorder="1"/>
    <xf numFmtId="166" fontId="20" fillId="0" borderId="29" xfId="0" applyNumberFormat="1" applyFont="1" applyBorder="1"/>
    <xf numFmtId="166" fontId="20" fillId="0" borderId="83" xfId="0" applyNumberFormat="1" applyFont="1" applyBorder="1"/>
    <xf numFmtId="0" fontId="26" fillId="0" borderId="16" xfId="0" applyFont="1" applyBorder="1" applyAlignment="1">
      <alignment horizontal="left" vertical="center"/>
    </xf>
    <xf numFmtId="3" fontId="20" fillId="4" borderId="60" xfId="0" applyNumberFormat="1" applyFont="1" applyFill="1" applyBorder="1"/>
    <xf numFmtId="3" fontId="20" fillId="0" borderId="45" xfId="0" applyNumberFormat="1" applyFont="1" applyBorder="1"/>
    <xf numFmtId="3" fontId="20" fillId="0" borderId="168" xfId="0" applyNumberFormat="1" applyFont="1" applyBorder="1"/>
    <xf numFmtId="3" fontId="22" fillId="0" borderId="85" xfId="0" applyNumberFormat="1" applyFont="1" applyBorder="1"/>
    <xf numFmtId="3" fontId="22" fillId="0" borderId="87" xfId="0" applyNumberFormat="1" applyFont="1" applyBorder="1"/>
    <xf numFmtId="3" fontId="22" fillId="0" borderId="49" xfId="0" applyNumberFormat="1" applyFont="1" applyBorder="1"/>
    <xf numFmtId="166" fontId="22" fillId="0" borderId="86" xfId="0" applyNumberFormat="1" applyFont="1" applyBorder="1"/>
    <xf numFmtId="3" fontId="22" fillId="4" borderId="89" xfId="0" applyNumberFormat="1" applyFont="1" applyFill="1" applyBorder="1"/>
    <xf numFmtId="3" fontId="22" fillId="4" borderId="87" xfId="0" applyNumberFormat="1" applyFont="1" applyFill="1" applyBorder="1"/>
    <xf numFmtId="3" fontId="22" fillId="0" borderId="97" xfId="0" applyNumberFormat="1" applyFont="1" applyBorder="1"/>
    <xf numFmtId="3" fontId="22" fillId="0" borderId="159" xfId="0" applyNumberFormat="1" applyFont="1" applyBorder="1"/>
    <xf numFmtId="0" fontId="0" fillId="0" borderId="171" xfId="0" applyBorder="1"/>
    <xf numFmtId="3" fontId="22" fillId="0" borderId="172" xfId="0" applyNumberFormat="1" applyFont="1" applyBorder="1" applyAlignment="1">
      <alignment vertical="center"/>
    </xf>
    <xf numFmtId="3" fontId="10" fillId="0" borderId="171" xfId="0" applyNumberFormat="1" applyFont="1" applyBorder="1" applyAlignment="1">
      <alignment vertical="center"/>
    </xf>
    <xf numFmtId="0" fontId="21" fillId="7" borderId="140" xfId="0" applyFont="1" applyFill="1" applyBorder="1" applyAlignment="1">
      <alignment horizontal="center"/>
    </xf>
    <xf numFmtId="3" fontId="21" fillId="7" borderId="140" xfId="0" applyNumberFormat="1" applyFont="1" applyFill="1" applyBorder="1" applyAlignment="1">
      <alignment horizontal="center"/>
    </xf>
    <xf numFmtId="3" fontId="22" fillId="0" borderId="179" xfId="0" applyNumberFormat="1" applyFont="1" applyBorder="1"/>
    <xf numFmtId="3" fontId="64" fillId="0" borderId="16" xfId="0" applyNumberFormat="1" applyFont="1" applyBorder="1"/>
    <xf numFmtId="3" fontId="29" fillId="0" borderId="12" xfId="0" applyNumberFormat="1" applyFont="1" applyBorder="1"/>
    <xf numFmtId="0" fontId="56" fillId="0" borderId="198" xfId="0" applyFont="1" applyBorder="1"/>
    <xf numFmtId="3" fontId="56" fillId="0" borderId="98" xfId="0" applyNumberFormat="1" applyFont="1" applyBorder="1" applyAlignment="1">
      <alignment horizontal="left"/>
    </xf>
    <xf numFmtId="3" fontId="64" fillId="0" borderId="98" xfId="2" applyNumberFormat="1" applyFont="1" applyFill="1" applyBorder="1" applyAlignment="1" applyProtection="1"/>
    <xf numFmtId="3" fontId="64" fillId="0" borderId="34" xfId="0" applyNumberFormat="1" applyFont="1" applyBorder="1" applyAlignment="1">
      <alignment horizontal="right"/>
    </xf>
    <xf numFmtId="3" fontId="56" fillId="0" borderId="46" xfId="0" applyNumberFormat="1" applyFont="1" applyBorder="1"/>
    <xf numFmtId="3" fontId="56" fillId="0" borderId="0" xfId="0" applyNumberFormat="1" applyFont="1"/>
    <xf numFmtId="0" fontId="64" fillId="4" borderId="198" xfId="0" applyFont="1" applyFill="1" applyBorder="1" applyAlignment="1">
      <alignment horizontal="left"/>
    </xf>
    <xf numFmtId="3" fontId="64" fillId="4" borderId="98" xfId="0" applyNumberFormat="1" applyFont="1" applyFill="1" applyBorder="1" applyAlignment="1">
      <alignment horizontal="right"/>
    </xf>
    <xf numFmtId="3" fontId="64" fillId="4" borderId="98" xfId="0" applyNumberFormat="1" applyFont="1" applyFill="1" applyBorder="1"/>
    <xf numFmtId="0" fontId="29" fillId="0" borderId="208" xfId="0" applyFont="1" applyBorder="1" applyAlignment="1">
      <alignment horizontal="center"/>
    </xf>
    <xf numFmtId="176" fontId="64" fillId="4" borderId="101" xfId="0" applyNumberFormat="1" applyFont="1" applyFill="1" applyBorder="1" applyAlignment="1">
      <alignment horizontal="right"/>
    </xf>
    <xf numFmtId="0" fontId="64" fillId="0" borderId="16" xfId="0" applyFont="1" applyBorder="1" applyAlignment="1">
      <alignment horizontal="center" vertical="center"/>
    </xf>
    <xf numFmtId="3" fontId="64" fillId="0" borderId="10" xfId="0" applyNumberFormat="1" applyFont="1" applyBorder="1" applyAlignment="1">
      <alignment vertical="center"/>
    </xf>
    <xf numFmtId="168" fontId="64" fillId="0" borderId="13" xfId="0" applyNumberFormat="1" applyFont="1" applyBorder="1" applyAlignment="1">
      <alignment horizontal="center" vertical="center"/>
    </xf>
    <xf numFmtId="0" fontId="20" fillId="0" borderId="60" xfId="0" applyFont="1" applyBorder="1" applyAlignment="1">
      <alignment horizontal="left"/>
    </xf>
    <xf numFmtId="3" fontId="60" fillId="0" borderId="60" xfId="0" applyNumberFormat="1" applyFont="1" applyBorder="1" applyAlignment="1">
      <alignment horizontal="right" vertical="center"/>
    </xf>
    <xf numFmtId="3" fontId="45" fillId="0" borderId="60" xfId="0" applyNumberFormat="1" applyFont="1" applyBorder="1" applyAlignment="1">
      <alignment horizontal="left"/>
    </xf>
    <xf numFmtId="3" fontId="20" fillId="0" borderId="60" xfId="0" applyNumberFormat="1" applyFont="1" applyBorder="1" applyAlignment="1">
      <alignment horizontal="right"/>
    </xf>
    <xf numFmtId="3" fontId="45" fillId="0" borderId="60" xfId="0" applyNumberFormat="1" applyFont="1" applyBorder="1" applyAlignment="1">
      <alignment horizontal="right"/>
    </xf>
    <xf numFmtId="3" fontId="29" fillId="0" borderId="60" xfId="0" applyNumberFormat="1" applyFont="1" applyBorder="1" applyAlignment="1">
      <alignment horizontal="right" vertical="center"/>
    </xf>
    <xf numFmtId="3" fontId="61" fillId="0" borderId="60" xfId="0" applyNumberFormat="1" applyFont="1" applyBorder="1" applyAlignment="1">
      <alignment horizontal="right" vertical="center"/>
    </xf>
    <xf numFmtId="3" fontId="20" fillId="0" borderId="60" xfId="0" applyNumberFormat="1" applyFont="1" applyBorder="1"/>
    <xf numFmtId="0" fontId="45" fillId="0" borderId="60" xfId="0" applyFont="1" applyBorder="1"/>
    <xf numFmtId="0" fontId="20" fillId="0" borderId="59" xfId="0" applyFont="1" applyBorder="1"/>
    <xf numFmtId="0" fontId="29" fillId="0" borderId="59" xfId="0" applyFont="1" applyBorder="1" applyAlignment="1">
      <alignment horizontal="center" vertical="center"/>
    </xf>
    <xf numFmtId="0" fontId="45" fillId="0" borderId="59" xfId="0" applyFont="1" applyBorder="1"/>
    <xf numFmtId="0" fontId="22" fillId="0" borderId="59" xfId="0" applyFont="1" applyBorder="1" applyAlignment="1">
      <alignment horizontal="center" vertical="center"/>
    </xf>
    <xf numFmtId="0" fontId="0" fillId="0" borderId="93" xfId="0" applyBorder="1"/>
    <xf numFmtId="0" fontId="58" fillId="8" borderId="93" xfId="0" applyFont="1" applyFill="1" applyBorder="1"/>
    <xf numFmtId="0" fontId="57" fillId="8" borderId="0" xfId="0" applyFont="1" applyFill="1" applyAlignment="1">
      <alignment horizontal="center"/>
    </xf>
    <xf numFmtId="0" fontId="57" fillId="8" borderId="60" xfId="0" applyFont="1" applyFill="1" applyBorder="1" applyAlignment="1">
      <alignment horizontal="center"/>
    </xf>
    <xf numFmtId="0" fontId="58" fillId="8" borderId="95" xfId="0" applyFont="1" applyFill="1" applyBorder="1"/>
    <xf numFmtId="0" fontId="58" fillId="8" borderId="218" xfId="0" applyFont="1" applyFill="1" applyBorder="1"/>
    <xf numFmtId="0" fontId="21" fillId="9" borderId="103" xfId="0" applyFont="1" applyFill="1" applyBorder="1" applyAlignment="1">
      <alignment horizontal="center" vertical="center" wrapText="1"/>
    </xf>
    <xf numFmtId="0" fontId="21" fillId="9" borderId="101" xfId="0" applyFont="1" applyFill="1" applyBorder="1" applyAlignment="1">
      <alignment horizontal="center" vertical="center" wrapText="1"/>
    </xf>
    <xf numFmtId="0" fontId="21" fillId="9" borderId="115" xfId="0" applyFont="1" applyFill="1" applyBorder="1" applyAlignment="1">
      <alignment horizontal="center" vertical="center" wrapText="1"/>
    </xf>
    <xf numFmtId="0" fontId="21" fillId="9" borderId="166" xfId="0" applyFont="1" applyFill="1" applyBorder="1" applyAlignment="1">
      <alignment horizontal="center"/>
    </xf>
    <xf numFmtId="0" fontId="21" fillId="9" borderId="119" xfId="0" applyFont="1" applyFill="1" applyBorder="1" applyAlignment="1">
      <alignment horizontal="center"/>
    </xf>
    <xf numFmtId="0" fontId="21" fillId="9" borderId="120" xfId="0" applyFont="1" applyFill="1" applyBorder="1" applyAlignment="1">
      <alignment horizontal="center"/>
    </xf>
    <xf numFmtId="0" fontId="21" fillId="9" borderId="118" xfId="0" applyFont="1" applyFill="1" applyBorder="1" applyAlignment="1">
      <alignment horizontal="center"/>
    </xf>
    <xf numFmtId="0" fontId="21" fillId="9" borderId="167" xfId="0" applyFont="1" applyFill="1" applyBorder="1" applyAlignment="1">
      <alignment horizontal="center"/>
    </xf>
    <xf numFmtId="0" fontId="21" fillId="9" borderId="116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179" xfId="0" applyFont="1" applyFill="1" applyBorder="1" applyAlignment="1">
      <alignment horizontal="center" vertical="center"/>
    </xf>
    <xf numFmtId="0" fontId="21" fillId="9" borderId="111" xfId="0" applyFont="1" applyFill="1" applyBorder="1" applyAlignment="1">
      <alignment horizontal="center" vertical="center"/>
    </xf>
    <xf numFmtId="0" fontId="21" fillId="9" borderId="108" xfId="0" applyFont="1" applyFill="1" applyBorder="1" applyAlignment="1">
      <alignment horizontal="center"/>
    </xf>
    <xf numFmtId="0" fontId="21" fillId="9" borderId="208" xfId="0" applyFont="1" applyFill="1" applyBorder="1" applyAlignment="1">
      <alignment horizontal="center" vertical="center" wrapText="1"/>
    </xf>
    <xf numFmtId="0" fontId="21" fillId="9" borderId="101" xfId="0" applyFont="1" applyFill="1" applyBorder="1" applyAlignment="1">
      <alignment horizontal="center"/>
    </xf>
    <xf numFmtId="0" fontId="21" fillId="9" borderId="128" xfId="0" applyFont="1" applyFill="1" applyBorder="1" applyAlignment="1">
      <alignment horizontal="center"/>
    </xf>
    <xf numFmtId="0" fontId="21" fillId="9" borderId="187" xfId="0" applyFont="1" applyFill="1" applyBorder="1" applyAlignment="1">
      <alignment horizontal="center" vertical="center" wrapText="1"/>
    </xf>
    <xf numFmtId="0" fontId="21" fillId="9" borderId="187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132" xfId="0" applyFont="1" applyFill="1" applyBorder="1" applyAlignment="1">
      <alignment horizontal="center" vertical="center"/>
    </xf>
    <xf numFmtId="0" fontId="52" fillId="9" borderId="176" xfId="0" applyFont="1" applyFill="1" applyBorder="1" applyAlignment="1">
      <alignment horizontal="center" vertical="center" wrapText="1"/>
    </xf>
    <xf numFmtId="3" fontId="52" fillId="9" borderId="176" xfId="0" applyNumberFormat="1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/>
    </xf>
    <xf numFmtId="0" fontId="21" fillId="9" borderId="79" xfId="0" applyFont="1" applyFill="1" applyBorder="1" applyAlignment="1">
      <alignment horizontal="center" vertical="center"/>
    </xf>
    <xf numFmtId="0" fontId="20" fillId="0" borderId="59" xfId="0" applyFont="1" applyBorder="1" applyAlignment="1">
      <alignment vertical="center"/>
    </xf>
    <xf numFmtId="0" fontId="22" fillId="8" borderId="87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210" xfId="0" applyFont="1" applyFill="1" applyBorder="1" applyAlignment="1">
      <alignment horizontal="center" vertical="center"/>
    </xf>
    <xf numFmtId="0" fontId="22" fillId="8" borderId="211" xfId="0" applyFont="1" applyFill="1" applyBorder="1" applyAlignment="1">
      <alignment horizontal="center" vertical="center" wrapText="1"/>
    </xf>
    <xf numFmtId="0" fontId="22" fillId="8" borderId="212" xfId="0" applyFont="1" applyFill="1" applyBorder="1" applyAlignment="1">
      <alignment horizontal="center" vertical="center" wrapText="1"/>
    </xf>
    <xf numFmtId="0" fontId="22" fillId="8" borderId="192" xfId="0" applyFont="1" applyFill="1" applyBorder="1"/>
    <xf numFmtId="0" fontId="22" fillId="8" borderId="146" xfId="0" applyFont="1" applyFill="1" applyBorder="1" applyAlignment="1">
      <alignment horizontal="center" vertical="center"/>
    </xf>
    <xf numFmtId="0" fontId="22" fillId="8" borderId="147" xfId="0" applyFont="1" applyFill="1" applyBorder="1" applyAlignment="1">
      <alignment horizontal="center" vertical="center"/>
    </xf>
    <xf numFmtId="0" fontId="21" fillId="9" borderId="94" xfId="0" applyFont="1" applyFill="1" applyBorder="1" applyAlignment="1">
      <alignment horizontal="center" vertical="center"/>
    </xf>
    <xf numFmtId="3" fontId="10" fillId="0" borderId="172" xfId="0" applyNumberFormat="1" applyFont="1" applyBorder="1"/>
    <xf numFmtId="4" fontId="0" fillId="0" borderId="10" xfId="0" applyNumberFormat="1" applyBorder="1"/>
    <xf numFmtId="49" fontId="22" fillId="0" borderId="98" xfId="0" applyNumberFormat="1" applyFont="1" applyBorder="1" applyAlignment="1">
      <alignment horizontal="left"/>
    </xf>
    <xf numFmtId="3" fontId="22" fillId="0" borderId="23" xfId="0" applyNumberFormat="1" applyFont="1" applyBorder="1" applyAlignment="1">
      <alignment horizontal="center"/>
    </xf>
    <xf numFmtId="0" fontId="71" fillId="0" borderId="0" xfId="0" applyFont="1" applyAlignment="1">
      <alignment horizontal="left" vertical="center" wrapText="1"/>
    </xf>
    <xf numFmtId="3" fontId="20" fillId="0" borderId="10" xfId="0" applyNumberFormat="1" applyFont="1" applyBorder="1" applyAlignment="1">
      <alignment vertical="center"/>
    </xf>
    <xf numFmtId="166" fontId="20" fillId="0" borderId="29" xfId="0" applyNumberFormat="1" applyFont="1" applyBorder="1" applyAlignment="1">
      <alignment vertical="center"/>
    </xf>
    <xf numFmtId="166" fontId="20" fillId="0" borderId="83" xfId="0" applyNumberFormat="1" applyFont="1" applyBorder="1" applyAlignment="1">
      <alignment vertical="center"/>
    </xf>
    <xf numFmtId="0" fontId="71" fillId="0" borderId="0" xfId="0" applyFont="1"/>
    <xf numFmtId="0" fontId="21" fillId="9" borderId="182" xfId="0" applyFont="1" applyFill="1" applyBorder="1"/>
    <xf numFmtId="3" fontId="20" fillId="0" borderId="178" xfId="0" applyNumberFormat="1" applyFont="1" applyBorder="1"/>
    <xf numFmtId="3" fontId="54" fillId="0" borderId="0" xfId="0" applyNumberFormat="1" applyFont="1"/>
    <xf numFmtId="3" fontId="47" fillId="0" borderId="0" xfId="0" applyNumberFormat="1" applyFont="1"/>
    <xf numFmtId="3" fontId="55" fillId="0" borderId="0" xfId="0" applyNumberFormat="1" applyFont="1"/>
    <xf numFmtId="3" fontId="64" fillId="0" borderId="0" xfId="0" applyNumberFormat="1" applyFont="1"/>
    <xf numFmtId="3" fontId="46" fillId="4" borderId="0" xfId="0" applyNumberFormat="1" applyFont="1" applyFill="1"/>
    <xf numFmtId="0" fontId="57" fillId="8" borderId="181" xfId="0" applyFont="1" applyFill="1" applyBorder="1" applyAlignment="1">
      <alignment horizontal="center" vertical="center" wrapText="1"/>
    </xf>
    <xf numFmtId="0" fontId="57" fillId="8" borderId="59" xfId="0" applyFont="1" applyFill="1" applyBorder="1" applyAlignment="1">
      <alignment horizontal="center" vertical="center" wrapText="1"/>
    </xf>
    <xf numFmtId="0" fontId="57" fillId="8" borderId="165" xfId="0" applyFont="1" applyFill="1" applyBorder="1" applyAlignment="1">
      <alignment horizontal="center" vertical="center" wrapText="1"/>
    </xf>
    <xf numFmtId="0" fontId="59" fillId="8" borderId="0" xfId="0" applyFont="1" applyFill="1" applyAlignment="1">
      <alignment horizontal="center"/>
    </xf>
    <xf numFmtId="0" fontId="72" fillId="0" borderId="0" xfId="0" applyFont="1" applyAlignment="1">
      <alignment horizontal="left"/>
    </xf>
    <xf numFmtId="0" fontId="21" fillId="9" borderId="155" xfId="0" applyFont="1" applyFill="1" applyBorder="1" applyAlignment="1">
      <alignment horizontal="center" vertical="center"/>
    </xf>
    <xf numFmtId="0" fontId="21" fillId="9" borderId="156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9" borderId="114" xfId="0" applyFont="1" applyFill="1" applyBorder="1" applyAlignment="1">
      <alignment horizontal="center" vertical="center" wrapText="1"/>
    </xf>
    <xf numFmtId="0" fontId="21" fillId="9" borderId="115" xfId="0" applyFont="1" applyFill="1" applyBorder="1" applyAlignment="1">
      <alignment horizontal="center" vertical="center" wrapText="1"/>
    </xf>
    <xf numFmtId="0" fontId="21" fillId="9" borderId="110" xfId="0" applyFont="1" applyFill="1" applyBorder="1" applyAlignment="1">
      <alignment horizontal="center"/>
    </xf>
    <xf numFmtId="0" fontId="21" fillId="9" borderId="113" xfId="0" applyFont="1" applyFill="1" applyBorder="1" applyAlignment="1">
      <alignment horizontal="center" vertical="center"/>
    </xf>
    <xf numFmtId="0" fontId="21" fillId="9" borderId="199" xfId="0" applyFont="1" applyFill="1" applyBorder="1" applyAlignment="1">
      <alignment horizontal="center"/>
    </xf>
    <xf numFmtId="0" fontId="21" fillId="9" borderId="197" xfId="0" applyFont="1" applyFill="1" applyBorder="1" applyAlignment="1">
      <alignment horizontal="center"/>
    </xf>
    <xf numFmtId="0" fontId="21" fillId="9" borderId="200" xfId="0" applyFont="1" applyFill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1" fillId="9" borderId="121" xfId="0" applyFont="1" applyFill="1" applyBorder="1" applyAlignment="1">
      <alignment horizontal="center" vertical="center" wrapText="1"/>
    </xf>
    <xf numFmtId="0" fontId="21" fillId="9" borderId="124" xfId="0" applyFont="1" applyFill="1" applyBorder="1" applyAlignment="1">
      <alignment horizontal="center" vertical="center" wrapText="1"/>
    </xf>
    <xf numFmtId="0" fontId="21" fillId="9" borderId="122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1" fillId="9" borderId="123" xfId="0" applyFont="1" applyFill="1" applyBorder="1" applyAlignment="1">
      <alignment horizontal="center"/>
    </xf>
    <xf numFmtId="0" fontId="21" fillId="9" borderId="38" xfId="0" applyFont="1" applyFill="1" applyBorder="1" applyAlignment="1">
      <alignment horizontal="center"/>
    </xf>
    <xf numFmtId="0" fontId="21" fillId="9" borderId="201" xfId="0" applyFont="1" applyFill="1" applyBorder="1" applyAlignment="1">
      <alignment horizontal="center"/>
    </xf>
    <xf numFmtId="0" fontId="21" fillId="9" borderId="202" xfId="0" applyFont="1" applyFill="1" applyBorder="1" applyAlignment="1">
      <alignment horizontal="center"/>
    </xf>
    <xf numFmtId="0" fontId="21" fillId="9" borderId="203" xfId="0" applyFont="1" applyFill="1" applyBorder="1" applyAlignment="1">
      <alignment horizontal="center"/>
    </xf>
    <xf numFmtId="49" fontId="34" fillId="0" borderId="0" xfId="0" applyNumberFormat="1" applyFont="1" applyAlignment="1">
      <alignment horizontal="center"/>
    </xf>
    <xf numFmtId="0" fontId="21" fillId="9" borderId="126" xfId="0" applyFont="1" applyFill="1" applyBorder="1" applyAlignment="1">
      <alignment horizontal="center" vertical="center"/>
    </xf>
    <xf numFmtId="0" fontId="21" fillId="9" borderId="127" xfId="0" applyFont="1" applyFill="1" applyBorder="1" applyAlignment="1">
      <alignment horizontal="center" vertical="center"/>
    </xf>
    <xf numFmtId="0" fontId="21" fillId="9" borderId="109" xfId="0" applyFont="1" applyFill="1" applyBorder="1" applyAlignment="1">
      <alignment horizontal="center" vertical="center" wrapText="1"/>
    </xf>
    <xf numFmtId="0" fontId="21" fillId="9" borderId="104" xfId="0" applyFont="1" applyFill="1" applyBorder="1" applyAlignment="1">
      <alignment horizontal="center" vertical="center" wrapText="1"/>
    </xf>
    <xf numFmtId="0" fontId="21" fillId="9" borderId="205" xfId="0" applyFont="1" applyFill="1" applyBorder="1" applyAlignment="1">
      <alignment horizontal="center" vertical="center"/>
    </xf>
    <xf numFmtId="0" fontId="21" fillId="9" borderId="206" xfId="0" applyFont="1" applyFill="1" applyBorder="1" applyAlignment="1">
      <alignment horizontal="center" vertical="center"/>
    </xf>
    <xf numFmtId="0" fontId="21" fillId="9" borderId="207" xfId="0" applyFont="1" applyFill="1" applyBorder="1" applyAlignment="1">
      <alignment horizontal="center" vertical="center"/>
    </xf>
    <xf numFmtId="0" fontId="21" fillId="9" borderId="108" xfId="0" applyFont="1" applyFill="1" applyBorder="1" applyAlignment="1">
      <alignment horizontal="center" vertical="center" wrapText="1"/>
    </xf>
    <xf numFmtId="0" fontId="21" fillId="9" borderId="204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left"/>
    </xf>
    <xf numFmtId="0" fontId="21" fillId="9" borderId="102" xfId="0" applyFont="1" applyFill="1" applyBorder="1" applyAlignment="1">
      <alignment horizontal="center" vertical="center" wrapText="1"/>
    </xf>
    <xf numFmtId="0" fontId="21" fillId="9" borderId="20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1" fillId="9" borderId="209" xfId="0" applyFont="1" applyFill="1" applyBorder="1" applyAlignment="1">
      <alignment horizontal="center" vertical="center" wrapText="1"/>
    </xf>
    <xf numFmtId="0" fontId="21" fillId="9" borderId="205" xfId="0" applyFont="1" applyFill="1" applyBorder="1" applyAlignment="1">
      <alignment horizontal="center" vertical="center" wrapText="1"/>
    </xf>
    <xf numFmtId="0" fontId="21" fillId="9" borderId="206" xfId="0" applyFont="1" applyFill="1" applyBorder="1" applyAlignment="1">
      <alignment horizontal="center" vertical="center" wrapText="1"/>
    </xf>
    <xf numFmtId="0" fontId="21" fillId="9" borderId="207" xfId="0" applyFont="1" applyFill="1" applyBorder="1" applyAlignment="1">
      <alignment horizontal="center" vertical="center" wrapText="1"/>
    </xf>
    <xf numFmtId="0" fontId="21" fillId="9" borderId="10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1" fillId="9" borderId="73" xfId="0" applyFont="1" applyFill="1" applyBorder="1" applyAlignment="1">
      <alignment horizontal="center" vertical="center" wrapText="1"/>
    </xf>
    <xf numFmtId="0" fontId="21" fillId="9" borderId="175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1" fillId="9" borderId="74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74" xfId="0" applyFont="1" applyFill="1" applyBorder="1" applyAlignment="1">
      <alignment horizontal="center"/>
    </xf>
    <xf numFmtId="0" fontId="21" fillId="9" borderId="184" xfId="0" applyFont="1" applyFill="1" applyBorder="1" applyAlignment="1">
      <alignment horizontal="center"/>
    </xf>
    <xf numFmtId="0" fontId="21" fillId="9" borderId="73" xfId="0" applyFont="1" applyFill="1" applyBorder="1" applyAlignment="1">
      <alignment horizontal="center"/>
    </xf>
    <xf numFmtId="0" fontId="21" fillId="9" borderId="185" xfId="0" applyFont="1" applyFill="1" applyBorder="1" applyAlignment="1">
      <alignment horizontal="center"/>
    </xf>
    <xf numFmtId="0" fontId="21" fillId="9" borderId="186" xfId="0" applyFont="1" applyFill="1" applyBorder="1" applyAlignment="1">
      <alignment horizontal="center"/>
    </xf>
    <xf numFmtId="0" fontId="21" fillId="9" borderId="2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9" fontId="52" fillId="9" borderId="69" xfId="0" applyNumberFormat="1" applyFont="1" applyFill="1" applyBorder="1" applyAlignment="1">
      <alignment horizontal="center" vertical="center" wrapText="1"/>
    </xf>
    <xf numFmtId="169" fontId="52" fillId="9" borderId="170" xfId="0" applyNumberFormat="1" applyFont="1" applyFill="1" applyBorder="1" applyAlignment="1">
      <alignment horizontal="center" vertical="center" wrapText="1"/>
    </xf>
    <xf numFmtId="3" fontId="52" fillId="9" borderId="69" xfId="0" applyNumberFormat="1" applyFont="1" applyFill="1" applyBorder="1" applyAlignment="1">
      <alignment horizontal="center" vertical="center" wrapText="1"/>
    </xf>
    <xf numFmtId="3" fontId="52" fillId="9" borderId="170" xfId="0" applyNumberFormat="1" applyFont="1" applyFill="1" applyBorder="1" applyAlignment="1">
      <alignment horizontal="center" vertical="center" wrapText="1"/>
    </xf>
    <xf numFmtId="3" fontId="52" fillId="9" borderId="169" xfId="0" applyNumberFormat="1" applyFont="1" applyFill="1" applyBorder="1" applyAlignment="1">
      <alignment horizontal="center" vertical="center" wrapText="1"/>
    </xf>
    <xf numFmtId="3" fontId="52" fillId="9" borderId="173" xfId="0" applyNumberFormat="1" applyFont="1" applyFill="1" applyBorder="1" applyAlignment="1">
      <alignment horizontal="center" vertical="center" wrapText="1"/>
    </xf>
    <xf numFmtId="49" fontId="52" fillId="9" borderId="70" xfId="0" applyNumberFormat="1" applyFont="1" applyFill="1" applyBorder="1" applyAlignment="1">
      <alignment horizontal="center" vertical="center" wrapText="1"/>
    </xf>
    <xf numFmtId="49" fontId="52" fillId="9" borderId="174" xfId="0" applyNumberFormat="1" applyFont="1" applyFill="1" applyBorder="1" applyAlignment="1">
      <alignment horizontal="center" vertical="center" wrapText="1"/>
    </xf>
    <xf numFmtId="49" fontId="52" fillId="9" borderId="177" xfId="0" applyNumberFormat="1" applyFont="1" applyFill="1" applyBorder="1" applyAlignment="1">
      <alignment horizontal="center" vertical="center" wrapText="1"/>
    </xf>
    <xf numFmtId="0" fontId="52" fillId="9" borderId="67" xfId="0" applyFont="1" applyFill="1" applyBorder="1" applyAlignment="1">
      <alignment horizontal="center" vertical="center"/>
    </xf>
    <xf numFmtId="0" fontId="52" fillId="9" borderId="10" xfId="0" applyFont="1" applyFill="1" applyBorder="1" applyAlignment="1">
      <alignment horizontal="center" vertical="center"/>
    </xf>
    <xf numFmtId="0" fontId="52" fillId="9" borderId="12" xfId="0" applyFont="1" applyFill="1" applyBorder="1" applyAlignment="1">
      <alignment horizontal="center" vertical="center"/>
    </xf>
    <xf numFmtId="0" fontId="52" fillId="9" borderId="68" xfId="0" applyFont="1" applyFill="1" applyBorder="1" applyAlignment="1">
      <alignment horizontal="center" vertical="center"/>
    </xf>
    <xf numFmtId="0" fontId="52" fillId="9" borderId="16" xfId="0" applyFont="1" applyFill="1" applyBorder="1" applyAlignment="1">
      <alignment horizontal="center" vertical="center"/>
    </xf>
    <xf numFmtId="0" fontId="52" fillId="9" borderId="175" xfId="0" applyFont="1" applyFill="1" applyBorder="1" applyAlignment="1">
      <alignment horizontal="center" vertical="center"/>
    </xf>
    <xf numFmtId="3" fontId="52" fillId="9" borderId="67" xfId="0" applyNumberFormat="1" applyFont="1" applyFill="1" applyBorder="1" applyAlignment="1">
      <alignment horizontal="center" vertical="center" wrapText="1"/>
    </xf>
    <xf numFmtId="3" fontId="52" fillId="9" borderId="10" xfId="0" applyNumberFormat="1" applyFont="1" applyFill="1" applyBorder="1" applyAlignment="1">
      <alignment horizontal="center" vertical="center" wrapText="1"/>
    </xf>
    <xf numFmtId="3" fontId="52" fillId="9" borderId="12" xfId="0" applyNumberFormat="1" applyFont="1" applyFill="1" applyBorder="1" applyAlignment="1">
      <alignment horizontal="center" vertical="center" wrapText="1"/>
    </xf>
    <xf numFmtId="3" fontId="52" fillId="9" borderId="183" xfId="0" applyNumberFormat="1" applyFont="1" applyFill="1" applyBorder="1" applyAlignment="1">
      <alignment horizontal="center" vertical="center" wrapText="1"/>
    </xf>
    <xf numFmtId="3" fontId="52" fillId="9" borderId="68" xfId="0" applyNumberFormat="1" applyFont="1" applyFill="1" applyBorder="1" applyAlignment="1">
      <alignment horizontal="center" vertical="center" wrapText="1"/>
    </xf>
    <xf numFmtId="3" fontId="52" fillId="9" borderId="13" xfId="0" applyNumberFormat="1" applyFont="1" applyFill="1" applyBorder="1" applyAlignment="1">
      <alignment horizontal="center" vertical="center" wrapText="1"/>
    </xf>
    <xf numFmtId="3" fontId="52" fillId="9" borderId="16" xfId="0" applyNumberFormat="1" applyFont="1" applyFill="1" applyBorder="1" applyAlignment="1">
      <alignment horizontal="center" vertical="center" wrapText="1"/>
    </xf>
    <xf numFmtId="3" fontId="52" fillId="9" borderId="19" xfId="0" applyNumberFormat="1" applyFont="1" applyFill="1" applyBorder="1" applyAlignment="1">
      <alignment horizontal="center" vertical="center" wrapText="1"/>
    </xf>
    <xf numFmtId="3" fontId="52" fillId="9" borderId="175" xfId="0" applyNumberFormat="1" applyFont="1" applyFill="1" applyBorder="1" applyAlignment="1">
      <alignment horizontal="center" vertical="center" wrapText="1"/>
    </xf>
    <xf numFmtId="0" fontId="71" fillId="0" borderId="0" xfId="0" applyFont="1"/>
    <xf numFmtId="0" fontId="26" fillId="0" borderId="163" xfId="0" applyFont="1" applyBorder="1" applyAlignment="1">
      <alignment horizontal="center"/>
    </xf>
    <xf numFmtId="3" fontId="21" fillId="7" borderId="145" xfId="0" applyNumberFormat="1" applyFont="1" applyFill="1" applyBorder="1" applyAlignment="1">
      <alignment horizontal="center" vertical="center" wrapText="1"/>
    </xf>
    <xf numFmtId="3" fontId="21" fillId="7" borderId="26" xfId="0" applyNumberFormat="1" applyFont="1" applyFill="1" applyBorder="1" applyAlignment="1">
      <alignment horizontal="center" vertical="center" wrapText="1"/>
    </xf>
    <xf numFmtId="3" fontId="21" fillId="7" borderId="164" xfId="0" applyNumberFormat="1" applyFont="1" applyFill="1" applyBorder="1" applyAlignment="1">
      <alignment horizontal="center" vertical="center" wrapText="1"/>
    </xf>
    <xf numFmtId="49" fontId="21" fillId="7" borderId="141" xfId="0" applyNumberFormat="1" applyFont="1" applyFill="1" applyBorder="1" applyAlignment="1">
      <alignment horizontal="center" vertical="center" wrapText="1"/>
    </xf>
    <xf numFmtId="49" fontId="21" fillId="7" borderId="33" xfId="0" applyNumberFormat="1" applyFont="1" applyFill="1" applyBorder="1" applyAlignment="1">
      <alignment horizontal="center" vertical="center" wrapText="1"/>
    </xf>
    <xf numFmtId="49" fontId="21" fillId="7" borderId="160" xfId="0" applyNumberFormat="1" applyFont="1" applyFill="1" applyBorder="1" applyAlignment="1">
      <alignment horizontal="center" vertical="center" wrapText="1"/>
    </xf>
    <xf numFmtId="0" fontId="21" fillId="7" borderId="137" xfId="0" applyFont="1" applyFill="1" applyBorder="1" applyAlignment="1">
      <alignment horizontal="center" vertical="center"/>
    </xf>
    <xf numFmtId="0" fontId="21" fillId="7" borderId="57" xfId="0" applyFont="1" applyFill="1" applyBorder="1" applyAlignment="1">
      <alignment horizontal="center" vertical="center"/>
    </xf>
    <xf numFmtId="0" fontId="21" fillId="7" borderId="161" xfId="0" applyFont="1" applyFill="1" applyBorder="1" applyAlignment="1">
      <alignment horizontal="center" vertical="center"/>
    </xf>
    <xf numFmtId="0" fontId="21" fillId="7" borderId="14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21" fillId="7" borderId="164" xfId="0" applyFont="1" applyFill="1" applyBorder="1" applyAlignment="1">
      <alignment horizontal="center" vertical="center"/>
    </xf>
    <xf numFmtId="169" fontId="21" fillId="7" borderId="141" xfId="0" applyNumberFormat="1" applyFont="1" applyFill="1" applyBorder="1" applyAlignment="1">
      <alignment horizontal="center" vertical="center" wrapText="1"/>
    </xf>
    <xf numFmtId="169" fontId="21" fillId="7" borderId="162" xfId="0" applyNumberFormat="1" applyFont="1" applyFill="1" applyBorder="1" applyAlignment="1">
      <alignment horizontal="center" vertical="center" wrapText="1"/>
    </xf>
    <xf numFmtId="169" fontId="21" fillId="7" borderId="137" xfId="0" applyNumberFormat="1" applyFont="1" applyFill="1" applyBorder="1" applyAlignment="1">
      <alignment horizontal="center" vertical="center" wrapText="1"/>
    </xf>
    <xf numFmtId="169" fontId="21" fillId="7" borderId="160" xfId="0" applyNumberFormat="1" applyFont="1" applyFill="1" applyBorder="1" applyAlignment="1">
      <alignment horizontal="center" vertical="center" wrapText="1"/>
    </xf>
    <xf numFmtId="169" fontId="21" fillId="7" borderId="163" xfId="0" applyNumberFormat="1" applyFont="1" applyFill="1" applyBorder="1" applyAlignment="1">
      <alignment horizontal="center" vertical="center" wrapText="1"/>
    </xf>
    <xf numFmtId="169" fontId="21" fillId="7" borderId="161" xfId="0" applyNumberFormat="1" applyFont="1" applyFill="1" applyBorder="1" applyAlignment="1">
      <alignment horizontal="center" vertical="center" wrapText="1"/>
    </xf>
    <xf numFmtId="3" fontId="21" fillId="7" borderId="141" xfId="0" applyNumberFormat="1" applyFont="1" applyFill="1" applyBorder="1" applyAlignment="1">
      <alignment horizontal="center" vertical="center" wrapText="1"/>
    </xf>
    <xf numFmtId="3" fontId="21" fillId="7" borderId="137" xfId="0" applyNumberFormat="1" applyFont="1" applyFill="1" applyBorder="1" applyAlignment="1">
      <alignment horizontal="center" vertical="center" wrapText="1"/>
    </xf>
    <xf numFmtId="3" fontId="21" fillId="7" borderId="160" xfId="0" applyNumberFormat="1" applyFont="1" applyFill="1" applyBorder="1" applyAlignment="1">
      <alignment horizontal="center" vertical="center" wrapText="1"/>
    </xf>
    <xf numFmtId="3" fontId="21" fillId="7" borderId="161" xfId="0" applyNumberFormat="1" applyFont="1" applyFill="1" applyBorder="1" applyAlignment="1">
      <alignment horizontal="center" vertical="center" wrapText="1"/>
    </xf>
    <xf numFmtId="3" fontId="21" fillId="7" borderId="188" xfId="0" applyNumberFormat="1" applyFont="1" applyFill="1" applyBorder="1" applyAlignment="1">
      <alignment horizontal="center" vertical="center" wrapText="1"/>
    </xf>
    <xf numFmtId="3" fontId="21" fillId="7" borderId="189" xfId="0" applyNumberFormat="1" applyFont="1" applyFill="1" applyBorder="1" applyAlignment="1">
      <alignment horizontal="center" vertical="center" wrapText="1"/>
    </xf>
    <xf numFmtId="3" fontId="21" fillId="7" borderId="33" xfId="0" applyNumberFormat="1" applyFont="1" applyFill="1" applyBorder="1" applyAlignment="1">
      <alignment horizontal="center" vertical="center" wrapText="1"/>
    </xf>
    <xf numFmtId="3" fontId="21" fillId="7" borderId="57" xfId="0" applyNumberFormat="1" applyFont="1" applyFill="1" applyBorder="1" applyAlignment="1">
      <alignment horizontal="center" vertical="center" wrapText="1"/>
    </xf>
    <xf numFmtId="3" fontId="21" fillId="7" borderId="190" xfId="0" applyNumberFormat="1" applyFont="1" applyFill="1" applyBorder="1" applyAlignment="1">
      <alignment horizontal="center" vertical="center" wrapText="1"/>
    </xf>
    <xf numFmtId="3" fontId="21" fillId="7" borderId="191" xfId="0" applyNumberFormat="1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1" fillId="9" borderId="82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92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1" fillId="9" borderId="178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80" xfId="0" applyFont="1" applyFill="1" applyBorder="1" applyAlignment="1">
      <alignment horizontal="center" vertical="center"/>
    </xf>
    <xf numFmtId="0" fontId="21" fillId="9" borderId="93" xfId="0" applyFont="1" applyFill="1" applyBorder="1" applyAlignment="1">
      <alignment horizontal="center" vertical="center"/>
    </xf>
    <xf numFmtId="0" fontId="21" fillId="9" borderId="181" xfId="0" applyFont="1" applyFill="1" applyBorder="1" applyAlignment="1">
      <alignment horizontal="center" vertical="center"/>
    </xf>
    <xf numFmtId="0" fontId="21" fillId="9" borderId="180" xfId="0" applyFont="1" applyFill="1" applyBorder="1" applyAlignment="1">
      <alignment horizontal="center" vertical="center" wrapText="1"/>
    </xf>
    <xf numFmtId="0" fontId="21" fillId="9" borderId="219" xfId="0" applyFont="1" applyFill="1" applyBorder="1" applyAlignment="1">
      <alignment horizontal="center" vertical="center" wrapText="1"/>
    </xf>
    <xf numFmtId="0" fontId="21" fillId="9" borderId="96" xfId="0" applyFont="1" applyFill="1" applyBorder="1" applyAlignment="1">
      <alignment horizontal="center" vertical="center" wrapText="1"/>
    </xf>
    <xf numFmtId="0" fontId="22" fillId="8" borderId="182" xfId="0" applyFont="1" applyFill="1" applyBorder="1" applyAlignment="1">
      <alignment horizontal="center" vertical="center"/>
    </xf>
    <xf numFmtId="0" fontId="22" fillId="8" borderId="212" xfId="0" applyFont="1" applyFill="1" applyBorder="1" applyAlignment="1">
      <alignment horizontal="center" vertical="center"/>
    </xf>
    <xf numFmtId="0" fontId="22" fillId="8" borderId="213" xfId="0" applyFont="1" applyFill="1" applyBorder="1" applyAlignment="1">
      <alignment horizontal="center" vertical="center"/>
    </xf>
    <xf numFmtId="0" fontId="22" fillId="8" borderId="214" xfId="0" applyFont="1" applyFill="1" applyBorder="1" applyAlignment="1">
      <alignment horizontal="center" vertical="center" wrapText="1"/>
    </xf>
    <xf numFmtId="0" fontId="22" fillId="8" borderId="215" xfId="0" applyFont="1" applyFill="1" applyBorder="1" applyAlignment="1">
      <alignment horizontal="center" vertical="center" wrapText="1"/>
    </xf>
    <xf numFmtId="0" fontId="22" fillId="8" borderId="216" xfId="0" applyFont="1" applyFill="1" applyBorder="1" applyAlignment="1">
      <alignment horizontal="center" vertical="center" wrapText="1"/>
    </xf>
    <xf numFmtId="0" fontId="22" fillId="8" borderId="217" xfId="0" applyFont="1" applyFill="1" applyBorder="1" applyAlignment="1">
      <alignment horizontal="center" vertical="center" wrapText="1"/>
    </xf>
    <xf numFmtId="0" fontId="22" fillId="8" borderId="181" xfId="0" applyFont="1" applyFill="1" applyBorder="1" applyAlignment="1">
      <alignment horizontal="center" vertical="center"/>
    </xf>
    <xf numFmtId="0" fontId="22" fillId="8" borderId="165" xfId="0" applyFont="1" applyFill="1" applyBorder="1" applyAlignment="1">
      <alignment horizontal="center" vertical="center"/>
    </xf>
    <xf numFmtId="0" fontId="22" fillId="8" borderId="195" xfId="0" applyFont="1" applyFill="1" applyBorder="1" applyAlignment="1">
      <alignment horizontal="center" vertical="center" wrapText="1"/>
    </xf>
    <xf numFmtId="0" fontId="22" fillId="8" borderId="93" xfId="0" applyFont="1" applyFill="1" applyBorder="1" applyAlignment="1">
      <alignment horizontal="center" vertical="center" wrapText="1"/>
    </xf>
    <xf numFmtId="0" fontId="22" fillId="8" borderId="196" xfId="0" applyFont="1" applyFill="1" applyBorder="1" applyAlignment="1">
      <alignment horizontal="center" vertical="center" wrapText="1"/>
    </xf>
    <xf numFmtId="0" fontId="22" fillId="8" borderId="81" xfId="0" applyFont="1" applyFill="1" applyBorder="1" applyAlignment="1">
      <alignment horizontal="center" vertical="center" wrapText="1"/>
    </xf>
    <xf numFmtId="0" fontId="22" fillId="8" borderId="154" xfId="0" applyFont="1" applyFill="1" applyBorder="1" applyAlignment="1">
      <alignment horizontal="center" vertical="center" wrapText="1"/>
    </xf>
    <xf numFmtId="0" fontId="22" fillId="8" borderId="130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horizontal="center"/>
    </xf>
    <xf numFmtId="169" fontId="8" fillId="0" borderId="0" xfId="0" applyNumberFormat="1" applyFont="1" applyAlignment="1">
      <alignment horizontal="left"/>
    </xf>
    <xf numFmtId="0" fontId="22" fillId="8" borderId="117" xfId="0" applyFont="1" applyFill="1" applyBorder="1" applyAlignment="1">
      <alignment horizontal="center" vertical="center" wrapText="1"/>
    </xf>
    <xf numFmtId="0" fontId="22" fillId="8" borderId="101" xfId="0" applyFont="1" applyFill="1" applyBorder="1" applyAlignment="1">
      <alignment horizontal="center" vertical="center" wrapText="1"/>
    </xf>
    <xf numFmtId="0" fontId="22" fillId="8" borderId="117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100" xfId="0" applyFont="1" applyFill="1" applyBorder="1" applyAlignment="1">
      <alignment horizontal="center" vertical="center" wrapText="1"/>
    </xf>
    <xf numFmtId="0" fontId="22" fillId="8" borderId="98" xfId="0" applyFont="1" applyFill="1" applyBorder="1" applyAlignment="1">
      <alignment horizontal="center" vertical="center" wrapText="1"/>
    </xf>
    <xf numFmtId="0" fontId="22" fillId="8" borderId="192" xfId="0" applyFont="1" applyFill="1" applyBorder="1" applyAlignment="1">
      <alignment horizontal="center"/>
    </xf>
    <xf numFmtId="0" fontId="22" fillId="8" borderId="193" xfId="0" applyFont="1" applyFill="1" applyBorder="1" applyAlignment="1">
      <alignment horizontal="center"/>
    </xf>
    <xf numFmtId="0" fontId="22" fillId="8" borderId="194" xfId="0" applyFont="1" applyFill="1" applyBorder="1" applyAlignment="1">
      <alignment horizontal="center"/>
    </xf>
    <xf numFmtId="0" fontId="22" fillId="8" borderId="208" xfId="0" applyFont="1" applyFill="1" applyBorder="1" applyAlignment="1">
      <alignment horizontal="center" vertical="center" wrapText="1"/>
    </xf>
    <xf numFmtId="169" fontId="70" fillId="0" borderId="0" xfId="0" applyNumberFormat="1" applyFont="1" applyAlignment="1">
      <alignment horizontal="left"/>
    </xf>
  </cellXfs>
  <cellStyles count="4">
    <cellStyle name="Euro" xfId="1" xr:uid="{00000000-0005-0000-0000-000000000000}"/>
    <cellStyle name="Moneda" xfId="2" builtinId="4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62948"/>
      <color rgb="FF000099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106680</xdr:rowOff>
    </xdr:from>
    <xdr:to>
      <xdr:col>5</xdr:col>
      <xdr:colOff>30480</xdr:colOff>
      <xdr:row>2</xdr:row>
      <xdr:rowOff>236220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4320"/>
          <a:ext cx="5737860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A" sz="14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RESUMEN DEL PRESUPUESTO AL MES DE FEBRERO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F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F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F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F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F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F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39</xdr:row>
      <xdr:rowOff>0</xdr:rowOff>
    </xdr:from>
    <xdr:to>
      <xdr:col>0</xdr:col>
      <xdr:colOff>238125</xdr:colOff>
      <xdr:row>40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10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-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to"/>
      <sheetName val="FINANC. PTO"/>
      <sheetName val="C-1"/>
      <sheetName val="C-2"/>
      <sheetName val="C-3"/>
      <sheetName val="C-4"/>
      <sheetName val="Transf"/>
      <sheetName val="C-5"/>
      <sheetName val="C-8"/>
      <sheetName val="C-6"/>
      <sheetName val="C-7"/>
      <sheetName val="C-9"/>
      <sheetName val="C-10"/>
      <sheetName val="Ing.corr-k"/>
      <sheetName val="CA1"/>
      <sheetName val="CA2"/>
      <sheetName val="C-A3"/>
      <sheetName val="C-A4"/>
      <sheetName val="C-A5"/>
      <sheetName val="C-A6"/>
      <sheetName val="C-A6C"/>
      <sheetName val="C-A7"/>
      <sheetName val="C-A8A"/>
      <sheetName val="INVxOBJETO"/>
      <sheetName val="TRASLADO"/>
      <sheetName val="PTO LEY 2020-2021"/>
      <sheetName val="POR GRUPO"/>
      <sheetName val="Hoja4"/>
      <sheetName val="Hoja5"/>
      <sheetName val="Hoja1"/>
      <sheetName val="Hoja2"/>
      <sheetName val="C-A8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B11" t="str">
            <v xml:space="preserve"> I  Ingresos Corrientes</v>
          </cell>
          <cell r="C11">
            <v>141094806</v>
          </cell>
          <cell r="D11">
            <v>141094806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0.39997558519241921"/>
  </sheetPr>
  <dimension ref="A1:H32"/>
  <sheetViews>
    <sheetView showGridLines="0" showZeros="0" tabSelected="1" workbookViewId="0">
      <selection activeCell="H18" sqref="H18"/>
    </sheetView>
  </sheetViews>
  <sheetFormatPr baseColWidth="10" defaultColWidth="11.42578125" defaultRowHeight="12.75" x14ac:dyDescent="0.2"/>
  <cols>
    <col min="1" max="1" width="35.7109375" style="25" customWidth="1"/>
    <col min="2" max="2" width="15.28515625" customWidth="1"/>
    <col min="3" max="3" width="15.42578125" hidden="1" customWidth="1"/>
    <col min="4" max="4" width="15.42578125" customWidth="1"/>
    <col min="5" max="5" width="16.7109375" customWidth="1"/>
  </cols>
  <sheetData>
    <row r="1" spans="1:7" x14ac:dyDescent="0.2">
      <c r="B1" s="25"/>
      <c r="C1" s="25"/>
      <c r="D1" s="25"/>
      <c r="E1" s="25"/>
    </row>
    <row r="2" spans="1:7" x14ac:dyDescent="0.2">
      <c r="B2" s="25"/>
      <c r="C2" s="25"/>
      <c r="D2" s="25"/>
      <c r="E2" s="25"/>
    </row>
    <row r="3" spans="1:7" ht="31.9" customHeight="1" x14ac:dyDescent="0.2">
      <c r="B3" s="25"/>
      <c r="C3" s="25"/>
      <c r="D3" s="25"/>
      <c r="E3" s="25"/>
    </row>
    <row r="4" spans="1:7" ht="6.95" customHeight="1" x14ac:dyDescent="0.2">
      <c r="A4" s="594" t="s">
        <v>0</v>
      </c>
      <c r="B4" s="537"/>
      <c r="C4" s="537"/>
      <c r="D4" s="537"/>
      <c r="E4" s="537"/>
    </row>
    <row r="5" spans="1:7" x14ac:dyDescent="0.2">
      <c r="A5" s="595"/>
      <c r="B5" s="597" t="s">
        <v>390</v>
      </c>
      <c r="C5" s="597"/>
      <c r="D5" s="597"/>
      <c r="E5" s="597"/>
    </row>
    <row r="6" spans="1:7" ht="20.25" customHeight="1" x14ac:dyDescent="0.2">
      <c r="A6" s="595"/>
      <c r="B6" s="538" t="s">
        <v>98</v>
      </c>
      <c r="C6" s="538" t="s">
        <v>12</v>
      </c>
      <c r="D6" s="539" t="s">
        <v>514</v>
      </c>
      <c r="E6" s="538" t="s">
        <v>13</v>
      </c>
    </row>
    <row r="7" spans="1:7" ht="6.6" customHeight="1" x14ac:dyDescent="0.2">
      <c r="A7" s="596"/>
      <c r="B7" s="540"/>
      <c r="C7" s="540"/>
      <c r="D7" s="541"/>
      <c r="E7" s="540"/>
    </row>
    <row r="8" spans="1:7" ht="13.15" customHeight="1" x14ac:dyDescent="0.2">
      <c r="A8" s="532"/>
      <c r="B8" s="168"/>
      <c r="C8" s="168"/>
      <c r="D8" s="523"/>
      <c r="E8" s="25"/>
    </row>
    <row r="9" spans="1:7" ht="24.6" customHeight="1" x14ac:dyDescent="0.2">
      <c r="A9" s="533" t="s">
        <v>25</v>
      </c>
      <c r="B9" s="169">
        <f>SUM(B11:B13)</f>
        <v>198000000</v>
      </c>
      <c r="C9" s="169">
        <f>SUM(C11:C13)</f>
        <v>0</v>
      </c>
      <c r="D9" s="524">
        <f>SUM(D11:D13)</f>
        <v>198000000</v>
      </c>
      <c r="E9" s="169">
        <f>SUM(E11:E13)</f>
        <v>13279483.859999999</v>
      </c>
    </row>
    <row r="10" spans="1:7" ht="15" x14ac:dyDescent="0.3">
      <c r="A10" s="534"/>
      <c r="B10" s="170"/>
      <c r="C10" s="170"/>
      <c r="D10" s="525"/>
      <c r="E10" s="170"/>
    </row>
    <row r="11" spans="1:7" x14ac:dyDescent="0.2">
      <c r="A11" s="568" t="s">
        <v>331</v>
      </c>
      <c r="B11" s="171">
        <f>+BALANCE!C11</f>
        <v>141094806</v>
      </c>
      <c r="C11" s="171"/>
      <c r="D11" s="526">
        <f>+BALANCE!D11</f>
        <v>141094806</v>
      </c>
      <c r="E11" s="171">
        <f>+BALANCE!G11</f>
        <v>12859483.859999999</v>
      </c>
    </row>
    <row r="12" spans="1:7" x14ac:dyDescent="0.2">
      <c r="A12" s="568"/>
      <c r="B12" s="171"/>
      <c r="C12" s="171"/>
      <c r="D12" s="526"/>
      <c r="E12" s="171"/>
      <c r="F12" s="58"/>
    </row>
    <row r="13" spans="1:7" x14ac:dyDescent="0.2">
      <c r="A13" s="568" t="s">
        <v>332</v>
      </c>
      <c r="B13" s="171">
        <f>+BALANCE!C34</f>
        <v>56905194</v>
      </c>
      <c r="C13" s="171"/>
      <c r="D13" s="526">
        <f>+BALANCE!D34</f>
        <v>56905194</v>
      </c>
      <c r="E13" s="171">
        <f>+BALANCE!G34</f>
        <v>420000</v>
      </c>
      <c r="G13" s="1"/>
    </row>
    <row r="14" spans="1:7" ht="15" x14ac:dyDescent="0.3">
      <c r="A14" s="534"/>
      <c r="B14" s="172"/>
      <c r="C14" s="172"/>
      <c r="D14" s="527"/>
      <c r="E14" s="172"/>
    </row>
    <row r="15" spans="1:7" ht="15" x14ac:dyDescent="0.3">
      <c r="A15" s="534"/>
      <c r="B15" s="172"/>
      <c r="C15" s="172"/>
      <c r="D15" s="527"/>
      <c r="E15" s="172"/>
    </row>
    <row r="16" spans="1:7" ht="22.15" customHeight="1" x14ac:dyDescent="0.2">
      <c r="A16" s="533" t="s">
        <v>333</v>
      </c>
      <c r="B16" s="173">
        <f>+B18+B25</f>
        <v>198000000</v>
      </c>
      <c r="C16" s="173">
        <f>+C18+C25</f>
        <v>0</v>
      </c>
      <c r="D16" s="528">
        <f>+D18+D25</f>
        <v>198000000</v>
      </c>
      <c r="E16" s="173">
        <f>+E18+E25</f>
        <v>19327429.369999997</v>
      </c>
    </row>
    <row r="17" spans="1:8" ht="16.899999999999999" customHeight="1" x14ac:dyDescent="0.3">
      <c r="A17" s="534"/>
      <c r="B17" s="172"/>
      <c r="C17" s="172"/>
      <c r="D17" s="527"/>
      <c r="E17" s="172"/>
    </row>
    <row r="18" spans="1:8" ht="24.6" customHeight="1" x14ac:dyDescent="0.2">
      <c r="A18" s="535" t="s">
        <v>32</v>
      </c>
      <c r="B18" s="174">
        <f>+B19+B21+B23</f>
        <v>141094806</v>
      </c>
      <c r="C18" s="174">
        <f>SUM(C19:C23)</f>
        <v>0</v>
      </c>
      <c r="D18" s="529">
        <f>SUM(D19:D23)</f>
        <v>141094806</v>
      </c>
      <c r="E18" s="174">
        <f>SUM(E19:E23)</f>
        <v>15488849.059999999</v>
      </c>
      <c r="F18" s="1" t="s">
        <v>41</v>
      </c>
      <c r="H18" t="s">
        <v>6</v>
      </c>
    </row>
    <row r="19" spans="1:8" ht="22.5" customHeight="1" x14ac:dyDescent="0.2">
      <c r="A19" s="532" t="s">
        <v>382</v>
      </c>
      <c r="B19" s="171">
        <f>+'ESTRUCT. PROG'!C11</f>
        <v>52074126</v>
      </c>
      <c r="C19" s="171"/>
      <c r="D19" s="526">
        <f>+'ESTRUCT. PROG'!D11</f>
        <v>52784926</v>
      </c>
      <c r="E19" s="171">
        <f>+'ESTRUCT. PROG'!G11</f>
        <v>4756203.91</v>
      </c>
      <c r="H19" t="s">
        <v>6</v>
      </c>
    </row>
    <row r="20" spans="1:8" x14ac:dyDescent="0.2">
      <c r="A20" s="532"/>
      <c r="B20" s="171">
        <f>+PROYECTOS!D1</f>
        <v>0</v>
      </c>
      <c r="C20" s="171"/>
      <c r="D20" s="526"/>
      <c r="E20" s="171">
        <f>+PROYECTOS!F1</f>
        <v>0</v>
      </c>
      <c r="H20" t="s">
        <v>6</v>
      </c>
    </row>
    <row r="21" spans="1:8" x14ac:dyDescent="0.2">
      <c r="A21" s="532" t="s">
        <v>383</v>
      </c>
      <c r="B21" s="171">
        <f>+'ESTRUCT. PROG'!C21</f>
        <v>73122532</v>
      </c>
      <c r="C21" s="171"/>
      <c r="D21" s="526">
        <f>+'ESTRUCT. PROG'!D21</f>
        <v>73013432</v>
      </c>
      <c r="E21" s="171">
        <f>+'ESTRUCT. PROG'!G21</f>
        <v>9128761.1399999987</v>
      </c>
      <c r="H21" t="s">
        <v>6</v>
      </c>
    </row>
    <row r="22" spans="1:8" x14ac:dyDescent="0.2">
      <c r="A22" s="532" t="s">
        <v>6</v>
      </c>
      <c r="B22" s="171">
        <f>+PROYECTOS!D3</f>
        <v>0</v>
      </c>
      <c r="C22" s="171"/>
      <c r="D22" s="526"/>
      <c r="E22" s="171">
        <f>+PROYECTOS!F3</f>
        <v>0</v>
      </c>
      <c r="H22" t="s">
        <v>6</v>
      </c>
    </row>
    <row r="23" spans="1:8" x14ac:dyDescent="0.2">
      <c r="A23" s="532" t="s">
        <v>388</v>
      </c>
      <c r="B23" s="171">
        <f>+'ESTRUCT. PROG'!C29</f>
        <v>15898148</v>
      </c>
      <c r="C23" s="171"/>
      <c r="D23" s="526">
        <f>+'ESTRUCT. PROG'!D29</f>
        <v>15296448</v>
      </c>
      <c r="E23" s="171">
        <f>+'ESTRUCT. PROG'!G29</f>
        <v>1603884.0099999998</v>
      </c>
    </row>
    <row r="24" spans="1:8" ht="27.6" customHeight="1" x14ac:dyDescent="0.3">
      <c r="A24" s="534"/>
      <c r="B24" s="172"/>
      <c r="C24" s="172"/>
      <c r="D24" s="527"/>
      <c r="E24" s="172"/>
    </row>
    <row r="25" spans="1:8" ht="21" customHeight="1" x14ac:dyDescent="0.2">
      <c r="A25" s="535" t="s">
        <v>33</v>
      </c>
      <c r="B25" s="174">
        <f>+B26+B28+B30</f>
        <v>56905194</v>
      </c>
      <c r="C25" s="174">
        <f>SUM(C26:C30)</f>
        <v>0</v>
      </c>
      <c r="D25" s="529">
        <f>SUM(D26:D30)</f>
        <v>56905194</v>
      </c>
      <c r="E25" s="174">
        <f>+E26+E28+E30</f>
        <v>3838580.31</v>
      </c>
      <c r="F25" s="1" t="s">
        <v>6</v>
      </c>
    </row>
    <row r="26" spans="1:8" ht="23.25" customHeight="1" x14ac:dyDescent="0.2">
      <c r="A26" s="532" t="s">
        <v>334</v>
      </c>
      <c r="B26" s="171">
        <f>+PROYECTOS!B8</f>
        <v>27799680</v>
      </c>
      <c r="C26" s="171"/>
      <c r="D26" s="526">
        <f>+PROYECTOS!C8</f>
        <v>27515550</v>
      </c>
      <c r="E26" s="171">
        <f>+PROYECTOS!F8</f>
        <v>2171323.0099999998</v>
      </c>
    </row>
    <row r="27" spans="1:8" x14ac:dyDescent="0.2">
      <c r="A27" s="532"/>
      <c r="B27" s="171"/>
      <c r="C27" s="171"/>
      <c r="D27" s="526"/>
      <c r="E27" s="171" t="s">
        <v>6</v>
      </c>
    </row>
    <row r="28" spans="1:8" x14ac:dyDescent="0.2">
      <c r="A28" s="532" t="s">
        <v>335</v>
      </c>
      <c r="B28" s="171">
        <f>+PROYECTOS!B16</f>
        <v>15761574</v>
      </c>
      <c r="C28" s="171"/>
      <c r="D28" s="526">
        <f>+PROYECTOS!C16</f>
        <v>16030720</v>
      </c>
      <c r="E28" s="171">
        <f>+PROYECTOS!F16</f>
        <v>680523.28</v>
      </c>
    </row>
    <row r="29" spans="1:8" x14ac:dyDescent="0.2">
      <c r="A29" s="532"/>
      <c r="B29" s="40"/>
      <c r="C29" s="40"/>
      <c r="D29" s="530"/>
      <c r="E29" s="40" t="s">
        <v>6</v>
      </c>
    </row>
    <row r="30" spans="1:8" x14ac:dyDescent="0.2">
      <c r="A30" s="532" t="s">
        <v>379</v>
      </c>
      <c r="B30" s="171">
        <f>+PROYECTOS!B31</f>
        <v>13343940</v>
      </c>
      <c r="C30" s="171"/>
      <c r="D30" s="526">
        <f>+PROYECTOS!C31</f>
        <v>13358924</v>
      </c>
      <c r="E30" s="171">
        <f>+PROYECTOS!F31</f>
        <v>986734.02</v>
      </c>
    </row>
    <row r="31" spans="1:8" ht="15" x14ac:dyDescent="0.3">
      <c r="A31" s="534"/>
      <c r="B31" s="84"/>
      <c r="C31" s="84"/>
      <c r="D31" s="531"/>
      <c r="E31" s="175"/>
    </row>
    <row r="32" spans="1:8" x14ac:dyDescent="0.2">
      <c r="A32" s="536"/>
      <c r="B32" s="536"/>
      <c r="C32" s="536"/>
      <c r="D32" s="536"/>
      <c r="E32" s="536"/>
    </row>
  </sheetData>
  <mergeCells count="2">
    <mergeCell ref="A4:A7"/>
    <mergeCell ref="B5:E5"/>
  </mergeCells>
  <phoneticPr fontId="3" type="noConversion"/>
  <pageMargins left="0.94488188976377963" right="0.74803149606299213" top="0.98425196850393704" bottom="0.98425196850393704" header="0" footer="0"/>
  <pageSetup scale="80" orientation="portrait" horizontalDpi="4294967294" vertic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0.39997558519241921"/>
  </sheetPr>
  <dimension ref="A1:M42"/>
  <sheetViews>
    <sheetView showGridLines="0" showZeros="0" workbookViewId="0">
      <selection activeCell="F20" sqref="F20"/>
    </sheetView>
  </sheetViews>
  <sheetFormatPr baseColWidth="10" defaultRowHeight="12.75" x14ac:dyDescent="0.2"/>
  <cols>
    <col min="1" max="1" width="69.85546875" customWidth="1"/>
    <col min="2" max="2" width="17.28515625" customWidth="1"/>
    <col min="3" max="3" width="16.42578125" customWidth="1"/>
    <col min="4" max="4" width="11.28515625" customWidth="1"/>
    <col min="5" max="5" width="11.7109375" hidden="1" customWidth="1"/>
    <col min="6" max="6" width="14.140625" customWidth="1"/>
    <col min="7" max="7" width="13.42578125" customWidth="1"/>
    <col min="8" max="8" width="13" customWidth="1"/>
    <col min="9" max="9" width="12.7109375" customWidth="1"/>
    <col min="10" max="10" width="5.85546875" hidden="1" customWidth="1"/>
    <col min="11" max="11" width="15.140625" customWidth="1"/>
    <col min="12" max="12" width="13.28515625" customWidth="1"/>
  </cols>
  <sheetData>
    <row r="1" spans="1:13" ht="20.100000000000001" customHeight="1" x14ac:dyDescent="0.25">
      <c r="A1" s="601" t="s">
        <v>413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</row>
    <row r="2" spans="1:13" ht="20.100000000000001" customHeight="1" x14ac:dyDescent="0.25">
      <c r="A2" s="601" t="s">
        <v>411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</row>
    <row r="3" spans="1:13" ht="20.100000000000001" customHeight="1" x14ac:dyDescent="0.25">
      <c r="A3" s="602" t="s">
        <v>466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</row>
    <row r="4" spans="1:13" ht="20.100000000000001" customHeight="1" x14ac:dyDescent="0.25">
      <c r="A4" s="602" t="s">
        <v>576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13" ht="10.5" customHeight="1" x14ac:dyDescent="0.25">
      <c r="A5" s="438"/>
      <c r="B5" s="438"/>
      <c r="C5" s="438"/>
      <c r="D5" s="438"/>
      <c r="E5" s="438"/>
      <c r="F5" s="439"/>
      <c r="G5" s="439"/>
      <c r="H5" s="439"/>
      <c r="I5" s="439"/>
      <c r="J5" s="439"/>
      <c r="K5" s="25"/>
    </row>
    <row r="6" spans="1:13" ht="15.75" customHeight="1" x14ac:dyDescent="0.2">
      <c r="A6" s="732" t="s">
        <v>339</v>
      </c>
      <c r="B6" s="725" t="s">
        <v>34</v>
      </c>
      <c r="C6" s="726"/>
      <c r="D6" s="727"/>
      <c r="E6" s="569" t="s">
        <v>6</v>
      </c>
      <c r="F6" s="728" t="s">
        <v>554</v>
      </c>
      <c r="G6" s="728" t="s">
        <v>544</v>
      </c>
      <c r="H6" s="728" t="s">
        <v>85</v>
      </c>
      <c r="I6" s="728" t="s">
        <v>319</v>
      </c>
      <c r="J6" s="570" t="s">
        <v>405</v>
      </c>
      <c r="K6" s="730" t="s">
        <v>402</v>
      </c>
    </row>
    <row r="7" spans="1:13" ht="24" customHeight="1" x14ac:dyDescent="0.2">
      <c r="A7" s="733"/>
      <c r="B7" s="571" t="s">
        <v>98</v>
      </c>
      <c r="C7" s="572" t="s">
        <v>12</v>
      </c>
      <c r="D7" s="572" t="s">
        <v>2</v>
      </c>
      <c r="E7" s="572" t="s">
        <v>39</v>
      </c>
      <c r="F7" s="729"/>
      <c r="G7" s="729"/>
      <c r="H7" s="729"/>
      <c r="I7" s="729"/>
      <c r="J7" s="573"/>
      <c r="K7" s="731"/>
    </row>
    <row r="8" spans="1:13" ht="20.100000000000001" customHeight="1" x14ac:dyDescent="0.2">
      <c r="A8" s="440" t="s">
        <v>336</v>
      </c>
      <c r="B8" s="493">
        <f t="shared" ref="B8:H8" si="0">SUM(B9:B15)</f>
        <v>27799680</v>
      </c>
      <c r="C8" s="494">
        <f t="shared" si="0"/>
        <v>27515550</v>
      </c>
      <c r="D8" s="494">
        <f t="shared" si="0"/>
        <v>6199197</v>
      </c>
      <c r="E8" s="494">
        <f t="shared" si="0"/>
        <v>217788.24</v>
      </c>
      <c r="F8" s="494">
        <f t="shared" si="0"/>
        <v>2171323.0099999998</v>
      </c>
      <c r="G8" s="494">
        <f t="shared" si="0"/>
        <v>38003</v>
      </c>
      <c r="H8" s="494">
        <f t="shared" si="0"/>
        <v>0</v>
      </c>
      <c r="I8" s="494">
        <f>+I9+I15+I10</f>
        <v>3227876.9899999993</v>
      </c>
      <c r="J8" s="495" t="e">
        <f>+J9+J15+#REF!+J10</f>
        <v>#REF!</v>
      </c>
      <c r="K8" s="496">
        <f>+F8*100/D8</f>
        <v>35.025875286750846</v>
      </c>
      <c r="M8">
        <v>1953534.77</v>
      </c>
    </row>
    <row r="9" spans="1:13" ht="20.100000000000001" customHeight="1" x14ac:dyDescent="0.2">
      <c r="A9" s="441" t="s">
        <v>337</v>
      </c>
      <c r="B9" s="69">
        <f>9834974</f>
        <v>9834974</v>
      </c>
      <c r="C9" s="69">
        <f>9728714</f>
        <v>9728714</v>
      </c>
      <c r="D9" s="165">
        <v>2191902</v>
      </c>
      <c r="E9" s="165">
        <v>31460.240000000002</v>
      </c>
      <c r="F9" s="165">
        <v>986799.18</v>
      </c>
      <c r="G9" s="165"/>
      <c r="H9" s="165">
        <v>0</v>
      </c>
      <c r="I9" s="165">
        <f>+D9-F9</f>
        <v>1205102.8199999998</v>
      </c>
      <c r="J9" s="40">
        <f>+C9-F9</f>
        <v>8741914.8200000003</v>
      </c>
      <c r="K9" s="487">
        <f>+F9*100/D9</f>
        <v>45.020223531891482</v>
      </c>
      <c r="M9">
        <v>955338.94</v>
      </c>
    </row>
    <row r="10" spans="1:13" ht="32.25" customHeight="1" x14ac:dyDescent="0.2">
      <c r="A10" s="443" t="s">
        <v>374</v>
      </c>
      <c r="B10" s="583">
        <v>5000000</v>
      </c>
      <c r="C10" s="583">
        <v>4746215</v>
      </c>
      <c r="D10" s="164">
        <v>1351783</v>
      </c>
      <c r="E10" s="164">
        <v>38003</v>
      </c>
      <c r="F10" s="164">
        <f>+E10+M10</f>
        <v>614231.49</v>
      </c>
      <c r="G10" s="164">
        <v>38003</v>
      </c>
      <c r="H10" s="164"/>
      <c r="I10" s="164">
        <f>+D10-F10</f>
        <v>737551.51</v>
      </c>
      <c r="J10" s="163">
        <f>+C10-F10</f>
        <v>4131983.51</v>
      </c>
      <c r="K10" s="584">
        <f>+F10*100/D10</f>
        <v>45.438616257195129</v>
      </c>
      <c r="M10" s="159">
        <v>576228.49</v>
      </c>
    </row>
    <row r="11" spans="1:13" ht="19.5" customHeight="1" x14ac:dyDescent="0.2">
      <c r="A11" s="474" t="s">
        <v>540</v>
      </c>
      <c r="B11" s="69">
        <v>382798</v>
      </c>
      <c r="C11" s="69">
        <v>382798</v>
      </c>
      <c r="D11" s="165">
        <v>76560</v>
      </c>
      <c r="E11" s="165"/>
      <c r="F11" s="165"/>
      <c r="G11" s="165"/>
      <c r="H11" s="165"/>
      <c r="I11" s="165"/>
      <c r="J11" s="40"/>
      <c r="K11" s="488"/>
    </row>
    <row r="12" spans="1:13" ht="21.6" customHeight="1" x14ac:dyDescent="0.2">
      <c r="A12" s="474" t="s">
        <v>541</v>
      </c>
      <c r="B12" s="69">
        <v>2000000</v>
      </c>
      <c r="C12" s="69">
        <v>2000000</v>
      </c>
      <c r="D12" s="165">
        <v>399620</v>
      </c>
      <c r="E12" s="165"/>
      <c r="F12" s="165"/>
      <c r="G12" s="165"/>
      <c r="H12" s="165"/>
      <c r="I12" s="165"/>
      <c r="J12" s="40"/>
      <c r="K12" s="487"/>
    </row>
    <row r="13" spans="1:13" ht="27.75" customHeight="1" x14ac:dyDescent="0.2">
      <c r="A13" s="474" t="s">
        <v>542</v>
      </c>
      <c r="B13" s="583">
        <v>1135854</v>
      </c>
      <c r="C13" s="583">
        <v>927726</v>
      </c>
      <c r="D13" s="164">
        <v>17513</v>
      </c>
      <c r="E13" s="164"/>
      <c r="F13" s="164"/>
      <c r="G13" s="164"/>
      <c r="H13" s="164"/>
      <c r="I13" s="164"/>
      <c r="J13" s="163"/>
      <c r="K13" s="585"/>
    </row>
    <row r="14" spans="1:13" ht="21.6" customHeight="1" x14ac:dyDescent="0.2">
      <c r="A14" s="474" t="s">
        <v>521</v>
      </c>
      <c r="B14" s="583">
        <v>283423</v>
      </c>
      <c r="C14" s="583">
        <v>533041</v>
      </c>
      <c r="D14" s="164">
        <v>306304</v>
      </c>
      <c r="E14" s="164"/>
      <c r="F14" s="164"/>
      <c r="G14" s="164"/>
      <c r="H14" s="164"/>
      <c r="I14" s="164"/>
      <c r="J14" s="163"/>
      <c r="K14" s="585"/>
    </row>
    <row r="15" spans="1:13" ht="20.100000000000001" customHeight="1" x14ac:dyDescent="0.2">
      <c r="A15" s="441" t="s">
        <v>361</v>
      </c>
      <c r="B15" s="69">
        <v>9162631</v>
      </c>
      <c r="C15" s="69">
        <v>9197056</v>
      </c>
      <c r="D15" s="165">
        <v>1855515</v>
      </c>
      <c r="E15" s="165">
        <v>148325</v>
      </c>
      <c r="F15" s="165">
        <f>+E15+M15</f>
        <v>570292.34000000008</v>
      </c>
      <c r="G15" s="165"/>
      <c r="H15" s="165">
        <v>0</v>
      </c>
      <c r="I15" s="165">
        <f>+D15-F15</f>
        <v>1285222.6599999999</v>
      </c>
      <c r="J15" s="40">
        <f>+C15-F15</f>
        <v>8626763.6600000001</v>
      </c>
      <c r="K15" s="487">
        <f>+F15*100/D15</f>
        <v>30.734989477314926</v>
      </c>
      <c r="M15">
        <v>421967.34</v>
      </c>
    </row>
    <row r="16" spans="1:13" ht="20.100000000000001" customHeight="1" x14ac:dyDescent="0.2">
      <c r="A16" s="442" t="s">
        <v>338</v>
      </c>
      <c r="B16" s="497">
        <f>SUM(B17:B30)</f>
        <v>15761574</v>
      </c>
      <c r="C16" s="498">
        <f>SUM(C17:C30)</f>
        <v>16030720</v>
      </c>
      <c r="D16" s="498">
        <f>SUM(D17:D30)</f>
        <v>4038409</v>
      </c>
      <c r="E16" s="498">
        <f>SUM(E17:E30)</f>
        <v>661670.91</v>
      </c>
      <c r="F16" s="494">
        <f>+E16+M16</f>
        <v>680523.28</v>
      </c>
      <c r="G16" s="494">
        <f>SUM(G17:G30)</f>
        <v>71319.990000000005</v>
      </c>
      <c r="H16" s="498">
        <f>SUM(H17:H26)</f>
        <v>2731.15</v>
      </c>
      <c r="I16" s="498">
        <f>D16-F16</f>
        <v>3357885.7199999997</v>
      </c>
      <c r="J16" s="495">
        <f>+C16-F16</f>
        <v>15350196.720000001</v>
      </c>
      <c r="K16" s="496">
        <f>+F16*100/D16</f>
        <v>16.851271874641721</v>
      </c>
      <c r="M16">
        <v>18852.37</v>
      </c>
    </row>
    <row r="17" spans="1:13" ht="21.6" customHeight="1" x14ac:dyDescent="0.2">
      <c r="A17" s="483" t="s">
        <v>431</v>
      </c>
      <c r="B17" s="484">
        <v>2896997</v>
      </c>
      <c r="C17" s="486">
        <v>3171558</v>
      </c>
      <c r="D17" s="165">
        <v>1207077</v>
      </c>
      <c r="E17" s="165">
        <v>560193.67000000004</v>
      </c>
      <c r="F17" s="165">
        <f>+E17+M17</f>
        <v>577088.97000000009</v>
      </c>
      <c r="G17" s="165">
        <v>23507.58</v>
      </c>
      <c r="H17" s="165"/>
      <c r="I17" s="165">
        <f>+D17-F17</f>
        <v>629988.02999999991</v>
      </c>
      <c r="J17" s="40"/>
      <c r="K17" s="487">
        <f>+F17*100/D17</f>
        <v>47.808795130716604</v>
      </c>
      <c r="M17">
        <v>16895.3</v>
      </c>
    </row>
    <row r="18" spans="1:13" ht="21.6" customHeight="1" x14ac:dyDescent="0.2">
      <c r="A18" s="443" t="s">
        <v>523</v>
      </c>
      <c r="B18" s="484">
        <v>1200000</v>
      </c>
      <c r="C18" s="486">
        <v>1200000</v>
      </c>
      <c r="D18" s="165">
        <v>240000</v>
      </c>
      <c r="E18" s="165"/>
      <c r="F18" s="165"/>
      <c r="G18" s="165"/>
      <c r="H18" s="165"/>
      <c r="I18" s="165"/>
      <c r="J18" s="40"/>
      <c r="K18" s="488"/>
    </row>
    <row r="19" spans="1:13" ht="20.100000000000001" customHeight="1" x14ac:dyDescent="0.2">
      <c r="A19" s="443" t="s">
        <v>522</v>
      </c>
      <c r="B19" s="484">
        <v>4628400</v>
      </c>
      <c r="C19" s="486">
        <v>4251490</v>
      </c>
      <c r="D19" s="165">
        <v>548770</v>
      </c>
      <c r="E19" s="165">
        <v>36904.300000000003</v>
      </c>
      <c r="F19" s="165">
        <f>+L19+E19</f>
        <v>36904.300000000003</v>
      </c>
      <c r="G19" s="165">
        <v>36904.300000000003</v>
      </c>
      <c r="H19" s="165"/>
      <c r="I19" s="165">
        <f>+D19-F19</f>
        <v>511865.7</v>
      </c>
      <c r="J19" s="40">
        <f>+C19-F19</f>
        <v>4214585.7</v>
      </c>
      <c r="K19" s="487">
        <f>+F19*100/D19</f>
        <v>6.7249120760974552</v>
      </c>
      <c r="M19">
        <v>0</v>
      </c>
    </row>
    <row r="20" spans="1:13" ht="20.100000000000001" customHeight="1" x14ac:dyDescent="0.2">
      <c r="A20" s="443" t="s">
        <v>524</v>
      </c>
      <c r="B20" s="484">
        <v>2000000</v>
      </c>
      <c r="C20" s="486">
        <v>2187186</v>
      </c>
      <c r="D20" s="165">
        <v>587191</v>
      </c>
      <c r="E20" s="165">
        <v>54690.2</v>
      </c>
      <c r="F20" s="165">
        <f>+E20+M20</f>
        <v>55213</v>
      </c>
      <c r="G20" s="165">
        <v>5005.41</v>
      </c>
      <c r="H20" s="165"/>
      <c r="I20" s="165"/>
      <c r="J20" s="40"/>
      <c r="K20" s="488"/>
      <c r="M20">
        <v>522.79999999999995</v>
      </c>
    </row>
    <row r="21" spans="1:13" ht="20.100000000000001" customHeight="1" x14ac:dyDescent="0.2">
      <c r="A21" s="443" t="s">
        <v>525</v>
      </c>
      <c r="B21" s="484">
        <v>1000000</v>
      </c>
      <c r="C21" s="486">
        <v>1150681</v>
      </c>
      <c r="D21" s="165">
        <v>615446</v>
      </c>
      <c r="E21" s="165"/>
      <c r="F21" s="165"/>
      <c r="G21" s="165"/>
      <c r="H21" s="165"/>
      <c r="I21" s="165"/>
      <c r="J21" s="40"/>
      <c r="K21" s="488"/>
    </row>
    <row r="22" spans="1:13" ht="20.100000000000001" customHeight="1" x14ac:dyDescent="0.2">
      <c r="A22" s="483" t="s">
        <v>406</v>
      </c>
      <c r="B22" s="484">
        <v>1270000</v>
      </c>
      <c r="C22" s="486">
        <v>1270000</v>
      </c>
      <c r="D22" s="165">
        <v>254000</v>
      </c>
      <c r="E22" s="165"/>
      <c r="F22" s="165"/>
      <c r="G22" s="165"/>
      <c r="H22" s="165"/>
      <c r="I22" s="165"/>
      <c r="J22" s="40"/>
      <c r="K22" s="488"/>
    </row>
    <row r="23" spans="1:13" ht="20.100000000000001" customHeight="1" x14ac:dyDescent="0.2">
      <c r="A23" s="443" t="s">
        <v>527</v>
      </c>
      <c r="B23" s="484">
        <v>106000</v>
      </c>
      <c r="C23" s="486">
        <v>106000</v>
      </c>
      <c r="D23" s="165">
        <v>21200</v>
      </c>
      <c r="E23" s="165"/>
      <c r="F23" s="165"/>
      <c r="G23" s="165"/>
      <c r="H23" s="165"/>
      <c r="I23" s="165"/>
      <c r="J23" s="40"/>
      <c r="K23" s="488"/>
    </row>
    <row r="24" spans="1:13" ht="20.100000000000001" customHeight="1" x14ac:dyDescent="0.2">
      <c r="A24" s="443" t="s">
        <v>526</v>
      </c>
      <c r="B24" s="484">
        <v>149583</v>
      </c>
      <c r="C24" s="486">
        <v>149583</v>
      </c>
      <c r="D24" s="165">
        <v>29919</v>
      </c>
      <c r="E24" s="165"/>
      <c r="F24" s="165"/>
      <c r="G24" s="165"/>
      <c r="H24" s="165"/>
      <c r="I24" s="165"/>
      <c r="J24" s="40"/>
      <c r="K24" s="488"/>
    </row>
    <row r="25" spans="1:13" ht="22.5" customHeight="1" x14ac:dyDescent="0.2">
      <c r="A25" s="443" t="s">
        <v>528</v>
      </c>
      <c r="B25" s="484">
        <v>750000</v>
      </c>
      <c r="C25" s="486">
        <f>SUM(B25:B25)</f>
        <v>750000</v>
      </c>
      <c r="D25" s="165">
        <v>150000</v>
      </c>
      <c r="E25" s="165"/>
      <c r="F25" s="165">
        <f>+L25+E25</f>
        <v>0</v>
      </c>
      <c r="G25" s="165"/>
      <c r="H25" s="165"/>
      <c r="I25" s="165">
        <f>+D25-F25</f>
        <v>150000</v>
      </c>
      <c r="J25" s="40">
        <f>+C25-F25</f>
        <v>750000</v>
      </c>
      <c r="K25" s="487">
        <f>+F25*100/D25</f>
        <v>0</v>
      </c>
      <c r="L25" s="159"/>
      <c r="M25">
        <v>0</v>
      </c>
    </row>
    <row r="26" spans="1:13" ht="23.25" customHeight="1" x14ac:dyDescent="0.2">
      <c r="A26" s="443" t="s">
        <v>529</v>
      </c>
      <c r="B26" s="484">
        <v>519956</v>
      </c>
      <c r="C26" s="486">
        <v>509056</v>
      </c>
      <c r="D26" s="165">
        <v>92145</v>
      </c>
      <c r="E26" s="165">
        <v>3082.32</v>
      </c>
      <c r="F26" s="165">
        <f>+E26+M26</f>
        <v>4516.59</v>
      </c>
      <c r="G26" s="165">
        <v>2542.9</v>
      </c>
      <c r="H26" s="165">
        <v>2731.15</v>
      </c>
      <c r="I26" s="165">
        <f>+D26-F26</f>
        <v>87628.41</v>
      </c>
      <c r="J26" s="40">
        <f>+C26-F26</f>
        <v>504539.41</v>
      </c>
      <c r="K26" s="487">
        <f>+F26*100/D26</f>
        <v>4.9016115904281294</v>
      </c>
      <c r="M26">
        <v>1434.27</v>
      </c>
    </row>
    <row r="27" spans="1:13" ht="23.25" customHeight="1" x14ac:dyDescent="0.2">
      <c r="A27" s="443" t="s">
        <v>530</v>
      </c>
      <c r="B27" s="485">
        <v>271625</v>
      </c>
      <c r="C27" s="486">
        <v>278322</v>
      </c>
      <c r="D27" s="165">
        <v>61023</v>
      </c>
      <c r="E27" s="165"/>
      <c r="F27" s="165"/>
      <c r="G27" s="165"/>
      <c r="H27" s="165"/>
      <c r="I27" s="165"/>
      <c r="J27" s="40"/>
      <c r="K27" s="488"/>
    </row>
    <row r="28" spans="1:13" ht="23.25" customHeight="1" x14ac:dyDescent="0.2">
      <c r="A28" s="443" t="s">
        <v>533</v>
      </c>
      <c r="B28" s="485">
        <v>394105</v>
      </c>
      <c r="C28" s="486">
        <v>387079</v>
      </c>
      <c r="D28" s="165">
        <v>71796</v>
      </c>
      <c r="E28" s="165"/>
      <c r="F28" s="165"/>
      <c r="G28" s="165"/>
      <c r="H28" s="165"/>
      <c r="I28" s="165"/>
      <c r="J28" s="40"/>
      <c r="K28" s="488"/>
    </row>
    <row r="29" spans="1:13" ht="23.25" customHeight="1" x14ac:dyDescent="0.2">
      <c r="A29" s="443" t="s">
        <v>531</v>
      </c>
      <c r="B29" s="485">
        <v>437560</v>
      </c>
      <c r="C29" s="486">
        <v>433601</v>
      </c>
      <c r="D29" s="165">
        <v>83556</v>
      </c>
      <c r="E29" s="165">
        <v>6676.8</v>
      </c>
      <c r="F29" s="165">
        <f>+E29+M29</f>
        <v>6676.8</v>
      </c>
      <c r="G29" s="165">
        <v>3359.8</v>
      </c>
      <c r="H29" s="165"/>
      <c r="I29" s="165"/>
      <c r="J29" s="40"/>
      <c r="K29" s="488"/>
    </row>
    <row r="30" spans="1:13" ht="23.25" customHeight="1" x14ac:dyDescent="0.2">
      <c r="A30" s="443" t="s">
        <v>532</v>
      </c>
      <c r="B30" s="485">
        <v>137348</v>
      </c>
      <c r="C30" s="486">
        <v>186164</v>
      </c>
      <c r="D30" s="165">
        <v>76286</v>
      </c>
      <c r="E30" s="165">
        <v>123.62</v>
      </c>
      <c r="F30" s="165">
        <f>+E30+M30</f>
        <v>123.62</v>
      </c>
      <c r="G30" s="165"/>
      <c r="H30" s="165"/>
      <c r="I30" s="165"/>
      <c r="J30" s="40"/>
      <c r="K30" s="488"/>
    </row>
    <row r="31" spans="1:13" ht="20.100000000000001" customHeight="1" x14ac:dyDescent="0.2">
      <c r="A31" s="442" t="s">
        <v>375</v>
      </c>
      <c r="B31" s="493">
        <f>SUM(B32:B39)</f>
        <v>13343940</v>
      </c>
      <c r="C31" s="493">
        <f t="shared" ref="C31:H31" si="1">SUM(C32:C39)</f>
        <v>13358924</v>
      </c>
      <c r="D31" s="493">
        <f t="shared" si="1"/>
        <v>3103683</v>
      </c>
      <c r="E31" s="493">
        <f t="shared" si="1"/>
        <v>488756.01999999996</v>
      </c>
      <c r="F31" s="493">
        <f t="shared" si="1"/>
        <v>986734.02</v>
      </c>
      <c r="G31" s="493">
        <f t="shared" si="1"/>
        <v>57565.98</v>
      </c>
      <c r="H31" s="493">
        <f t="shared" si="1"/>
        <v>1014.3</v>
      </c>
      <c r="I31" s="494">
        <f>D31-F31</f>
        <v>2116948.98</v>
      </c>
      <c r="J31" s="495">
        <f>C31-F31</f>
        <v>12372189.98</v>
      </c>
      <c r="K31" s="496">
        <f>+F31*100/D31</f>
        <v>31.792358304633559</v>
      </c>
      <c r="M31">
        <v>497978</v>
      </c>
    </row>
    <row r="32" spans="1:13" ht="20.100000000000001" customHeight="1" x14ac:dyDescent="0.2">
      <c r="A32" s="489" t="s">
        <v>534</v>
      </c>
      <c r="B32" s="588">
        <v>350999</v>
      </c>
      <c r="C32" s="40">
        <v>342902</v>
      </c>
      <c r="D32" s="165">
        <v>62103</v>
      </c>
      <c r="E32" s="165"/>
      <c r="F32" s="165"/>
      <c r="G32" s="165"/>
      <c r="H32" s="165"/>
      <c r="I32" s="165"/>
      <c r="J32" s="40"/>
      <c r="K32" s="488"/>
    </row>
    <row r="33" spans="1:13" ht="20.100000000000001" customHeight="1" x14ac:dyDescent="0.2">
      <c r="A33" s="444" t="s">
        <v>371</v>
      </c>
      <c r="B33" s="484">
        <v>779586</v>
      </c>
      <c r="C33" s="484">
        <v>663668</v>
      </c>
      <c r="D33" s="486">
        <v>40000</v>
      </c>
      <c r="E33" s="486">
        <v>3136.29</v>
      </c>
      <c r="F33" s="165">
        <f>+L33+E33</f>
        <v>3136.29</v>
      </c>
      <c r="G33" s="165">
        <v>3136.29</v>
      </c>
      <c r="H33" s="165"/>
      <c r="I33" s="165">
        <f>D33-F33</f>
        <v>36863.71</v>
      </c>
      <c r="J33" s="40">
        <f>+C33-F33</f>
        <v>660531.71</v>
      </c>
      <c r="K33" s="487"/>
      <c r="M33">
        <v>0</v>
      </c>
    </row>
    <row r="34" spans="1:13" ht="28.15" customHeight="1" x14ac:dyDescent="0.2">
      <c r="A34" s="445" t="s">
        <v>386</v>
      </c>
      <c r="B34" s="490">
        <v>1000000</v>
      </c>
      <c r="C34" s="490">
        <v>1001000</v>
      </c>
      <c r="D34" s="486">
        <v>201000</v>
      </c>
      <c r="E34" s="486">
        <v>0</v>
      </c>
      <c r="F34" s="165">
        <f>+L34+E34</f>
        <v>0</v>
      </c>
      <c r="G34" s="165"/>
      <c r="H34" s="165"/>
      <c r="I34" s="165">
        <f>D34-F34</f>
        <v>201000</v>
      </c>
      <c r="J34" s="40">
        <f>+C34-F34</f>
        <v>1001000</v>
      </c>
      <c r="K34" s="487">
        <v>0</v>
      </c>
      <c r="M34">
        <v>0</v>
      </c>
    </row>
    <row r="35" spans="1:13" ht="28.15" customHeight="1" x14ac:dyDescent="0.2">
      <c r="A35" s="445" t="s">
        <v>535</v>
      </c>
      <c r="B35" s="490">
        <v>1845166</v>
      </c>
      <c r="C35" s="490">
        <v>1634454</v>
      </c>
      <c r="D35" s="486">
        <v>158322</v>
      </c>
      <c r="E35" s="486">
        <v>51877</v>
      </c>
      <c r="F35" s="165">
        <f>+E35+M35</f>
        <v>51877</v>
      </c>
      <c r="G35" s="165">
        <v>51877</v>
      </c>
      <c r="H35" s="165"/>
      <c r="I35" s="165"/>
      <c r="J35" s="40"/>
      <c r="K35" s="488"/>
    </row>
    <row r="36" spans="1:13" ht="28.15" customHeight="1" x14ac:dyDescent="0.2">
      <c r="A36" s="445" t="s">
        <v>536</v>
      </c>
      <c r="B36" s="490">
        <v>4700585</v>
      </c>
      <c r="C36" s="490">
        <v>5049296</v>
      </c>
      <c r="D36" s="486">
        <v>1710828</v>
      </c>
      <c r="E36" s="486">
        <v>433742.73</v>
      </c>
      <c r="F36" s="165">
        <f>+E36+M36</f>
        <v>931720.73</v>
      </c>
      <c r="G36" s="165">
        <v>2552.69</v>
      </c>
      <c r="H36" s="165">
        <v>1014.3</v>
      </c>
      <c r="I36" s="165"/>
      <c r="J36" s="40"/>
      <c r="K36" s="488"/>
      <c r="M36">
        <v>497978</v>
      </c>
    </row>
    <row r="37" spans="1:13" ht="28.15" customHeight="1" x14ac:dyDescent="0.2">
      <c r="A37" s="445" t="s">
        <v>537</v>
      </c>
      <c r="B37" s="490">
        <v>500000</v>
      </c>
      <c r="C37" s="490">
        <v>500000</v>
      </c>
      <c r="D37" s="486">
        <v>100000</v>
      </c>
      <c r="E37" s="486"/>
      <c r="F37" s="165"/>
      <c r="G37" s="165"/>
      <c r="H37" s="165"/>
      <c r="I37" s="165"/>
      <c r="J37" s="40"/>
      <c r="K37" s="488"/>
    </row>
    <row r="38" spans="1:13" ht="28.15" customHeight="1" x14ac:dyDescent="0.2">
      <c r="A38" s="445" t="s">
        <v>538</v>
      </c>
      <c r="B38" s="490">
        <v>2067604</v>
      </c>
      <c r="C38" s="490">
        <v>2067604</v>
      </c>
      <c r="D38" s="486">
        <v>411430</v>
      </c>
      <c r="E38" s="486"/>
      <c r="F38" s="165"/>
      <c r="G38" s="165"/>
      <c r="H38" s="165"/>
      <c r="I38" s="165"/>
      <c r="J38" s="40"/>
      <c r="K38" s="488"/>
    </row>
    <row r="39" spans="1:13" ht="28.15" customHeight="1" x14ac:dyDescent="0.2">
      <c r="A39" s="445" t="s">
        <v>539</v>
      </c>
      <c r="B39" s="490">
        <v>2100000</v>
      </c>
      <c r="C39" s="490">
        <v>2100000</v>
      </c>
      <c r="D39" s="486">
        <v>420000</v>
      </c>
      <c r="E39" s="485"/>
      <c r="F39" s="492"/>
      <c r="G39" s="491"/>
      <c r="H39" s="165"/>
      <c r="I39" s="165"/>
      <c r="J39" s="40"/>
      <c r="K39" s="488"/>
    </row>
    <row r="40" spans="1:13" ht="20.100000000000001" customHeight="1" x14ac:dyDescent="0.2">
      <c r="A40" s="446" t="s">
        <v>31</v>
      </c>
      <c r="B40" s="499">
        <f>B8+B16+B31</f>
        <v>56905194</v>
      </c>
      <c r="C40" s="494">
        <f>SUM(B40:B40)</f>
        <v>56905194</v>
      </c>
      <c r="D40" s="494">
        <f>D8+D16+D31</f>
        <v>13341289</v>
      </c>
      <c r="E40" s="499">
        <f>E8+E16+E31</f>
        <v>1368215.17</v>
      </c>
      <c r="F40" s="500">
        <f>+E40+M40</f>
        <v>3838580.31</v>
      </c>
      <c r="G40" s="499">
        <f>G8+G16+G31</f>
        <v>166888.97</v>
      </c>
      <c r="H40" s="499">
        <f>H8+H16+H31</f>
        <v>3745.45</v>
      </c>
      <c r="I40" s="494">
        <f>D40-F40</f>
        <v>9502708.6899999995</v>
      </c>
      <c r="J40" s="495">
        <f>C40-F40</f>
        <v>53066613.689999998</v>
      </c>
      <c r="K40" s="496">
        <f>+F40*100/D40</f>
        <v>28.772184681705042</v>
      </c>
      <c r="M40">
        <v>2470365.14</v>
      </c>
    </row>
    <row r="41" spans="1:13" ht="9" customHeight="1" x14ac:dyDescent="0.2">
      <c r="A41" s="33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t="s">
        <v>6</v>
      </c>
    </row>
    <row r="42" spans="1:13" x14ac:dyDescent="0.2">
      <c r="A42" s="582" t="s">
        <v>566</v>
      </c>
    </row>
  </sheetData>
  <mergeCells count="11">
    <mergeCell ref="A1:K1"/>
    <mergeCell ref="A2:K2"/>
    <mergeCell ref="A3:K3"/>
    <mergeCell ref="A4:K4"/>
    <mergeCell ref="B6:D6"/>
    <mergeCell ref="G6:G7"/>
    <mergeCell ref="H6:H7"/>
    <mergeCell ref="F6:F7"/>
    <mergeCell ref="I6:I7"/>
    <mergeCell ref="K6:K7"/>
    <mergeCell ref="A6:A7"/>
  </mergeCells>
  <pageMargins left="0.11811023622047245" right="0.11811023622047245" top="0.74803149606299213" bottom="0.74803149606299213" header="0.31496062992125984" footer="0.31496062992125984"/>
  <pageSetup scale="75" fitToWidth="0" fitToHeight="0" orientation="landscape" r:id="rId1"/>
  <ignoredErrors>
    <ignoredError sqref="I16 F40 C40 F1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0">
    <tabColor theme="6" tint="0.39997558519241921"/>
  </sheetPr>
  <dimension ref="A1:P408"/>
  <sheetViews>
    <sheetView showGridLines="0" showZeros="0" workbookViewId="0">
      <selection activeCell="R40" sqref="R40"/>
    </sheetView>
  </sheetViews>
  <sheetFormatPr baseColWidth="10" defaultColWidth="11.42578125" defaultRowHeight="13.5" x14ac:dyDescent="0.25"/>
  <cols>
    <col min="1" max="1" width="6.140625" customWidth="1"/>
    <col min="2" max="2" width="40.28515625" customWidth="1"/>
    <col min="3" max="3" width="10" customWidth="1"/>
    <col min="4" max="4" width="13.140625" customWidth="1"/>
    <col min="5" max="5" width="11.42578125" customWidth="1"/>
    <col min="6" max="6" width="13.5703125" customWidth="1"/>
    <col min="7" max="7" width="13.28515625" customWidth="1"/>
    <col min="8" max="8" width="13" customWidth="1"/>
    <col min="9" max="9" width="13.140625" customWidth="1"/>
    <col min="10" max="10" width="13.5703125" customWidth="1"/>
    <col min="11" max="11" width="11.28515625" hidden="1" customWidth="1"/>
    <col min="12" max="12" width="10.7109375" style="20" hidden="1" customWidth="1"/>
    <col min="13" max="13" width="0.140625" hidden="1" customWidth="1"/>
    <col min="14" max="14" width="13.28515625" customWidth="1"/>
    <col min="15" max="15" width="14.28515625" customWidth="1"/>
    <col min="16" max="16" width="13.7109375" hidden="1" customWidth="1"/>
  </cols>
  <sheetData>
    <row r="1" spans="1:16" ht="16.899999999999999" customHeight="1" x14ac:dyDescent="0.2">
      <c r="A1" s="740" t="s">
        <v>410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</row>
    <row r="2" spans="1:16" ht="18" customHeight="1" x14ac:dyDescent="0.25">
      <c r="A2" s="741" t="s">
        <v>411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</row>
    <row r="3" spans="1:16" ht="15.6" customHeight="1" x14ac:dyDescent="0.25">
      <c r="A3" s="602" t="s">
        <v>465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37"/>
    </row>
    <row r="4" spans="1:16" ht="19.899999999999999" customHeight="1" x14ac:dyDescent="0.2">
      <c r="A4" s="716" t="s">
        <v>563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471"/>
    </row>
    <row r="5" spans="1:16" ht="3" hidden="1" customHeigh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70"/>
      <c r="N5" s="70"/>
    </row>
    <row r="6" spans="1:16" ht="10.9" customHeight="1" x14ac:dyDescent="0.3">
      <c r="A6" s="397"/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84"/>
      <c r="N6" s="84"/>
    </row>
    <row r="7" spans="1:16" ht="16.5" customHeight="1" x14ac:dyDescent="0.2">
      <c r="A7" s="747" t="s">
        <v>397</v>
      </c>
      <c r="B7" s="745" t="s">
        <v>0</v>
      </c>
      <c r="C7" s="749" t="s">
        <v>34</v>
      </c>
      <c r="D7" s="750"/>
      <c r="E7" s="751"/>
      <c r="F7" s="574" t="s">
        <v>96</v>
      </c>
      <c r="G7" s="736" t="s">
        <v>554</v>
      </c>
      <c r="H7" s="743" t="s">
        <v>544</v>
      </c>
      <c r="I7" s="743" t="s">
        <v>85</v>
      </c>
      <c r="J7" s="734" t="s">
        <v>547</v>
      </c>
      <c r="K7" s="735"/>
      <c r="L7" s="735"/>
      <c r="M7" s="736"/>
      <c r="N7" s="743" t="s">
        <v>402</v>
      </c>
    </row>
    <row r="8" spans="1:16" ht="27" customHeight="1" x14ac:dyDescent="0.2">
      <c r="A8" s="748"/>
      <c r="B8" s="746"/>
      <c r="C8" s="575" t="s">
        <v>98</v>
      </c>
      <c r="D8" s="576" t="s">
        <v>12</v>
      </c>
      <c r="E8" s="576" t="s">
        <v>2</v>
      </c>
      <c r="F8" s="576" t="s">
        <v>39</v>
      </c>
      <c r="G8" s="752"/>
      <c r="H8" s="744"/>
      <c r="I8" s="744"/>
      <c r="J8" s="737"/>
      <c r="K8" s="738"/>
      <c r="L8" s="738"/>
      <c r="M8" s="739"/>
      <c r="N8" s="744"/>
    </row>
    <row r="9" spans="1:16" ht="23.25" customHeight="1" x14ac:dyDescent="0.2">
      <c r="A9" s="403" t="s">
        <v>100</v>
      </c>
      <c r="B9" s="404" t="s">
        <v>101</v>
      </c>
      <c r="C9" s="405">
        <f>+C10+C12+C13</f>
        <v>1143000</v>
      </c>
      <c r="D9" s="405">
        <f>+D10+D12+D13</f>
        <v>1143000</v>
      </c>
      <c r="E9" s="405">
        <f>+E10+E12+E13</f>
        <v>208381</v>
      </c>
      <c r="F9" s="405">
        <f>+F10+F12+F13</f>
        <v>1483.74</v>
      </c>
      <c r="G9" s="405">
        <f>+G10+G12+G13</f>
        <v>2917.61</v>
      </c>
      <c r="H9" s="506">
        <f>+H10</f>
        <v>2542.9</v>
      </c>
      <c r="I9" s="405">
        <f>+I10+I12+I13</f>
        <v>2731.15</v>
      </c>
      <c r="J9" s="405">
        <f>E9-G9</f>
        <v>205463.39</v>
      </c>
      <c r="K9" s="405" t="e">
        <f>+K10+K12</f>
        <v>#REF!</v>
      </c>
      <c r="L9" s="405" t="e">
        <f>+#REF!*100/#REF!</f>
        <v>#REF!</v>
      </c>
      <c r="M9" s="406">
        <f>D9-G9</f>
        <v>1140082.3899999999</v>
      </c>
      <c r="N9" s="407">
        <f>G9/E9*100</f>
        <v>1.4001324496955099</v>
      </c>
      <c r="P9">
        <v>1433.87</v>
      </c>
    </row>
    <row r="10" spans="1:16" ht="18" customHeight="1" x14ac:dyDescent="0.2">
      <c r="A10" s="430" t="s">
        <v>102</v>
      </c>
      <c r="B10" s="465" t="s">
        <v>103</v>
      </c>
      <c r="C10" s="420">
        <f>SUM(C11:C11)</f>
        <v>921925</v>
      </c>
      <c r="D10" s="420">
        <f>SUM(D11:D11)</f>
        <v>921925</v>
      </c>
      <c r="E10" s="420">
        <f>SUM(E11:E11)</f>
        <v>153654</v>
      </c>
      <c r="F10" s="420">
        <f t="shared" ref="F10:I10" si="0">SUM(F11:F11)</f>
        <v>1293</v>
      </c>
      <c r="G10" s="420">
        <f t="shared" si="0"/>
        <v>2542.5</v>
      </c>
      <c r="H10" s="420">
        <f>+H11</f>
        <v>2542.9</v>
      </c>
      <c r="I10" s="420">
        <f t="shared" si="0"/>
        <v>2542.9</v>
      </c>
      <c r="J10" s="420">
        <f t="shared" ref="J10:J60" si="1">E10-G10</f>
        <v>151111.5</v>
      </c>
      <c r="K10" s="178" t="e">
        <f>+K11+K13</f>
        <v>#REF!</v>
      </c>
      <c r="L10" s="178" t="e">
        <f>+#REF!*100/#REF!</f>
        <v>#REF!</v>
      </c>
      <c r="M10" s="180">
        <f t="shared" ref="M10:M60" si="2">D10-G10</f>
        <v>919382.5</v>
      </c>
      <c r="N10" s="177">
        <f>+G10/E10*100</f>
        <v>1.6546917099457221</v>
      </c>
      <c r="P10">
        <v>1249.5</v>
      </c>
    </row>
    <row r="11" spans="1:16" ht="18" customHeight="1" x14ac:dyDescent="0.2">
      <c r="A11" s="409" t="s">
        <v>365</v>
      </c>
      <c r="B11" s="179" t="s">
        <v>366</v>
      </c>
      <c r="C11" s="178">
        <v>921925</v>
      </c>
      <c r="D11" s="178">
        <v>921925</v>
      </c>
      <c r="E11" s="178">
        <v>153654</v>
      </c>
      <c r="F11" s="178">
        <v>1293</v>
      </c>
      <c r="G11" s="178">
        <f>+F11+P11</f>
        <v>2542.5</v>
      </c>
      <c r="H11" s="178">
        <v>2542.9</v>
      </c>
      <c r="I11" s="178">
        <v>2542.9</v>
      </c>
      <c r="J11" s="178">
        <f t="shared" si="1"/>
        <v>151111.5</v>
      </c>
      <c r="K11" s="178" t="e">
        <f>+K12+K19</f>
        <v>#REF!</v>
      </c>
      <c r="L11" s="178" t="e">
        <f>+#REF!*100/#REF!</f>
        <v>#REF!</v>
      </c>
      <c r="M11" s="180">
        <f t="shared" si="2"/>
        <v>919382.5</v>
      </c>
      <c r="N11" s="177">
        <f>G11/E11*100</f>
        <v>1.6546917099457221</v>
      </c>
      <c r="P11">
        <v>1249.5</v>
      </c>
    </row>
    <row r="12" spans="1:16" ht="18" customHeight="1" x14ac:dyDescent="0.2">
      <c r="A12" s="409" t="s">
        <v>118</v>
      </c>
      <c r="B12" s="179" t="s">
        <v>380</v>
      </c>
      <c r="C12" s="178">
        <v>76831</v>
      </c>
      <c r="D12" s="178">
        <v>76831</v>
      </c>
      <c r="E12" s="178">
        <v>25625</v>
      </c>
      <c r="F12" s="178"/>
      <c r="G12" s="178"/>
      <c r="H12" s="178"/>
      <c r="I12" s="178"/>
      <c r="J12" s="178">
        <f t="shared" si="1"/>
        <v>25625</v>
      </c>
      <c r="K12" s="178" t="e">
        <f>+K13+K21</f>
        <v>#REF!</v>
      </c>
      <c r="L12" s="178" t="e">
        <f>+#REF!*100/#REF!</f>
        <v>#REF!</v>
      </c>
      <c r="M12" s="180">
        <f t="shared" si="2"/>
        <v>76831</v>
      </c>
      <c r="N12" s="177" t="s">
        <v>6</v>
      </c>
    </row>
    <row r="13" spans="1:16" ht="18" customHeight="1" x14ac:dyDescent="0.2">
      <c r="A13" s="580" t="s">
        <v>120</v>
      </c>
      <c r="B13" s="420" t="s">
        <v>381</v>
      </c>
      <c r="C13" s="420">
        <v>144244</v>
      </c>
      <c r="D13" s="420">
        <v>144244</v>
      </c>
      <c r="E13" s="420">
        <v>29102</v>
      </c>
      <c r="F13" s="420">
        <v>190.74</v>
      </c>
      <c r="G13" s="420">
        <f>+F13+P13</f>
        <v>375.11</v>
      </c>
      <c r="H13" s="420"/>
      <c r="I13" s="420">
        <v>188.25</v>
      </c>
      <c r="J13" s="420">
        <f t="shared" si="1"/>
        <v>28726.89</v>
      </c>
      <c r="K13" s="420" t="e">
        <f>+K19+#REF!</f>
        <v>#REF!</v>
      </c>
      <c r="L13" s="420" t="e">
        <f>+#REF!*100/#REF!</f>
        <v>#REF!</v>
      </c>
      <c r="M13" s="581">
        <f t="shared" si="2"/>
        <v>143868.89000000001</v>
      </c>
      <c r="N13" s="176">
        <f>G13/E13*100</f>
        <v>1.2889492131125009</v>
      </c>
      <c r="P13">
        <v>184.37</v>
      </c>
    </row>
    <row r="14" spans="1:16" ht="0.75" customHeight="1" x14ac:dyDescent="0.2">
      <c r="A14" s="409" t="s">
        <v>122</v>
      </c>
      <c r="B14" s="178" t="s">
        <v>559</v>
      </c>
      <c r="C14" s="178">
        <v>121195</v>
      </c>
      <c r="D14" s="178">
        <v>121195</v>
      </c>
      <c r="E14" s="178">
        <v>25244</v>
      </c>
      <c r="F14" s="178">
        <v>158.4</v>
      </c>
      <c r="G14" s="178">
        <f>+F14+P14</f>
        <v>311.52</v>
      </c>
      <c r="H14" s="178"/>
      <c r="I14" s="178">
        <v>153.12</v>
      </c>
      <c r="J14" s="178">
        <f>+E14-G14</f>
        <v>24932.48</v>
      </c>
      <c r="K14" s="178"/>
      <c r="L14" s="178"/>
      <c r="M14" s="180"/>
      <c r="N14" s="177"/>
      <c r="P14">
        <v>153.12</v>
      </c>
    </row>
    <row r="15" spans="1:16" ht="18" hidden="1" customHeight="1" x14ac:dyDescent="0.2">
      <c r="A15" s="409" t="s">
        <v>124</v>
      </c>
      <c r="B15" s="178" t="s">
        <v>560</v>
      </c>
      <c r="C15" s="178">
        <v>13829</v>
      </c>
      <c r="D15" s="178">
        <v>13829</v>
      </c>
      <c r="E15" s="178">
        <v>2309</v>
      </c>
      <c r="F15" s="178">
        <v>19.399999999999999</v>
      </c>
      <c r="G15" s="178">
        <f t="shared" ref="G15:G17" si="3">+F15+P15</f>
        <v>38.15</v>
      </c>
      <c r="H15" s="178"/>
      <c r="I15" s="178">
        <v>18.75</v>
      </c>
      <c r="J15" s="178">
        <f>+E15-G15</f>
        <v>2270.85</v>
      </c>
      <c r="K15" s="178"/>
      <c r="L15" s="178"/>
      <c r="M15" s="180"/>
      <c r="N15" s="177"/>
      <c r="P15">
        <v>18.75</v>
      </c>
    </row>
    <row r="16" spans="1:16" ht="18" hidden="1" customHeight="1" x14ac:dyDescent="0.2">
      <c r="A16" s="409" t="s">
        <v>126</v>
      </c>
      <c r="B16" s="178" t="s">
        <v>561</v>
      </c>
      <c r="C16" s="178">
        <v>6453</v>
      </c>
      <c r="D16" s="178">
        <v>6453</v>
      </c>
      <c r="E16" s="178">
        <v>1085</v>
      </c>
      <c r="F16" s="178">
        <v>9.06</v>
      </c>
      <c r="G16" s="178">
        <f t="shared" si="3"/>
        <v>17.810000000000002</v>
      </c>
      <c r="H16" s="178"/>
      <c r="I16" s="178">
        <v>8.75</v>
      </c>
      <c r="J16" s="178"/>
      <c r="K16" s="178"/>
      <c r="L16" s="178"/>
      <c r="M16" s="180"/>
      <c r="N16" s="177"/>
      <c r="P16">
        <v>8.75</v>
      </c>
    </row>
    <row r="17" spans="1:16" ht="18" hidden="1" customHeight="1" x14ac:dyDescent="0.2">
      <c r="A17" s="409" t="s">
        <v>128</v>
      </c>
      <c r="B17" s="178" t="s">
        <v>562</v>
      </c>
      <c r="C17" s="178">
        <v>2767</v>
      </c>
      <c r="D17" s="178">
        <v>2767</v>
      </c>
      <c r="E17" s="178">
        <v>464</v>
      </c>
      <c r="F17" s="178">
        <v>3.88</v>
      </c>
      <c r="G17" s="178">
        <f t="shared" si="3"/>
        <v>7.63</v>
      </c>
      <c r="H17" s="178"/>
      <c r="I17" s="178">
        <v>7.63</v>
      </c>
      <c r="J17" s="178"/>
      <c r="K17" s="178"/>
      <c r="L17" s="178"/>
      <c r="M17" s="180"/>
      <c r="N17" s="177"/>
      <c r="P17">
        <v>3.75</v>
      </c>
    </row>
    <row r="18" spans="1:16" ht="9" hidden="1" customHeight="1" x14ac:dyDescent="0.3">
      <c r="A18" s="410"/>
      <c r="B18" s="411"/>
      <c r="C18" s="411"/>
      <c r="D18" s="411"/>
      <c r="E18" s="411"/>
      <c r="F18" s="412"/>
      <c r="G18" s="412"/>
      <c r="H18" s="412"/>
      <c r="I18" s="412"/>
      <c r="J18" s="411"/>
      <c r="K18" s="411"/>
      <c r="L18" s="411"/>
      <c r="M18" s="413"/>
      <c r="N18" s="414"/>
    </row>
    <row r="19" spans="1:16" ht="18" customHeight="1" x14ac:dyDescent="0.2">
      <c r="A19" s="415" t="s">
        <v>137</v>
      </c>
      <c r="B19" s="416" t="s">
        <v>138</v>
      </c>
      <c r="C19" s="417">
        <f>SUM(C21:C27)</f>
        <v>5349720</v>
      </c>
      <c r="D19" s="417">
        <f>SUM(D21:D27)</f>
        <v>5241238</v>
      </c>
      <c r="E19" s="417">
        <f>SUM(E20:E29)</f>
        <v>1550263</v>
      </c>
      <c r="F19" s="417">
        <f>SUM(F20:F28)</f>
        <v>137835.81</v>
      </c>
      <c r="G19" s="417">
        <f>P19+F19</f>
        <v>714064.3</v>
      </c>
      <c r="H19" s="417">
        <f>+H27</f>
        <v>89880</v>
      </c>
      <c r="I19" s="417">
        <f>SUM(I20:I29)</f>
        <v>0</v>
      </c>
      <c r="J19" s="417">
        <f t="shared" si="1"/>
        <v>836198.7</v>
      </c>
      <c r="K19" s="417" t="e">
        <f>+K21+K23</f>
        <v>#REF!</v>
      </c>
      <c r="L19" s="417" t="e">
        <f>+#REF!*100/#REF!</f>
        <v>#REF!</v>
      </c>
      <c r="M19" s="418">
        <f t="shared" si="2"/>
        <v>4527173.7</v>
      </c>
      <c r="N19" s="419">
        <f>G19/E19*100</f>
        <v>46.06084903013231</v>
      </c>
      <c r="P19">
        <v>576228.49</v>
      </c>
    </row>
    <row r="20" spans="1:16" ht="18" hidden="1" customHeight="1" x14ac:dyDescent="0.2">
      <c r="A20" s="408">
        <v>110</v>
      </c>
      <c r="B20" s="447" t="s">
        <v>467</v>
      </c>
      <c r="C20" s="420"/>
      <c r="D20" s="420"/>
      <c r="E20" s="178">
        <v>0</v>
      </c>
      <c r="F20" s="178">
        <v>0</v>
      </c>
      <c r="G20" s="178">
        <v>0</v>
      </c>
      <c r="H20" s="178"/>
      <c r="I20" s="178">
        <v>0</v>
      </c>
      <c r="J20" s="178">
        <v>0</v>
      </c>
      <c r="K20" s="178"/>
      <c r="L20" s="178"/>
      <c r="M20" s="180"/>
      <c r="N20" s="177" t="s">
        <v>6</v>
      </c>
      <c r="P20">
        <v>0</v>
      </c>
    </row>
    <row r="21" spans="1:16" ht="18" hidden="1" customHeight="1" x14ac:dyDescent="0.2">
      <c r="A21" s="408">
        <v>120</v>
      </c>
      <c r="B21" s="179" t="s">
        <v>393</v>
      </c>
      <c r="C21" s="420" t="s">
        <v>6</v>
      </c>
      <c r="D21" s="420" t="s">
        <v>6</v>
      </c>
      <c r="E21" s="178" t="s">
        <v>6</v>
      </c>
      <c r="F21" s="178">
        <v>0</v>
      </c>
      <c r="G21" s="178">
        <v>0</v>
      </c>
      <c r="H21" s="178"/>
      <c r="I21" s="178"/>
      <c r="J21" s="178">
        <v>0</v>
      </c>
      <c r="K21" s="178" t="e">
        <f>+#REF!+#REF!</f>
        <v>#REF!</v>
      </c>
      <c r="L21" s="178" t="e">
        <f>+#REF!*100/#REF!</f>
        <v>#REF!</v>
      </c>
      <c r="M21" s="180" t="e">
        <f t="shared" si="2"/>
        <v>#VALUE!</v>
      </c>
      <c r="N21" s="177" t="s">
        <v>6</v>
      </c>
      <c r="P21">
        <v>0</v>
      </c>
    </row>
    <row r="22" spans="1:16" ht="18" customHeight="1" x14ac:dyDescent="0.2">
      <c r="A22" s="408">
        <v>130</v>
      </c>
      <c r="B22" s="179" t="s">
        <v>509</v>
      </c>
      <c r="C22" s="178">
        <v>10000</v>
      </c>
      <c r="D22" s="178">
        <v>8000</v>
      </c>
      <c r="E22" s="178"/>
      <c r="F22" s="178"/>
      <c r="G22" s="178"/>
      <c r="H22" s="178"/>
      <c r="I22" s="178"/>
      <c r="J22" s="178">
        <f t="shared" si="1"/>
        <v>0</v>
      </c>
      <c r="K22" s="178"/>
      <c r="L22" s="178"/>
      <c r="M22" s="180"/>
      <c r="N22" s="177"/>
    </row>
    <row r="23" spans="1:16" ht="18" customHeight="1" x14ac:dyDescent="0.2">
      <c r="A23" s="211" t="s">
        <v>170</v>
      </c>
      <c r="B23" s="178" t="s">
        <v>171</v>
      </c>
      <c r="C23" s="178">
        <v>75286</v>
      </c>
      <c r="D23" s="178">
        <v>60228</v>
      </c>
      <c r="E23" s="178"/>
      <c r="F23" s="178">
        <v>0</v>
      </c>
      <c r="G23" s="178">
        <v>0</v>
      </c>
      <c r="H23" s="178"/>
      <c r="I23" s="178"/>
      <c r="J23" s="178">
        <f t="shared" si="1"/>
        <v>0</v>
      </c>
      <c r="K23" s="178" t="e">
        <f>+#REF!+K27</f>
        <v>#REF!</v>
      </c>
      <c r="L23" s="178" t="e">
        <f>+#REF!*100/#REF!</f>
        <v>#REF!</v>
      </c>
      <c r="M23" s="180">
        <f t="shared" si="2"/>
        <v>60228</v>
      </c>
      <c r="N23" s="177" t="s">
        <v>6</v>
      </c>
      <c r="P23">
        <v>0</v>
      </c>
    </row>
    <row r="24" spans="1:16" ht="18" customHeight="1" x14ac:dyDescent="0.2">
      <c r="A24" s="408">
        <v>150</v>
      </c>
      <c r="B24" s="178" t="s">
        <v>556</v>
      </c>
      <c r="C24" s="178">
        <v>5992</v>
      </c>
      <c r="D24" s="178">
        <v>4793</v>
      </c>
      <c r="E24" s="178"/>
      <c r="F24" s="178"/>
      <c r="G24" s="178"/>
      <c r="H24" s="178"/>
      <c r="I24" s="178"/>
      <c r="J24" s="178">
        <f t="shared" si="1"/>
        <v>0</v>
      </c>
      <c r="K24" s="178"/>
      <c r="L24" s="178"/>
      <c r="M24" s="180"/>
      <c r="N24" s="177"/>
    </row>
    <row r="25" spans="1:16" ht="18" customHeight="1" x14ac:dyDescent="0.2">
      <c r="A25" s="211" t="s">
        <v>182</v>
      </c>
      <c r="B25" s="178" t="s">
        <v>183</v>
      </c>
      <c r="C25" s="178">
        <v>690213</v>
      </c>
      <c r="D25" s="178">
        <v>608477</v>
      </c>
      <c r="E25" s="178">
        <v>159098</v>
      </c>
      <c r="F25" s="178">
        <v>47955.81</v>
      </c>
      <c r="G25" s="178">
        <f>P25+F25</f>
        <v>47955.81</v>
      </c>
      <c r="H25" s="178"/>
      <c r="I25" s="178">
        <v>0</v>
      </c>
      <c r="J25" s="178">
        <f t="shared" si="1"/>
        <v>111142.19</v>
      </c>
      <c r="K25" s="178" t="e">
        <f>+K27+K31</f>
        <v>#REF!</v>
      </c>
      <c r="L25" s="178" t="e">
        <f>+#REF!*100/#REF!</f>
        <v>#REF!</v>
      </c>
      <c r="M25" s="180">
        <f t="shared" si="2"/>
        <v>560521.18999999994</v>
      </c>
      <c r="N25" s="177">
        <f>G25/E25*100</f>
        <v>30.142308514249077</v>
      </c>
      <c r="P25">
        <v>0</v>
      </c>
    </row>
    <row r="26" spans="1:16" ht="18" customHeight="1" x14ac:dyDescent="0.2">
      <c r="A26" s="408">
        <v>170</v>
      </c>
      <c r="B26" s="178" t="s">
        <v>432</v>
      </c>
      <c r="C26" s="178">
        <v>170000</v>
      </c>
      <c r="D26" s="178">
        <v>156000</v>
      </c>
      <c r="E26" s="178">
        <v>20000</v>
      </c>
      <c r="F26" s="178"/>
      <c r="G26" s="178"/>
      <c r="H26" s="178"/>
      <c r="I26" s="178"/>
      <c r="J26" s="178">
        <f t="shared" si="1"/>
        <v>20000</v>
      </c>
      <c r="K26" s="178"/>
      <c r="L26" s="178"/>
      <c r="M26" s="180">
        <f t="shared" si="2"/>
        <v>156000</v>
      </c>
      <c r="N26" s="177"/>
    </row>
    <row r="27" spans="1:16" ht="18" customHeight="1" x14ac:dyDescent="0.2">
      <c r="A27" s="211" t="s">
        <v>191</v>
      </c>
      <c r="B27" s="178" t="s">
        <v>192</v>
      </c>
      <c r="C27" s="178">
        <v>4398229</v>
      </c>
      <c r="D27" s="178">
        <v>4403740</v>
      </c>
      <c r="E27" s="178">
        <v>1371165</v>
      </c>
      <c r="F27" s="178">
        <v>89880</v>
      </c>
      <c r="G27" s="178">
        <f>P27+F27</f>
        <v>666108.49</v>
      </c>
      <c r="H27" s="178">
        <v>89880</v>
      </c>
      <c r="I27" s="178" t="s">
        <v>6</v>
      </c>
      <c r="J27" s="178">
        <f t="shared" si="1"/>
        <v>705056.51</v>
      </c>
      <c r="K27" s="178" t="e">
        <f>+K30+K32</f>
        <v>#REF!</v>
      </c>
      <c r="L27" s="178" t="e">
        <f>+#REF!*100/#REF!</f>
        <v>#REF!</v>
      </c>
      <c r="M27" s="180">
        <f t="shared" si="2"/>
        <v>3737631.51</v>
      </c>
      <c r="N27" s="177">
        <f>G27/E27*100</f>
        <v>48.579747149321925</v>
      </c>
      <c r="P27">
        <v>576228.49</v>
      </c>
    </row>
    <row r="28" spans="1:16" ht="18" customHeight="1" x14ac:dyDescent="0.2">
      <c r="A28" s="408">
        <v>190</v>
      </c>
      <c r="B28" s="178" t="s">
        <v>433</v>
      </c>
      <c r="C28" s="178"/>
      <c r="D28" s="178">
        <f>SUM(C28:C28)</f>
        <v>0</v>
      </c>
      <c r="E28" s="178">
        <v>0</v>
      </c>
      <c r="F28" s="178">
        <v>0</v>
      </c>
      <c r="G28" s="178">
        <f>P28+F28</f>
        <v>0</v>
      </c>
      <c r="H28" s="178"/>
      <c r="I28" s="178">
        <v>0</v>
      </c>
      <c r="J28" s="178" t="s">
        <v>6</v>
      </c>
      <c r="K28" s="178"/>
      <c r="L28" s="178"/>
      <c r="M28" s="180">
        <f t="shared" si="2"/>
        <v>0</v>
      </c>
      <c r="N28" s="177" t="s">
        <v>6</v>
      </c>
      <c r="P28">
        <v>0</v>
      </c>
    </row>
    <row r="29" spans="1:16" ht="7.15" customHeight="1" x14ac:dyDescent="0.3">
      <c r="A29" s="421"/>
      <c r="B29" s="411"/>
      <c r="C29" s="412"/>
      <c r="D29" s="411"/>
      <c r="E29" s="411"/>
      <c r="F29" s="411"/>
      <c r="G29" s="411"/>
      <c r="H29" s="411"/>
      <c r="I29" s="411"/>
      <c r="J29" s="411"/>
      <c r="K29" s="411"/>
      <c r="L29" s="411"/>
      <c r="M29" s="413"/>
      <c r="N29" s="414"/>
    </row>
    <row r="30" spans="1:16" ht="18" customHeight="1" x14ac:dyDescent="0.2">
      <c r="A30" s="403" t="s">
        <v>197</v>
      </c>
      <c r="B30" s="404" t="s">
        <v>198</v>
      </c>
      <c r="C30" s="405">
        <f>+C31+C32+C34+C35+C36+C37+C38+C33</f>
        <v>809351</v>
      </c>
      <c r="D30" s="405">
        <f>SUM(D31:D39)</f>
        <v>888302</v>
      </c>
      <c r="E30" s="405">
        <f>SUM(E31:E39)</f>
        <v>240824</v>
      </c>
      <c r="F30" s="405">
        <f>SUM(F31:F39)</f>
        <v>12018.63</v>
      </c>
      <c r="G30" s="405">
        <f>P30+F30</f>
        <v>12018.63</v>
      </c>
      <c r="H30" s="506">
        <f>SUM(H31:H39)</f>
        <v>4128.2700000000004</v>
      </c>
      <c r="I30" s="405">
        <f>SUM(I31:I39)</f>
        <v>0</v>
      </c>
      <c r="J30" s="405">
        <f t="shared" si="1"/>
        <v>228805.37</v>
      </c>
      <c r="K30" s="405" t="e">
        <f t="shared" ref="K30:K36" si="4">+K31+K33</f>
        <v>#REF!</v>
      </c>
      <c r="L30" s="405" t="e">
        <f>+#REF!*100/#REF!</f>
        <v>#REF!</v>
      </c>
      <c r="M30" s="406">
        <f t="shared" si="2"/>
        <v>876283.37</v>
      </c>
      <c r="N30" s="407"/>
      <c r="P30">
        <v>0</v>
      </c>
    </row>
    <row r="31" spans="1:16" ht="16.149999999999999" customHeight="1" x14ac:dyDescent="0.2">
      <c r="A31" s="211" t="s">
        <v>205</v>
      </c>
      <c r="B31" s="178" t="s">
        <v>206</v>
      </c>
      <c r="C31" s="178">
        <v>8822</v>
      </c>
      <c r="D31" s="178">
        <v>7057</v>
      </c>
      <c r="E31" s="420">
        <v>0</v>
      </c>
      <c r="F31" s="420"/>
      <c r="G31" s="420"/>
      <c r="H31" s="420"/>
      <c r="I31" s="420"/>
      <c r="J31" s="420">
        <f t="shared" si="1"/>
        <v>0</v>
      </c>
      <c r="K31" s="420" t="e">
        <f t="shared" si="4"/>
        <v>#REF!</v>
      </c>
      <c r="L31" s="420" t="e">
        <f>+#REF!*100/#REF!</f>
        <v>#REF!</v>
      </c>
      <c r="M31" s="180">
        <f t="shared" si="2"/>
        <v>7057</v>
      </c>
      <c r="N31" s="177"/>
    </row>
    <row r="32" spans="1:16" ht="18" hidden="1" customHeight="1" x14ac:dyDescent="0.2">
      <c r="A32" s="211" t="s">
        <v>217</v>
      </c>
      <c r="B32" s="178" t="s">
        <v>218</v>
      </c>
      <c r="C32" s="420">
        <v>0</v>
      </c>
      <c r="D32" s="420"/>
      <c r="E32" s="420"/>
      <c r="F32" s="420"/>
      <c r="G32" s="420"/>
      <c r="H32" s="420"/>
      <c r="I32" s="420"/>
      <c r="J32" s="420">
        <f t="shared" si="1"/>
        <v>0</v>
      </c>
      <c r="K32" s="420" t="e">
        <f t="shared" si="4"/>
        <v>#REF!</v>
      </c>
      <c r="L32" s="420" t="e">
        <f>+#REF!*100/#REF!</f>
        <v>#REF!</v>
      </c>
      <c r="M32" s="180">
        <f t="shared" si="2"/>
        <v>0</v>
      </c>
      <c r="N32" s="177"/>
    </row>
    <row r="33" spans="1:16" ht="18" customHeight="1" x14ac:dyDescent="0.2">
      <c r="A33" s="408">
        <v>230</v>
      </c>
      <c r="B33" s="179" t="s">
        <v>370</v>
      </c>
      <c r="C33" s="178">
        <v>12038</v>
      </c>
      <c r="D33" s="178">
        <f>SUM(C33:C33)</f>
        <v>12038</v>
      </c>
      <c r="E33" s="178">
        <v>2408</v>
      </c>
      <c r="F33" s="178"/>
      <c r="G33" s="178"/>
      <c r="H33" s="178"/>
      <c r="I33" s="178"/>
      <c r="J33" s="178">
        <f t="shared" si="1"/>
        <v>2408</v>
      </c>
      <c r="K33" s="178" t="e">
        <f t="shared" si="4"/>
        <v>#REF!</v>
      </c>
      <c r="L33" s="178" t="e">
        <f>+#REF!*100/#REF!</f>
        <v>#REF!</v>
      </c>
      <c r="M33" s="180">
        <f t="shared" si="2"/>
        <v>12038</v>
      </c>
      <c r="N33" s="177"/>
    </row>
    <row r="34" spans="1:16" ht="18" customHeight="1" x14ac:dyDescent="0.2">
      <c r="A34" s="211" t="s">
        <v>234</v>
      </c>
      <c r="B34" s="178" t="s">
        <v>235</v>
      </c>
      <c r="C34" s="178"/>
      <c r="D34" s="178">
        <f>SUM(C34:C34)</f>
        <v>0</v>
      </c>
      <c r="E34" s="178"/>
      <c r="F34" s="178">
        <v>0</v>
      </c>
      <c r="G34" s="178">
        <v>0</v>
      </c>
      <c r="H34" s="178"/>
      <c r="I34" s="178">
        <v>0</v>
      </c>
      <c r="J34" s="178" t="s">
        <v>6</v>
      </c>
      <c r="K34" s="178" t="e">
        <f t="shared" si="4"/>
        <v>#REF!</v>
      </c>
      <c r="L34" s="178" t="e">
        <f>+#REF!*100/#REF!</f>
        <v>#REF!</v>
      </c>
      <c r="M34" s="180">
        <f t="shared" si="2"/>
        <v>0</v>
      </c>
      <c r="N34" s="177"/>
      <c r="P34">
        <v>0</v>
      </c>
    </row>
    <row r="35" spans="1:16" s="7" customFormat="1" ht="18.75" customHeight="1" x14ac:dyDescent="0.2">
      <c r="A35" s="408">
        <v>250</v>
      </c>
      <c r="B35" s="178" t="s">
        <v>422</v>
      </c>
      <c r="C35" s="178">
        <v>132114</v>
      </c>
      <c r="D35" s="422">
        <f>SUM(C35:C35)</f>
        <v>132114</v>
      </c>
      <c r="E35" s="422">
        <v>26423</v>
      </c>
      <c r="F35" s="178">
        <v>5811.94</v>
      </c>
      <c r="G35" s="178">
        <f>P35+F35</f>
        <v>5811.94</v>
      </c>
      <c r="H35" s="178"/>
      <c r="I35" s="178" t="s">
        <v>6</v>
      </c>
      <c r="J35" s="178">
        <f t="shared" si="1"/>
        <v>20611.060000000001</v>
      </c>
      <c r="K35" s="178" t="e">
        <f t="shared" si="4"/>
        <v>#REF!</v>
      </c>
      <c r="L35" s="178" t="e">
        <f>+#REF!*100/#REF!</f>
        <v>#REF!</v>
      </c>
      <c r="M35" s="180">
        <f t="shared" si="2"/>
        <v>126302.06</v>
      </c>
      <c r="N35" s="177"/>
      <c r="P35" s="7">
        <v>0</v>
      </c>
    </row>
    <row r="36" spans="1:16" ht="18" customHeight="1" x14ac:dyDescent="0.2">
      <c r="A36" s="211" t="s">
        <v>260</v>
      </c>
      <c r="B36" s="178" t="s">
        <v>261</v>
      </c>
      <c r="C36" s="178">
        <v>402459</v>
      </c>
      <c r="D36" s="178">
        <v>468125</v>
      </c>
      <c r="E36" s="178">
        <v>146159</v>
      </c>
      <c r="F36" s="178">
        <v>6206.69</v>
      </c>
      <c r="G36" s="178">
        <f>+F36+P36</f>
        <v>6206.69</v>
      </c>
      <c r="H36" s="178">
        <v>4128.2700000000004</v>
      </c>
      <c r="I36" s="178"/>
      <c r="J36" s="178">
        <f t="shared" si="1"/>
        <v>139952.31</v>
      </c>
      <c r="K36" s="178" t="e">
        <f t="shared" si="4"/>
        <v>#REF!</v>
      </c>
      <c r="L36" s="178" t="e">
        <f>+#REF!*100/#REF!</f>
        <v>#REF!</v>
      </c>
      <c r="M36" s="180">
        <f t="shared" si="2"/>
        <v>461918.31</v>
      </c>
      <c r="N36" s="177"/>
      <c r="P36">
        <v>0</v>
      </c>
    </row>
    <row r="37" spans="1:16" ht="18" customHeight="1" x14ac:dyDescent="0.2">
      <c r="A37" s="211" t="s">
        <v>267</v>
      </c>
      <c r="B37" s="178" t="s">
        <v>268</v>
      </c>
      <c r="C37" s="178">
        <v>253918</v>
      </c>
      <c r="D37" s="178">
        <v>254618</v>
      </c>
      <c r="E37" s="178">
        <v>51484</v>
      </c>
      <c r="F37" s="178"/>
      <c r="G37" s="178"/>
      <c r="H37" s="178"/>
      <c r="I37" s="178"/>
      <c r="J37" s="178">
        <f t="shared" si="1"/>
        <v>51484</v>
      </c>
      <c r="K37" s="178" t="e">
        <f>+K38+K41</f>
        <v>#REF!</v>
      </c>
      <c r="L37" s="178" t="e">
        <f>+#REF!*100/#REF!</f>
        <v>#REF!</v>
      </c>
      <c r="M37" s="180">
        <f t="shared" si="2"/>
        <v>254618</v>
      </c>
      <c r="N37" s="177"/>
    </row>
    <row r="38" spans="1:16" ht="18" hidden="1" customHeight="1" x14ac:dyDescent="0.3">
      <c r="A38" s="423" t="s">
        <v>283</v>
      </c>
      <c r="B38" s="411" t="s">
        <v>284</v>
      </c>
      <c r="C38" s="412">
        <v>0</v>
      </c>
      <c r="D38" s="411"/>
      <c r="E38" s="411"/>
      <c r="F38" s="411"/>
      <c r="G38" s="411"/>
      <c r="H38" s="411"/>
      <c r="I38" s="411"/>
      <c r="J38" s="411">
        <f t="shared" si="1"/>
        <v>0</v>
      </c>
      <c r="K38" s="411" t="e">
        <f>+K39+K42</f>
        <v>#REF!</v>
      </c>
      <c r="L38" s="411" t="e">
        <f>+#REF!*100/#REF!</f>
        <v>#REF!</v>
      </c>
      <c r="M38" s="413">
        <f t="shared" si="2"/>
        <v>0</v>
      </c>
      <c r="N38" s="414"/>
    </row>
    <row r="39" spans="1:16" ht="18" customHeight="1" x14ac:dyDescent="0.3">
      <c r="A39" s="408">
        <v>290</v>
      </c>
      <c r="B39" s="178" t="s">
        <v>421</v>
      </c>
      <c r="C39" s="420">
        <v>0</v>
      </c>
      <c r="D39" s="178">
        <v>14350</v>
      </c>
      <c r="E39" s="178">
        <v>14350</v>
      </c>
      <c r="F39" s="178">
        <v>0</v>
      </c>
      <c r="G39" s="178">
        <v>0</v>
      </c>
      <c r="H39" s="178"/>
      <c r="I39" s="178">
        <v>0</v>
      </c>
      <c r="J39" s="178" t="s">
        <v>6</v>
      </c>
      <c r="K39" s="411" t="e">
        <f>+K41+K43</f>
        <v>#REF!</v>
      </c>
      <c r="L39" s="411" t="e">
        <f>+#REF!*100/#REF!</f>
        <v>#REF!</v>
      </c>
      <c r="M39" s="413">
        <f t="shared" si="2"/>
        <v>14350</v>
      </c>
      <c r="N39" s="177" t="s">
        <v>6</v>
      </c>
      <c r="P39">
        <v>0</v>
      </c>
    </row>
    <row r="40" spans="1:16" ht="7.9" customHeight="1" x14ac:dyDescent="0.3">
      <c r="A40" s="424"/>
      <c r="B40" s="411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3"/>
      <c r="N40" s="414"/>
    </row>
    <row r="41" spans="1:16" ht="18" customHeight="1" x14ac:dyDescent="0.2">
      <c r="A41" s="425" t="s">
        <v>290</v>
      </c>
      <c r="B41" s="426" t="s">
        <v>291</v>
      </c>
      <c r="C41" s="427">
        <f>SUM(C42:C50)</f>
        <v>22258230</v>
      </c>
      <c r="D41" s="427">
        <f>SUM(D42:D50)</f>
        <v>23208402</v>
      </c>
      <c r="E41" s="427">
        <f>SUM(E42:E50)</f>
        <v>6415922</v>
      </c>
      <c r="F41" s="427">
        <f>SUM(F42:F50)</f>
        <v>1037091.75</v>
      </c>
      <c r="G41" s="427">
        <f t="shared" ref="G41:G49" si="5">P41+F41</f>
        <v>1552487.85</v>
      </c>
      <c r="H41" s="427">
        <f>SUM(H42:H50)</f>
        <v>70337.8</v>
      </c>
      <c r="I41" s="427">
        <f>SUM(I42:I51)</f>
        <v>1014.3</v>
      </c>
      <c r="J41" s="427">
        <f t="shared" si="1"/>
        <v>4863434.1500000004</v>
      </c>
      <c r="K41" s="427" t="e">
        <f t="shared" ref="K41:K46" si="6">+K42+K44</f>
        <v>#REF!</v>
      </c>
      <c r="L41" s="427" t="e">
        <f>+#REF!*100/#REF!</f>
        <v>#REF!</v>
      </c>
      <c r="M41" s="428">
        <f t="shared" si="2"/>
        <v>21655914.149999999</v>
      </c>
      <c r="N41" s="429">
        <f>G41/E41*100</f>
        <v>24.197424002349159</v>
      </c>
      <c r="P41">
        <v>515396.1</v>
      </c>
    </row>
    <row r="42" spans="1:16" ht="18" customHeight="1" x14ac:dyDescent="0.2">
      <c r="A42" s="430">
        <v>300</v>
      </c>
      <c r="B42" s="179" t="s">
        <v>292</v>
      </c>
      <c r="C42" s="420">
        <v>5589374</v>
      </c>
      <c r="D42" s="178">
        <v>5370834</v>
      </c>
      <c r="E42" s="178">
        <v>989980</v>
      </c>
      <c r="F42" s="178">
        <v>39243.599999999999</v>
      </c>
      <c r="G42" s="178">
        <f t="shared" si="5"/>
        <v>39243.599999999999</v>
      </c>
      <c r="H42" s="178">
        <v>39033.599999999999</v>
      </c>
      <c r="I42" s="178"/>
      <c r="J42" s="178">
        <f t="shared" si="1"/>
        <v>950736.4</v>
      </c>
      <c r="K42" s="420" t="e">
        <f t="shared" si="6"/>
        <v>#REF!</v>
      </c>
      <c r="L42" s="420" t="e">
        <f>+#REF!*100/#REF!</f>
        <v>#REF!</v>
      </c>
      <c r="M42" s="180">
        <f t="shared" si="2"/>
        <v>5331590.4000000004</v>
      </c>
      <c r="N42" s="177"/>
      <c r="P42">
        <v>0</v>
      </c>
    </row>
    <row r="43" spans="1:16" ht="18" customHeight="1" x14ac:dyDescent="0.2">
      <c r="A43" s="430">
        <v>310</v>
      </c>
      <c r="B43" s="179" t="s">
        <v>423</v>
      </c>
      <c r="C43" s="178">
        <v>1381177</v>
      </c>
      <c r="D43" s="178">
        <f t="shared" ref="D43:D46" si="7">SUM(C43:C43)</f>
        <v>1381177</v>
      </c>
      <c r="E43" s="178">
        <v>276236</v>
      </c>
      <c r="F43" s="178"/>
      <c r="G43" s="178">
        <f t="shared" si="5"/>
        <v>0</v>
      </c>
      <c r="H43" s="178"/>
      <c r="I43" s="178"/>
      <c r="J43" s="178">
        <f t="shared" si="1"/>
        <v>276236</v>
      </c>
      <c r="K43" s="178" t="e">
        <f t="shared" si="6"/>
        <v>#REF!</v>
      </c>
      <c r="L43" s="178" t="e">
        <f>+#REF!*100/#REF!</f>
        <v>#REF!</v>
      </c>
      <c r="M43" s="180">
        <f t="shared" si="2"/>
        <v>1381177</v>
      </c>
      <c r="N43" s="177"/>
      <c r="O43" s="25" t="s">
        <v>6</v>
      </c>
      <c r="P43">
        <v>0</v>
      </c>
    </row>
    <row r="44" spans="1:16" ht="15" customHeight="1" x14ac:dyDescent="0.2">
      <c r="A44" s="430">
        <v>320</v>
      </c>
      <c r="B44" s="178" t="s">
        <v>293</v>
      </c>
      <c r="C44" s="178">
        <v>2771165</v>
      </c>
      <c r="D44" s="178">
        <v>3153008</v>
      </c>
      <c r="E44" s="178">
        <v>963181</v>
      </c>
      <c r="F44" s="178">
        <v>5926.74</v>
      </c>
      <c r="G44" s="178">
        <f t="shared" si="5"/>
        <v>22822.04</v>
      </c>
      <c r="H44" s="178">
        <v>20031.59</v>
      </c>
      <c r="I44" s="178"/>
      <c r="J44" s="178">
        <f t="shared" si="1"/>
        <v>940358.96</v>
      </c>
      <c r="K44" s="178" t="e">
        <f t="shared" si="6"/>
        <v>#REF!</v>
      </c>
      <c r="L44" s="178" t="e">
        <f>+#REF!*100/#REF!</f>
        <v>#REF!</v>
      </c>
      <c r="M44" s="180">
        <f t="shared" si="2"/>
        <v>3130185.96</v>
      </c>
      <c r="N44" s="177">
        <f>G44/E44*100</f>
        <v>2.3694445799906769</v>
      </c>
      <c r="P44">
        <v>16895.3</v>
      </c>
    </row>
    <row r="45" spans="1:16" ht="13.5" customHeight="1" x14ac:dyDescent="0.2">
      <c r="A45" s="430">
        <v>330</v>
      </c>
      <c r="B45" s="178" t="s">
        <v>377</v>
      </c>
      <c r="C45" s="178">
        <v>1992844</v>
      </c>
      <c r="D45" s="178">
        <v>2166514</v>
      </c>
      <c r="E45" s="178">
        <v>572240</v>
      </c>
      <c r="F45" s="178"/>
      <c r="G45" s="178">
        <f t="shared" si="5"/>
        <v>0</v>
      </c>
      <c r="H45" s="178"/>
      <c r="I45" s="178"/>
      <c r="J45" s="178">
        <f t="shared" si="1"/>
        <v>572240</v>
      </c>
      <c r="K45" s="178" t="e">
        <f t="shared" si="6"/>
        <v>#REF!</v>
      </c>
      <c r="L45" s="178" t="e">
        <f>+#REF!*100/#REF!</f>
        <v>#REF!</v>
      </c>
      <c r="M45" s="180">
        <f t="shared" si="2"/>
        <v>2166514</v>
      </c>
      <c r="N45" s="177"/>
      <c r="P45">
        <v>0</v>
      </c>
    </row>
    <row r="46" spans="1:16" ht="17.45" customHeight="1" x14ac:dyDescent="0.2">
      <c r="A46" s="430">
        <v>340</v>
      </c>
      <c r="B46" s="178" t="s">
        <v>145</v>
      </c>
      <c r="C46" s="178">
        <v>16758</v>
      </c>
      <c r="D46" s="178">
        <f t="shared" si="7"/>
        <v>16758</v>
      </c>
      <c r="E46" s="178">
        <v>3352</v>
      </c>
      <c r="F46" s="178">
        <v>85</v>
      </c>
      <c r="G46" s="178">
        <f t="shared" si="5"/>
        <v>85</v>
      </c>
      <c r="H46" s="178"/>
      <c r="I46" s="178"/>
      <c r="J46" s="178">
        <f t="shared" si="1"/>
        <v>3267</v>
      </c>
      <c r="K46" s="178" t="e">
        <f t="shared" si="6"/>
        <v>#REF!</v>
      </c>
      <c r="L46" s="178" t="e">
        <f>+#REF!*100/#REF!</f>
        <v>#REF!</v>
      </c>
      <c r="M46" s="180">
        <f t="shared" si="2"/>
        <v>16673</v>
      </c>
      <c r="N46" s="177" t="s">
        <v>6</v>
      </c>
      <c r="P46">
        <v>0</v>
      </c>
    </row>
    <row r="47" spans="1:16" ht="16.5" customHeight="1" x14ac:dyDescent="0.2">
      <c r="A47" s="430">
        <v>350</v>
      </c>
      <c r="B47" s="178" t="s">
        <v>294</v>
      </c>
      <c r="C47" s="178">
        <v>594406</v>
      </c>
      <c r="D47" s="178">
        <v>607716</v>
      </c>
      <c r="E47" s="178">
        <v>132192</v>
      </c>
      <c r="F47" s="178">
        <v>40787</v>
      </c>
      <c r="G47" s="178">
        <f t="shared" si="5"/>
        <v>40787</v>
      </c>
      <c r="H47" s="178">
        <v>3887.25</v>
      </c>
      <c r="I47" s="178">
        <v>1014.3</v>
      </c>
      <c r="J47" s="178">
        <f t="shared" si="1"/>
        <v>91405</v>
      </c>
      <c r="K47" s="178" t="e">
        <f>+K48+#REF!</f>
        <v>#REF!</v>
      </c>
      <c r="L47" s="178" t="e">
        <f>+#REF!*100/#REF!</f>
        <v>#REF!</v>
      </c>
      <c r="M47" s="180">
        <f t="shared" si="2"/>
        <v>566929</v>
      </c>
      <c r="N47" s="177"/>
      <c r="P47">
        <v>0</v>
      </c>
    </row>
    <row r="48" spans="1:16" ht="18" customHeight="1" x14ac:dyDescent="0.2">
      <c r="A48" s="430">
        <v>370</v>
      </c>
      <c r="B48" s="178" t="s">
        <v>295</v>
      </c>
      <c r="C48" s="178">
        <v>5548922</v>
      </c>
      <c r="D48" s="178">
        <v>5930531</v>
      </c>
      <c r="E48" s="178">
        <v>2016521</v>
      </c>
      <c r="F48" s="178">
        <v>421462.38</v>
      </c>
      <c r="G48" s="178">
        <f t="shared" si="5"/>
        <v>919963.17999999993</v>
      </c>
      <c r="H48" s="178"/>
      <c r="I48" s="178"/>
      <c r="J48" s="178">
        <f t="shared" si="1"/>
        <v>1096557.82</v>
      </c>
      <c r="K48" s="178" t="e">
        <f>+K49+#REF!</f>
        <v>#REF!</v>
      </c>
      <c r="L48" s="178" t="e">
        <f>+#REF!*100/#REF!</f>
        <v>#REF!</v>
      </c>
      <c r="M48" s="180">
        <f t="shared" si="2"/>
        <v>5010567.82</v>
      </c>
      <c r="N48" s="177">
        <f>G48/E48*100</f>
        <v>45.621304216519434</v>
      </c>
      <c r="P48">
        <v>498500.8</v>
      </c>
    </row>
    <row r="49" spans="1:16" ht="18" customHeight="1" x14ac:dyDescent="0.2">
      <c r="A49" s="430">
        <v>380</v>
      </c>
      <c r="B49" s="178" t="s">
        <v>296</v>
      </c>
      <c r="C49" s="178">
        <v>4363584</v>
      </c>
      <c r="D49" s="178">
        <v>4434584</v>
      </c>
      <c r="E49" s="178">
        <v>1314940</v>
      </c>
      <c r="F49" s="178">
        <v>527803.35</v>
      </c>
      <c r="G49" s="178">
        <f t="shared" si="5"/>
        <v>527803.35</v>
      </c>
      <c r="H49" s="178">
        <v>7385.36</v>
      </c>
      <c r="I49" s="178"/>
      <c r="J49" s="178">
        <f t="shared" si="1"/>
        <v>787136.65</v>
      </c>
      <c r="K49" s="178" t="e">
        <f>+#REF!+#REF!</f>
        <v>#REF!</v>
      </c>
      <c r="L49" s="178" t="e">
        <f>+#REF!*100/#REF!</f>
        <v>#REF!</v>
      </c>
      <c r="M49" s="180">
        <f t="shared" si="2"/>
        <v>3906780.65</v>
      </c>
      <c r="N49" s="177">
        <f>G49/E49*100</f>
        <v>40.138968317946066</v>
      </c>
      <c r="P49">
        <v>0</v>
      </c>
    </row>
    <row r="50" spans="1:16" ht="18" customHeight="1" x14ac:dyDescent="0.2">
      <c r="A50" s="430">
        <v>390</v>
      </c>
      <c r="B50" s="178" t="s">
        <v>424</v>
      </c>
      <c r="C50" s="178"/>
      <c r="D50" s="178">
        <v>147280</v>
      </c>
      <c r="E50" s="178">
        <v>147280</v>
      </c>
      <c r="F50" s="178">
        <v>1783.68</v>
      </c>
      <c r="G50" s="178">
        <f>+F50+P50</f>
        <v>1783.68</v>
      </c>
      <c r="H50" s="178"/>
      <c r="I50" s="178"/>
      <c r="J50" s="178">
        <f t="shared" si="1"/>
        <v>145496.32000000001</v>
      </c>
      <c r="K50" s="420" t="e">
        <f>+K52+#REF!</f>
        <v>#REF!</v>
      </c>
      <c r="L50" s="420" t="e">
        <f>+#REF!*100/#REF!</f>
        <v>#REF!</v>
      </c>
      <c r="M50" s="180">
        <f t="shared" si="2"/>
        <v>145496.32000000001</v>
      </c>
      <c r="N50" s="177"/>
      <c r="P50">
        <v>0</v>
      </c>
    </row>
    <row r="51" spans="1:16" ht="8.4499999999999993" customHeight="1" x14ac:dyDescent="0.3">
      <c r="A51" s="424"/>
      <c r="B51" s="411"/>
      <c r="C51" s="411"/>
      <c r="D51" s="411"/>
      <c r="E51" s="411"/>
      <c r="F51" s="411"/>
      <c r="G51" s="411"/>
      <c r="H51" s="411"/>
      <c r="I51" s="411"/>
      <c r="J51" s="412"/>
      <c r="K51" s="412"/>
      <c r="L51" s="412"/>
      <c r="M51" s="413"/>
      <c r="N51" s="414"/>
    </row>
    <row r="52" spans="1:16" ht="18" customHeight="1" x14ac:dyDescent="0.2">
      <c r="A52" s="403">
        <v>5</v>
      </c>
      <c r="B52" s="431" t="s">
        <v>367</v>
      </c>
      <c r="C52" s="405">
        <f>C53</f>
        <v>24785293</v>
      </c>
      <c r="D52" s="405">
        <f t="shared" ref="D52:I52" si="8">SUM(D53)</f>
        <v>23702172</v>
      </c>
      <c r="E52" s="405">
        <f t="shared" si="8"/>
        <v>4251499</v>
      </c>
      <c r="F52" s="405">
        <f t="shared" si="8"/>
        <v>179785.24</v>
      </c>
      <c r="G52" s="405">
        <f t="shared" si="8"/>
        <v>1557091.52</v>
      </c>
      <c r="H52" s="506"/>
      <c r="I52" s="405">
        <f t="shared" si="8"/>
        <v>0</v>
      </c>
      <c r="J52" s="405">
        <f t="shared" si="1"/>
        <v>2694407.48</v>
      </c>
      <c r="K52" s="405" t="e">
        <f>+#REF!+K53</f>
        <v>#REF!</v>
      </c>
      <c r="L52" s="405" t="e">
        <f>+#REF!*100/#REF!</f>
        <v>#REF!</v>
      </c>
      <c r="M52" s="406">
        <f t="shared" si="2"/>
        <v>22145080.48</v>
      </c>
      <c r="N52" s="407">
        <f>G52/E52*100</f>
        <v>36.624529842297974</v>
      </c>
      <c r="P52">
        <v>1377306.28</v>
      </c>
    </row>
    <row r="53" spans="1:16" ht="18" customHeight="1" x14ac:dyDescent="0.2">
      <c r="A53" s="408">
        <v>510</v>
      </c>
      <c r="B53" s="178" t="s">
        <v>368</v>
      </c>
      <c r="C53" s="178">
        <v>24785293</v>
      </c>
      <c r="D53" s="178">
        <v>23702172</v>
      </c>
      <c r="E53" s="178">
        <v>4251499</v>
      </c>
      <c r="F53" s="178">
        <v>179785.24</v>
      </c>
      <c r="G53" s="178">
        <f>P53+F53</f>
        <v>1557091.52</v>
      </c>
      <c r="H53" s="178"/>
      <c r="I53" s="178">
        <v>0</v>
      </c>
      <c r="J53" s="178">
        <f t="shared" si="1"/>
        <v>2694407.48</v>
      </c>
      <c r="K53" s="420" t="e">
        <f>+#REF!+K55</f>
        <v>#REF!</v>
      </c>
      <c r="L53" s="420" t="e">
        <f>+#REF!*100/#REF!</f>
        <v>#REF!</v>
      </c>
      <c r="M53" s="180">
        <f t="shared" si="2"/>
        <v>22145080.48</v>
      </c>
      <c r="N53" s="177">
        <f>G53/E53*100</f>
        <v>36.624529842297974</v>
      </c>
      <c r="P53">
        <v>1377306.28</v>
      </c>
    </row>
    <row r="54" spans="1:16" ht="3" customHeight="1" x14ac:dyDescent="0.3">
      <c r="A54" s="432"/>
      <c r="B54" s="411"/>
      <c r="C54" s="411"/>
      <c r="D54" s="411"/>
      <c r="E54" s="411"/>
      <c r="F54" s="411"/>
      <c r="G54" s="411"/>
      <c r="H54" s="411"/>
      <c r="I54" s="411"/>
      <c r="J54" s="412"/>
      <c r="K54" s="412"/>
      <c r="L54" s="412"/>
      <c r="M54" s="413"/>
      <c r="N54" s="414"/>
    </row>
    <row r="55" spans="1:16" ht="18" customHeight="1" x14ac:dyDescent="0.2">
      <c r="A55" s="403" t="s">
        <v>302</v>
      </c>
      <c r="B55" s="433" t="s">
        <v>303</v>
      </c>
      <c r="C55" s="405">
        <f>SUM(C57:C58)</f>
        <v>2559600</v>
      </c>
      <c r="D55" s="405">
        <f>SUM(D56:D58)</f>
        <v>2722080</v>
      </c>
      <c r="E55" s="405">
        <f>SUM(E56:E58)</f>
        <v>674400</v>
      </c>
      <c r="F55" s="405">
        <f>SUM(F57)</f>
        <v>0</v>
      </c>
      <c r="G55" s="405">
        <f>SUM(G57)</f>
        <v>0</v>
      </c>
      <c r="H55" s="506"/>
      <c r="I55" s="405">
        <f>SUM(I57)</f>
        <v>0</v>
      </c>
      <c r="J55" s="405">
        <f t="shared" si="1"/>
        <v>674400</v>
      </c>
      <c r="K55" s="405">
        <f>+K56+K58</f>
        <v>0</v>
      </c>
      <c r="L55" s="405" t="e">
        <f>+#REF!*100/#REF!</f>
        <v>#REF!</v>
      </c>
      <c r="M55" s="406">
        <f t="shared" si="2"/>
        <v>2722080</v>
      </c>
      <c r="N55" s="407">
        <f>G55/E55*100</f>
        <v>0</v>
      </c>
      <c r="P55">
        <v>0</v>
      </c>
    </row>
    <row r="56" spans="1:16" ht="18" customHeight="1" x14ac:dyDescent="0.2">
      <c r="A56" s="211" t="s">
        <v>307</v>
      </c>
      <c r="B56" s="178" t="s">
        <v>176</v>
      </c>
      <c r="C56" s="178" t="s">
        <v>6</v>
      </c>
      <c r="D56" s="178">
        <f>SUM(C56:C56)</f>
        <v>0</v>
      </c>
      <c r="E56" s="178" t="s">
        <v>6</v>
      </c>
      <c r="F56" s="178"/>
      <c r="G56" s="178"/>
      <c r="H56" s="178"/>
      <c r="I56" s="178"/>
      <c r="J56" s="178" t="s">
        <v>6</v>
      </c>
      <c r="K56" s="178">
        <f>+K57+K60</f>
        <v>0</v>
      </c>
      <c r="L56" s="178" t="e">
        <f>+#REF!*100/#REF!</f>
        <v>#REF!</v>
      </c>
      <c r="M56" s="180">
        <f t="shared" si="2"/>
        <v>0</v>
      </c>
      <c r="N56" s="177" t="s">
        <v>6</v>
      </c>
    </row>
    <row r="57" spans="1:16" ht="18" customHeight="1" x14ac:dyDescent="0.2">
      <c r="A57" s="408">
        <v>620</v>
      </c>
      <c r="B57" s="178" t="s">
        <v>372</v>
      </c>
      <c r="C57" s="178">
        <v>2559600</v>
      </c>
      <c r="D57" s="178">
        <v>2521080</v>
      </c>
      <c r="E57" s="178">
        <v>473400</v>
      </c>
      <c r="F57" s="178">
        <v>0</v>
      </c>
      <c r="G57" s="178">
        <f>P57+F57</f>
        <v>0</v>
      </c>
      <c r="H57" s="178"/>
      <c r="I57" s="178" t="s">
        <v>6</v>
      </c>
      <c r="J57" s="178">
        <f t="shared" si="1"/>
        <v>473400</v>
      </c>
      <c r="K57" s="178">
        <f>+K58+K61</f>
        <v>0</v>
      </c>
      <c r="L57" s="178" t="e">
        <f>+#REF!*100/#REF!</f>
        <v>#REF!</v>
      </c>
      <c r="M57" s="180">
        <f t="shared" si="2"/>
        <v>2521080</v>
      </c>
      <c r="N57" s="177">
        <f>G57/E57*100</f>
        <v>0</v>
      </c>
      <c r="P57">
        <v>0</v>
      </c>
    </row>
    <row r="58" spans="1:16" ht="18" customHeight="1" x14ac:dyDescent="0.2">
      <c r="A58" s="408">
        <v>630</v>
      </c>
      <c r="B58" s="178" t="s">
        <v>425</v>
      </c>
      <c r="C58" s="178">
        <v>0</v>
      </c>
      <c r="D58" s="178">
        <v>201000</v>
      </c>
      <c r="E58" s="178">
        <v>201000</v>
      </c>
      <c r="F58" s="178"/>
      <c r="G58" s="178"/>
      <c r="H58" s="178"/>
      <c r="I58" s="178"/>
      <c r="J58" s="178">
        <f t="shared" si="1"/>
        <v>201000</v>
      </c>
      <c r="K58" s="178">
        <f>+K60+K62</f>
        <v>0</v>
      </c>
      <c r="L58" s="178" t="e">
        <f>+#REF!*100/#REF!</f>
        <v>#REF!</v>
      </c>
      <c r="M58" s="180">
        <f t="shared" si="2"/>
        <v>201000</v>
      </c>
      <c r="N58" s="177" t="s">
        <v>6</v>
      </c>
    </row>
    <row r="59" spans="1:16" ht="9.6" customHeight="1" x14ac:dyDescent="0.3">
      <c r="A59" s="424"/>
      <c r="B59" s="411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3"/>
      <c r="N59" s="414"/>
    </row>
    <row r="60" spans="1:16" ht="19.149999999999999" customHeight="1" x14ac:dyDescent="0.3">
      <c r="A60" s="434" t="s">
        <v>6</v>
      </c>
      <c r="B60" s="435" t="s">
        <v>369</v>
      </c>
      <c r="C60" s="436">
        <f t="shared" ref="C60:I60" si="9">+C55+C52+C41+C30+C19+C9</f>
        <v>56905194</v>
      </c>
      <c r="D60" s="436">
        <f t="shared" si="9"/>
        <v>56905194</v>
      </c>
      <c r="E60" s="436">
        <f t="shared" si="9"/>
        <v>13341289</v>
      </c>
      <c r="F60" s="436">
        <f t="shared" si="9"/>
        <v>1368215.17</v>
      </c>
      <c r="G60" s="436">
        <f t="shared" si="9"/>
        <v>3838579.9099999997</v>
      </c>
      <c r="H60" s="436">
        <f t="shared" si="9"/>
        <v>166888.97</v>
      </c>
      <c r="I60" s="436">
        <f t="shared" si="9"/>
        <v>3745.45</v>
      </c>
      <c r="J60" s="436">
        <f t="shared" si="1"/>
        <v>9502709.0899999999</v>
      </c>
      <c r="K60" s="436">
        <f>+K61+K63</f>
        <v>0</v>
      </c>
      <c r="L60" s="436" t="e">
        <f>+#REF!*100/#REF!</f>
        <v>#REF!</v>
      </c>
      <c r="M60" s="435">
        <f t="shared" si="2"/>
        <v>53066614.090000004</v>
      </c>
      <c r="N60" s="437">
        <f>G60/E60*100</f>
        <v>28.772181683493997</v>
      </c>
      <c r="P60" s="51">
        <v>2470364.7400000002</v>
      </c>
    </row>
    <row r="61" spans="1:16" x14ac:dyDescent="0.25">
      <c r="A61" s="398"/>
      <c r="B61" s="399"/>
      <c r="C61" s="44"/>
      <c r="D61" s="44"/>
      <c r="E61" s="44"/>
      <c r="F61" s="44"/>
      <c r="G61" s="44"/>
      <c r="H61" s="44"/>
      <c r="I61" s="44"/>
      <c r="J61" s="44"/>
      <c r="K61" s="400"/>
      <c r="L61" s="401"/>
      <c r="M61" s="402"/>
      <c r="N61" s="25"/>
    </row>
    <row r="62" spans="1:16" x14ac:dyDescent="0.25">
      <c r="A62" s="753" t="s">
        <v>577</v>
      </c>
      <c r="B62" s="753"/>
      <c r="E62" s="1" t="s">
        <v>6</v>
      </c>
      <c r="P62" s="51"/>
    </row>
    <row r="63" spans="1:16" x14ac:dyDescent="0.25">
      <c r="A63" s="10"/>
      <c r="B63" s="12"/>
      <c r="I63" t="s">
        <v>6</v>
      </c>
    </row>
    <row r="64" spans="1:16" x14ac:dyDescent="0.25">
      <c r="B64" s="76">
        <v>0</v>
      </c>
      <c r="C64" s="71" t="s">
        <v>6</v>
      </c>
    </row>
    <row r="65" spans="2:4" x14ac:dyDescent="0.25">
      <c r="B65" s="79"/>
      <c r="C65" s="72"/>
      <c r="D65" s="72"/>
    </row>
    <row r="66" spans="2:4" x14ac:dyDescent="0.25">
      <c r="B66" s="75"/>
      <c r="C66" s="78"/>
    </row>
    <row r="67" spans="2:4" x14ac:dyDescent="0.25">
      <c r="B67" s="77"/>
      <c r="C67" s="74"/>
      <c r="D67" s="74"/>
    </row>
    <row r="68" spans="2:4" x14ac:dyDescent="0.25">
      <c r="B68" s="75"/>
      <c r="C68" s="76"/>
    </row>
    <row r="69" spans="2:4" x14ac:dyDescent="0.25">
      <c r="B69" s="77"/>
      <c r="C69" s="77"/>
      <c r="D69" s="77"/>
    </row>
    <row r="70" spans="2:4" x14ac:dyDescent="0.25">
      <c r="B70" s="75"/>
      <c r="C70" s="73"/>
    </row>
    <row r="71" spans="2:4" x14ac:dyDescent="0.25">
      <c r="B71" s="77"/>
      <c r="C71" s="74"/>
      <c r="D71" s="74"/>
    </row>
    <row r="72" spans="2:4" x14ac:dyDescent="0.25">
      <c r="B72" s="75"/>
      <c r="C72" s="76"/>
    </row>
    <row r="73" spans="2:4" x14ac:dyDescent="0.25">
      <c r="B73" s="77"/>
      <c r="C73" s="77"/>
      <c r="D73" s="77"/>
    </row>
    <row r="74" spans="2:4" x14ac:dyDescent="0.25">
      <c r="B74" s="75"/>
      <c r="C74" s="73"/>
    </row>
    <row r="75" spans="2:4" x14ac:dyDescent="0.25">
      <c r="B75" s="77"/>
      <c r="C75" s="74"/>
      <c r="D75" s="74"/>
    </row>
    <row r="76" spans="2:4" x14ac:dyDescent="0.25">
      <c r="B76" s="75"/>
      <c r="C76" s="76"/>
    </row>
    <row r="77" spans="2:4" x14ac:dyDescent="0.25">
      <c r="B77" s="77"/>
      <c r="C77" s="77"/>
      <c r="D77" s="77"/>
    </row>
    <row r="78" spans="2:4" x14ac:dyDescent="0.25">
      <c r="B78" s="75"/>
      <c r="C78" s="76"/>
    </row>
    <row r="79" spans="2:4" x14ac:dyDescent="0.25">
      <c r="B79" s="77"/>
      <c r="C79" s="77"/>
      <c r="D79" s="77"/>
    </row>
    <row r="80" spans="2:4" x14ac:dyDescent="0.25">
      <c r="B80" s="75"/>
      <c r="C80" s="76"/>
    </row>
    <row r="81" spans="1:11" x14ac:dyDescent="0.25">
      <c r="B81" s="77"/>
      <c r="C81" s="77"/>
      <c r="D81" s="77"/>
    </row>
    <row r="82" spans="1:11" x14ac:dyDescent="0.25">
      <c r="B82" s="75"/>
      <c r="C82" s="76"/>
    </row>
    <row r="83" spans="1:11" x14ac:dyDescent="0.25">
      <c r="A83" s="742"/>
      <c r="B83" s="12"/>
    </row>
    <row r="84" spans="1:11" x14ac:dyDescent="0.25">
      <c r="A84" s="742"/>
      <c r="B84" s="12"/>
    </row>
    <row r="85" spans="1:11" x14ac:dyDescent="0.25">
      <c r="A85" s="10"/>
      <c r="B85" s="12"/>
    </row>
    <row r="86" spans="1:11" x14ac:dyDescent="0.25">
      <c r="A86" s="10"/>
      <c r="B86" s="12"/>
    </row>
    <row r="87" spans="1:11" x14ac:dyDescent="0.25">
      <c r="A87" s="13"/>
      <c r="B87" s="12"/>
    </row>
    <row r="88" spans="1:11" x14ac:dyDescent="0.25">
      <c r="A88" s="13"/>
      <c r="B88" s="12"/>
    </row>
    <row r="89" spans="1:11" x14ac:dyDescent="0.25">
      <c r="A89" s="13"/>
      <c r="B89" s="12"/>
    </row>
    <row r="90" spans="1:11" x14ac:dyDescent="0.25">
      <c r="A90" s="13"/>
      <c r="B90" s="12"/>
    </row>
    <row r="91" spans="1:11" ht="14.25" thickBot="1" x14ac:dyDescent="0.3">
      <c r="A91" s="10"/>
      <c r="B91" s="12"/>
    </row>
    <row r="92" spans="1:11" ht="14.25" thickTop="1" x14ac:dyDescent="0.25">
      <c r="A92" s="10"/>
      <c r="B92" s="80"/>
      <c r="C92" s="14"/>
      <c r="D92" s="9"/>
      <c r="E92" s="9"/>
      <c r="F92" s="9"/>
      <c r="G92" s="9"/>
      <c r="H92" s="9"/>
      <c r="I92" s="9"/>
      <c r="J92" s="9"/>
      <c r="K92" s="11"/>
    </row>
    <row r="93" spans="1:11" x14ac:dyDescent="0.25">
      <c r="A93" s="5"/>
      <c r="B93" s="2"/>
      <c r="C93" s="5"/>
      <c r="D93" s="5"/>
      <c r="E93" s="5"/>
      <c r="F93" s="5"/>
      <c r="G93" s="5"/>
      <c r="H93" s="5"/>
      <c r="I93" s="5"/>
      <c r="J93" s="5"/>
      <c r="K93" s="15"/>
    </row>
    <row r="94" spans="1:11" x14ac:dyDescent="0.25">
      <c r="A94" s="5"/>
      <c r="B94" s="2"/>
      <c r="C94" s="5"/>
      <c r="D94" s="5"/>
      <c r="E94" s="5"/>
      <c r="F94" s="5"/>
      <c r="G94" s="5"/>
      <c r="H94" s="5"/>
      <c r="I94" s="5"/>
      <c r="J94" s="5"/>
      <c r="K94" s="15"/>
    </row>
    <row r="95" spans="1:11" x14ac:dyDescent="0.25">
      <c r="A95" s="5"/>
      <c r="B95" s="2"/>
      <c r="C95" s="5"/>
      <c r="D95" s="5"/>
      <c r="E95" s="5"/>
      <c r="F95" s="5"/>
      <c r="G95" s="5"/>
      <c r="H95" s="5"/>
      <c r="I95" s="5"/>
      <c r="J95" s="5"/>
      <c r="K95" s="15"/>
    </row>
    <row r="96" spans="1:11" x14ac:dyDescent="0.25">
      <c r="A96" s="5"/>
      <c r="B96" s="2"/>
      <c r="C96" s="5"/>
      <c r="D96" s="5"/>
      <c r="E96" s="5"/>
      <c r="F96" s="5"/>
      <c r="G96" s="5"/>
      <c r="H96" s="5"/>
      <c r="I96" s="5"/>
      <c r="J96" s="5"/>
      <c r="K96" s="15"/>
    </row>
    <row r="97" spans="1:11" x14ac:dyDescent="0.25">
      <c r="A97" s="5"/>
      <c r="B97" s="2"/>
      <c r="C97" s="5"/>
      <c r="D97" s="5"/>
      <c r="E97" s="5"/>
      <c r="F97" s="5"/>
      <c r="G97" s="5"/>
      <c r="H97" s="5"/>
      <c r="I97" s="5"/>
      <c r="J97" s="5"/>
      <c r="K97" s="15"/>
    </row>
    <row r="98" spans="1:11" x14ac:dyDescent="0.25">
      <c r="A98" s="5"/>
      <c r="B98" s="2"/>
      <c r="C98" s="5"/>
      <c r="D98" s="5"/>
      <c r="E98" s="5"/>
      <c r="F98" s="5"/>
      <c r="G98" s="5"/>
      <c r="H98" s="5"/>
      <c r="I98" s="5"/>
      <c r="J98" s="5"/>
      <c r="K98" s="15"/>
    </row>
    <row r="99" spans="1:11" x14ac:dyDescent="0.25">
      <c r="A99" s="5"/>
      <c r="B99" s="2"/>
      <c r="C99" s="5"/>
      <c r="D99" s="5"/>
      <c r="E99" s="5"/>
      <c r="F99" s="5"/>
      <c r="G99" s="5"/>
      <c r="H99" s="5"/>
      <c r="I99" s="5"/>
      <c r="J99" s="5"/>
      <c r="K99" s="15"/>
    </row>
    <row r="100" spans="1:11" x14ac:dyDescent="0.25">
      <c r="A100" s="5"/>
      <c r="B100" s="2"/>
      <c r="C100" s="5"/>
      <c r="D100" s="5"/>
      <c r="E100" s="5"/>
      <c r="F100" s="5"/>
      <c r="G100" s="5"/>
      <c r="H100" s="5"/>
      <c r="I100" s="5"/>
      <c r="J100" s="5"/>
      <c r="K100" s="15"/>
    </row>
    <row r="101" spans="1:11" x14ac:dyDescent="0.25">
      <c r="A101" s="5"/>
      <c r="B101" s="2"/>
      <c r="C101" s="5"/>
      <c r="D101" s="5"/>
      <c r="E101" s="5"/>
      <c r="F101" s="5"/>
      <c r="G101" s="5"/>
      <c r="H101" s="5"/>
      <c r="I101" s="5"/>
      <c r="J101" s="5"/>
      <c r="K101" s="15"/>
    </row>
    <row r="102" spans="1:11" x14ac:dyDescent="0.25">
      <c r="A102" s="5"/>
      <c r="B102" s="2"/>
      <c r="C102" s="5"/>
      <c r="D102" s="5"/>
      <c r="E102" s="5"/>
      <c r="F102" s="5"/>
      <c r="G102" s="5"/>
      <c r="H102" s="5"/>
      <c r="I102" s="5"/>
      <c r="J102" s="5"/>
      <c r="K102" s="15"/>
    </row>
    <row r="103" spans="1:11" x14ac:dyDescent="0.25">
      <c r="A103" s="5"/>
      <c r="B103" s="2"/>
      <c r="C103" s="5"/>
      <c r="D103" s="5"/>
      <c r="E103" s="5"/>
      <c r="F103" s="5"/>
      <c r="G103" s="5"/>
      <c r="H103" s="5"/>
      <c r="I103" s="5"/>
      <c r="J103" s="5"/>
      <c r="K103" s="15"/>
    </row>
    <row r="104" spans="1:11" x14ac:dyDescent="0.25">
      <c r="A104" s="5"/>
      <c r="B104" s="2"/>
      <c r="C104" s="5"/>
      <c r="D104" s="5"/>
      <c r="E104" s="5"/>
      <c r="F104" s="5"/>
      <c r="G104" s="5"/>
      <c r="H104" s="5"/>
      <c r="I104" s="5"/>
      <c r="J104" s="5"/>
      <c r="K104" s="15"/>
    </row>
    <row r="105" spans="1:11" x14ac:dyDescent="0.25">
      <c r="A105" s="5"/>
      <c r="B105" s="2"/>
      <c r="C105" s="5"/>
      <c r="D105" s="5"/>
      <c r="E105" s="5"/>
      <c r="F105" s="5"/>
      <c r="G105" s="5"/>
      <c r="H105" s="5"/>
      <c r="I105" s="5"/>
      <c r="J105" s="5"/>
      <c r="K105" s="15"/>
    </row>
    <row r="106" spans="1:11" x14ac:dyDescent="0.25">
      <c r="A106" s="5"/>
      <c r="B106" s="2"/>
      <c r="C106" s="5"/>
      <c r="D106" s="5"/>
      <c r="E106" s="5"/>
      <c r="F106" s="5"/>
      <c r="G106" s="5"/>
      <c r="H106" s="5"/>
      <c r="I106" s="5"/>
      <c r="J106" s="5"/>
      <c r="K106" s="15"/>
    </row>
    <row r="107" spans="1:11" x14ac:dyDescent="0.25">
      <c r="A107" s="5"/>
      <c r="B107" s="2"/>
      <c r="C107" s="5"/>
      <c r="D107" s="5"/>
      <c r="E107" s="5"/>
      <c r="F107" s="5"/>
      <c r="G107" s="5"/>
      <c r="H107" s="5"/>
      <c r="I107" s="5"/>
      <c r="J107" s="5"/>
      <c r="K107" s="15"/>
    </row>
    <row r="108" spans="1:11" x14ac:dyDescent="0.25">
      <c r="A108" s="5"/>
      <c r="B108" s="2"/>
      <c r="C108" s="5"/>
      <c r="D108" s="5"/>
      <c r="E108" s="5"/>
      <c r="F108" s="5"/>
      <c r="G108" s="5"/>
      <c r="H108" s="5"/>
      <c r="I108" s="5"/>
      <c r="J108" s="5"/>
      <c r="K108" s="15"/>
    </row>
    <row r="109" spans="1:11" x14ac:dyDescent="0.25">
      <c r="A109" s="5"/>
      <c r="B109" s="2"/>
      <c r="C109" s="5"/>
      <c r="D109" s="5"/>
      <c r="E109" s="5"/>
      <c r="F109" s="5"/>
      <c r="G109" s="5"/>
      <c r="H109" s="5"/>
      <c r="I109" s="5"/>
      <c r="J109" s="5"/>
      <c r="K109" s="15"/>
    </row>
    <row r="110" spans="1:11" x14ac:dyDescent="0.25">
      <c r="A110" s="5"/>
      <c r="B110" s="2"/>
      <c r="C110" s="5"/>
      <c r="D110" s="5"/>
      <c r="E110" s="5"/>
      <c r="F110" s="5"/>
      <c r="G110" s="5"/>
      <c r="H110" s="5"/>
      <c r="I110" s="5"/>
      <c r="J110" s="5"/>
      <c r="K110" s="15"/>
    </row>
    <row r="111" spans="1:11" x14ac:dyDescent="0.25">
      <c r="A111" s="5"/>
      <c r="B111" s="2"/>
      <c r="C111" s="5"/>
      <c r="D111" s="5"/>
      <c r="E111" s="5"/>
      <c r="F111" s="5"/>
      <c r="G111" s="5"/>
      <c r="H111" s="5"/>
      <c r="I111" s="5"/>
      <c r="J111" s="5"/>
      <c r="K111" s="15"/>
    </row>
    <row r="112" spans="1:11" x14ac:dyDescent="0.25">
      <c r="A112" s="5"/>
      <c r="B112" s="2"/>
      <c r="C112" s="5"/>
      <c r="D112" s="5"/>
      <c r="E112" s="5"/>
      <c r="F112" s="5"/>
      <c r="G112" s="5"/>
      <c r="H112" s="5"/>
      <c r="I112" s="5"/>
      <c r="J112" s="5"/>
      <c r="K112" s="15"/>
    </row>
    <row r="113" spans="1:14" x14ac:dyDescent="0.25">
      <c r="A113" s="5"/>
      <c r="B113" s="2"/>
      <c r="C113" s="5"/>
      <c r="D113" s="5"/>
      <c r="E113" s="5"/>
      <c r="F113" s="5"/>
      <c r="G113" s="5"/>
      <c r="H113" s="5"/>
      <c r="I113" s="5"/>
      <c r="J113" s="5"/>
      <c r="K113" s="15"/>
    </row>
    <row r="114" spans="1:14" x14ac:dyDescent="0.25">
      <c r="A114" s="5"/>
      <c r="B114" s="2"/>
      <c r="C114" s="5"/>
      <c r="D114" s="5"/>
      <c r="E114" s="5"/>
      <c r="F114" s="5"/>
      <c r="G114" s="5"/>
      <c r="H114" s="5"/>
      <c r="I114" s="5"/>
      <c r="J114" s="5"/>
      <c r="K114" s="15"/>
      <c r="L114" s="21"/>
      <c r="M114" s="8" t="s">
        <v>6</v>
      </c>
      <c r="N114" s="17"/>
    </row>
    <row r="115" spans="1:14" x14ac:dyDescent="0.25">
      <c r="A115" s="5"/>
      <c r="B115" s="2"/>
      <c r="C115" s="5"/>
      <c r="D115" s="5"/>
      <c r="E115" s="5"/>
      <c r="F115" s="5"/>
      <c r="G115" s="5"/>
      <c r="H115" s="5"/>
      <c r="I115" s="5"/>
      <c r="J115" s="5"/>
      <c r="K115" s="15"/>
      <c r="L115" s="21"/>
      <c r="M115" s="8" t="s">
        <v>6</v>
      </c>
      <c r="N115" s="17"/>
    </row>
    <row r="116" spans="1:14" x14ac:dyDescent="0.25">
      <c r="A116" s="5"/>
      <c r="B116" s="2"/>
      <c r="C116" s="5"/>
      <c r="D116" s="5"/>
      <c r="E116" s="5"/>
      <c r="F116" s="5"/>
      <c r="G116" s="5"/>
      <c r="H116" s="5"/>
      <c r="I116" s="5"/>
      <c r="J116" s="5"/>
      <c r="K116" s="15"/>
      <c r="L116" s="21"/>
      <c r="M116" s="8" t="s">
        <v>6</v>
      </c>
      <c r="N116" s="17"/>
    </row>
    <row r="117" spans="1:14" x14ac:dyDescent="0.25">
      <c r="A117" s="5"/>
      <c r="B117" s="2"/>
      <c r="C117" s="5"/>
      <c r="D117" s="5"/>
      <c r="E117" s="5"/>
      <c r="F117" s="5"/>
      <c r="G117" s="5"/>
      <c r="H117" s="5"/>
      <c r="I117" s="5"/>
      <c r="J117" s="5"/>
      <c r="K117" s="15"/>
      <c r="L117" s="21"/>
      <c r="M117" s="8" t="s">
        <v>6</v>
      </c>
      <c r="N117" s="17"/>
    </row>
    <row r="118" spans="1:14" x14ac:dyDescent="0.25">
      <c r="A118" s="5"/>
      <c r="B118" s="2"/>
      <c r="C118" s="5"/>
      <c r="D118" s="5"/>
      <c r="E118" s="5"/>
      <c r="F118" s="5"/>
      <c r="G118" s="5"/>
      <c r="H118" s="5"/>
      <c r="I118" s="5"/>
      <c r="J118" s="5"/>
      <c r="K118" s="15"/>
      <c r="L118" s="21"/>
      <c r="M118" s="8" t="s">
        <v>6</v>
      </c>
      <c r="N118" s="17"/>
    </row>
    <row r="119" spans="1:14" x14ac:dyDescent="0.25">
      <c r="A119" s="5"/>
      <c r="B119" s="2"/>
      <c r="C119" s="5"/>
      <c r="D119" s="5"/>
      <c r="E119" s="5"/>
      <c r="F119" s="5"/>
      <c r="G119" s="5"/>
      <c r="H119" s="5"/>
      <c r="I119" s="5"/>
      <c r="J119" s="5"/>
      <c r="K119" s="15"/>
      <c r="L119" s="21"/>
      <c r="M119" s="8" t="s">
        <v>6</v>
      </c>
      <c r="N119" s="17"/>
    </row>
    <row r="120" spans="1:14" x14ac:dyDescent="0.25">
      <c r="A120" s="5"/>
      <c r="B120" s="2"/>
      <c r="C120" s="5"/>
      <c r="D120" s="5"/>
      <c r="E120" s="5"/>
      <c r="F120" s="5"/>
      <c r="G120" s="5"/>
      <c r="H120" s="5"/>
      <c r="I120" s="5"/>
      <c r="J120" s="5"/>
      <c r="K120" s="15"/>
      <c r="L120" s="21"/>
      <c r="M120" s="8" t="s">
        <v>6</v>
      </c>
      <c r="N120" s="17"/>
    </row>
    <row r="121" spans="1:14" x14ac:dyDescent="0.25">
      <c r="A121" s="5"/>
      <c r="B121" s="2"/>
      <c r="C121" s="5"/>
      <c r="D121" s="5"/>
      <c r="E121" s="5"/>
      <c r="F121" s="5"/>
      <c r="G121" s="5"/>
      <c r="H121" s="5"/>
      <c r="I121" s="5"/>
      <c r="J121" s="5"/>
      <c r="K121" s="15"/>
      <c r="L121" s="21"/>
      <c r="M121" s="8" t="s">
        <v>6</v>
      </c>
      <c r="N121" s="17"/>
    </row>
    <row r="122" spans="1:14" x14ac:dyDescent="0.25">
      <c r="A122" s="5"/>
      <c r="B122" s="2"/>
      <c r="C122" s="5"/>
      <c r="D122" s="5"/>
      <c r="E122" s="5"/>
      <c r="F122" s="5"/>
      <c r="G122" s="5"/>
      <c r="H122" s="5"/>
      <c r="I122" s="5"/>
      <c r="J122" s="5"/>
      <c r="K122" s="15"/>
      <c r="L122" s="21"/>
      <c r="M122" s="8" t="s">
        <v>6</v>
      </c>
      <c r="N122" s="17"/>
    </row>
    <row r="123" spans="1:14" x14ac:dyDescent="0.25">
      <c r="A123" s="5"/>
      <c r="B123" s="2"/>
      <c r="C123" s="5"/>
      <c r="D123" s="5"/>
      <c r="E123" s="5"/>
      <c r="F123" s="5"/>
      <c r="G123" s="5"/>
      <c r="H123" s="5"/>
      <c r="I123" s="5"/>
      <c r="J123" s="5"/>
      <c r="K123" s="16"/>
      <c r="L123" s="21"/>
      <c r="M123" s="8" t="s">
        <v>6</v>
      </c>
      <c r="N123" s="17"/>
    </row>
    <row r="124" spans="1:14" x14ac:dyDescent="0.25">
      <c r="A124" s="5"/>
      <c r="B124" s="2"/>
      <c r="C124" s="5"/>
      <c r="D124" s="5"/>
      <c r="E124" s="5"/>
      <c r="F124" s="5"/>
      <c r="G124" s="5"/>
      <c r="H124" s="5"/>
      <c r="I124" s="5"/>
      <c r="J124" s="5"/>
      <c r="K124" s="16"/>
      <c r="L124" s="21"/>
      <c r="M124" s="8" t="s">
        <v>6</v>
      </c>
      <c r="N124" s="17"/>
    </row>
    <row r="125" spans="1:14" x14ac:dyDescent="0.25">
      <c r="A125" s="5"/>
      <c r="B125" s="2"/>
      <c r="C125" s="5"/>
      <c r="D125" s="5"/>
      <c r="E125" s="5"/>
      <c r="F125" s="5"/>
      <c r="G125" s="5"/>
      <c r="H125" s="5"/>
      <c r="I125" s="5"/>
      <c r="J125" s="5"/>
      <c r="K125" s="16"/>
      <c r="L125" s="21"/>
      <c r="M125" s="8" t="s">
        <v>6</v>
      </c>
      <c r="N125" s="17"/>
    </row>
    <row r="126" spans="1:14" x14ac:dyDescent="0.25">
      <c r="A126" s="5"/>
      <c r="B126" s="2"/>
      <c r="C126" s="5"/>
      <c r="D126" s="5"/>
      <c r="E126" s="5"/>
      <c r="F126" s="5"/>
      <c r="G126" s="5"/>
      <c r="H126" s="5"/>
      <c r="I126" s="5"/>
      <c r="J126" s="5"/>
      <c r="K126" s="16"/>
      <c r="L126" s="21"/>
      <c r="M126" s="8" t="s">
        <v>6</v>
      </c>
      <c r="N126" s="17"/>
    </row>
    <row r="127" spans="1:14" x14ac:dyDescent="0.25">
      <c r="A127" s="5"/>
      <c r="B127" s="2"/>
      <c r="C127" s="5"/>
      <c r="D127" s="5"/>
      <c r="E127" s="5"/>
      <c r="F127" s="5"/>
      <c r="G127" s="5"/>
      <c r="H127" s="5"/>
      <c r="I127" s="5"/>
      <c r="J127" s="5"/>
      <c r="K127" s="16"/>
      <c r="L127" s="21"/>
      <c r="M127" s="8" t="s">
        <v>6</v>
      </c>
      <c r="N127" s="17"/>
    </row>
    <row r="128" spans="1:14" x14ac:dyDescent="0.25">
      <c r="A128" s="5"/>
      <c r="B128" s="2"/>
      <c r="C128" s="5"/>
      <c r="D128" s="5"/>
      <c r="E128" s="5"/>
      <c r="F128" s="5"/>
      <c r="G128" s="5"/>
      <c r="H128" s="5"/>
      <c r="I128" s="5"/>
      <c r="J128" s="5"/>
      <c r="K128" s="16"/>
      <c r="L128" s="21"/>
      <c r="M128" s="8" t="s">
        <v>6</v>
      </c>
      <c r="N128" s="17"/>
    </row>
    <row r="129" spans="1:14" x14ac:dyDescent="0.25">
      <c r="A129" s="5"/>
      <c r="B129" s="2"/>
      <c r="C129" s="5"/>
      <c r="D129" s="5"/>
      <c r="E129" s="5"/>
      <c r="F129" s="5"/>
      <c r="G129" s="5"/>
      <c r="H129" s="5"/>
      <c r="I129" s="5"/>
      <c r="J129" s="5"/>
      <c r="K129" s="16"/>
      <c r="L129" s="21"/>
      <c r="M129" s="8" t="s">
        <v>6</v>
      </c>
      <c r="N129" s="17"/>
    </row>
    <row r="130" spans="1:14" x14ac:dyDescent="0.25">
      <c r="B130" s="12"/>
      <c r="K130" s="8"/>
      <c r="L130" s="22"/>
      <c r="M130" s="8" t="s">
        <v>6</v>
      </c>
      <c r="N130" s="17"/>
    </row>
    <row r="131" spans="1:14" x14ac:dyDescent="0.25">
      <c r="B131" s="12"/>
      <c r="K131" s="8"/>
      <c r="L131" s="22"/>
      <c r="M131" s="8" t="s">
        <v>6</v>
      </c>
      <c r="N131" s="17"/>
    </row>
    <row r="132" spans="1:14" x14ac:dyDescent="0.25">
      <c r="B132" s="12"/>
      <c r="K132" s="8"/>
      <c r="L132" s="22"/>
      <c r="M132" s="8" t="s">
        <v>6</v>
      </c>
      <c r="N132" s="17"/>
    </row>
    <row r="133" spans="1:14" x14ac:dyDescent="0.25">
      <c r="B133" s="12"/>
      <c r="K133" s="8"/>
      <c r="L133" s="22"/>
      <c r="M133" s="8" t="s">
        <v>6</v>
      </c>
      <c r="N133" s="17"/>
    </row>
    <row r="134" spans="1:14" x14ac:dyDescent="0.25">
      <c r="B134" s="12"/>
      <c r="K134" s="8"/>
      <c r="L134" s="22"/>
      <c r="M134" s="8" t="s">
        <v>6</v>
      </c>
      <c r="N134" s="17"/>
    </row>
    <row r="135" spans="1:14" x14ac:dyDescent="0.25">
      <c r="B135" s="12"/>
      <c r="K135" s="8"/>
      <c r="L135" s="22"/>
      <c r="M135" s="8" t="s">
        <v>6</v>
      </c>
      <c r="N135" s="17"/>
    </row>
    <row r="136" spans="1:14" x14ac:dyDescent="0.25">
      <c r="B136" s="12"/>
      <c r="K136" s="8"/>
      <c r="L136" s="22"/>
      <c r="M136" s="8" t="s">
        <v>6</v>
      </c>
      <c r="N136" s="17"/>
    </row>
    <row r="137" spans="1:14" x14ac:dyDescent="0.25">
      <c r="B137" s="12"/>
      <c r="K137" s="8"/>
      <c r="L137" s="22"/>
      <c r="M137" s="8" t="s">
        <v>6</v>
      </c>
      <c r="N137" s="17"/>
    </row>
    <row r="138" spans="1:14" x14ac:dyDescent="0.25">
      <c r="B138" s="12"/>
      <c r="K138" s="8"/>
      <c r="L138" s="22"/>
      <c r="M138" s="8" t="s">
        <v>6</v>
      </c>
      <c r="N138" s="17"/>
    </row>
    <row r="139" spans="1:14" x14ac:dyDescent="0.25">
      <c r="B139" s="12"/>
      <c r="K139" s="8"/>
      <c r="L139" s="22"/>
      <c r="M139" s="8" t="s">
        <v>6</v>
      </c>
      <c r="N139" s="17"/>
    </row>
    <row r="140" spans="1:14" x14ac:dyDescent="0.25">
      <c r="B140" s="12"/>
      <c r="K140" s="8"/>
      <c r="L140" s="22"/>
      <c r="M140" s="8" t="s">
        <v>6</v>
      </c>
      <c r="N140" s="17"/>
    </row>
    <row r="141" spans="1:14" x14ac:dyDescent="0.25">
      <c r="B141" s="12"/>
      <c r="K141" s="8"/>
      <c r="L141" s="22"/>
      <c r="M141" s="8" t="s">
        <v>6</v>
      </c>
      <c r="N141" s="17"/>
    </row>
    <row r="142" spans="1:14" x14ac:dyDescent="0.25">
      <c r="B142" s="12"/>
      <c r="K142" s="8"/>
      <c r="L142" s="22"/>
      <c r="M142" s="8" t="s">
        <v>6</v>
      </c>
      <c r="N142" s="17"/>
    </row>
    <row r="143" spans="1:14" x14ac:dyDescent="0.25">
      <c r="B143" s="12"/>
      <c r="K143" s="8"/>
      <c r="L143" s="22"/>
      <c r="M143" s="8" t="s">
        <v>6</v>
      </c>
      <c r="N143" s="17"/>
    </row>
    <row r="144" spans="1:14" x14ac:dyDescent="0.25">
      <c r="B144" s="12"/>
      <c r="K144" s="8"/>
      <c r="L144" s="22"/>
      <c r="M144" s="8" t="s">
        <v>6</v>
      </c>
      <c r="N144" s="17"/>
    </row>
    <row r="145" spans="2:14" x14ac:dyDescent="0.25">
      <c r="B145" s="12"/>
      <c r="K145" s="8"/>
      <c r="L145" s="22"/>
      <c r="M145" s="8" t="s">
        <v>6</v>
      </c>
      <c r="N145" s="17"/>
    </row>
    <row r="146" spans="2:14" x14ac:dyDescent="0.25">
      <c r="B146" s="12"/>
      <c r="K146" s="8"/>
      <c r="L146" s="22"/>
      <c r="M146" s="8" t="s">
        <v>6</v>
      </c>
      <c r="N146" s="17"/>
    </row>
    <row r="147" spans="2:14" x14ac:dyDescent="0.25">
      <c r="B147" s="12"/>
      <c r="K147" s="8"/>
      <c r="L147" s="22"/>
      <c r="M147" s="8" t="s">
        <v>6</v>
      </c>
      <c r="N147" s="17"/>
    </row>
    <row r="148" spans="2:14" x14ac:dyDescent="0.25">
      <c r="B148" s="12"/>
      <c r="K148" s="8"/>
      <c r="L148" s="22"/>
      <c r="M148" s="8" t="s">
        <v>6</v>
      </c>
      <c r="N148" s="17"/>
    </row>
    <row r="149" spans="2:14" x14ac:dyDescent="0.25">
      <c r="B149" s="12"/>
      <c r="K149" s="8"/>
      <c r="L149" s="22"/>
      <c r="M149" s="8" t="s">
        <v>6</v>
      </c>
      <c r="N149" s="18"/>
    </row>
    <row r="150" spans="2:14" x14ac:dyDescent="0.25">
      <c r="B150" s="12"/>
      <c r="K150" s="8"/>
      <c r="L150" s="22"/>
      <c r="M150" s="8" t="s">
        <v>6</v>
      </c>
      <c r="N150" s="18"/>
    </row>
    <row r="151" spans="2:14" x14ac:dyDescent="0.25">
      <c r="B151" s="12"/>
      <c r="K151" s="8"/>
      <c r="L151" s="22"/>
      <c r="M151" s="8" t="s">
        <v>6</v>
      </c>
      <c r="N151" s="18"/>
    </row>
    <row r="152" spans="2:14" x14ac:dyDescent="0.25">
      <c r="B152" s="12"/>
      <c r="K152" s="8"/>
      <c r="L152" s="22"/>
      <c r="M152" s="8" t="s">
        <v>6</v>
      </c>
      <c r="N152" s="18"/>
    </row>
    <row r="153" spans="2:14" x14ac:dyDescent="0.25">
      <c r="B153" s="12"/>
      <c r="K153" s="8"/>
      <c r="L153" s="22"/>
      <c r="M153" s="8" t="s">
        <v>6</v>
      </c>
      <c r="N153" s="18"/>
    </row>
    <row r="154" spans="2:14" x14ac:dyDescent="0.25">
      <c r="B154" s="12"/>
      <c r="K154" s="8"/>
      <c r="L154" s="22"/>
      <c r="M154" s="8" t="s">
        <v>6</v>
      </c>
      <c r="N154" s="18"/>
    </row>
    <row r="155" spans="2:14" x14ac:dyDescent="0.25">
      <c r="B155" s="12"/>
      <c r="K155" s="8"/>
      <c r="L155" s="22"/>
      <c r="M155" s="8" t="s">
        <v>6</v>
      </c>
      <c r="N155" s="18"/>
    </row>
    <row r="156" spans="2:14" x14ac:dyDescent="0.25">
      <c r="B156" s="12"/>
      <c r="K156" s="8"/>
      <c r="L156" s="22"/>
      <c r="M156" s="8" t="s">
        <v>6</v>
      </c>
      <c r="N156" s="18"/>
    </row>
    <row r="157" spans="2:14" x14ac:dyDescent="0.25">
      <c r="B157" s="12"/>
      <c r="K157" s="8"/>
      <c r="L157" s="22"/>
      <c r="M157" s="8" t="s">
        <v>6</v>
      </c>
      <c r="N157" s="18"/>
    </row>
    <row r="158" spans="2:14" x14ac:dyDescent="0.25">
      <c r="B158" s="12"/>
      <c r="K158" s="8"/>
      <c r="L158" s="22"/>
      <c r="M158" s="8" t="s">
        <v>6</v>
      </c>
      <c r="N158" s="18"/>
    </row>
    <row r="159" spans="2:14" x14ac:dyDescent="0.25">
      <c r="B159" s="12"/>
      <c r="K159" s="8"/>
      <c r="L159" s="22"/>
      <c r="M159" s="8" t="s">
        <v>6</v>
      </c>
      <c r="N159" s="18"/>
    </row>
    <row r="160" spans="2:14" x14ac:dyDescent="0.25">
      <c r="B160" s="12"/>
      <c r="K160" s="8"/>
      <c r="L160" s="22"/>
      <c r="M160" s="8" t="s">
        <v>6</v>
      </c>
      <c r="N160" s="18"/>
    </row>
    <row r="161" spans="2:14" x14ac:dyDescent="0.25">
      <c r="B161" s="12"/>
      <c r="K161" s="8"/>
      <c r="L161" s="22"/>
      <c r="M161" s="8" t="s">
        <v>6</v>
      </c>
      <c r="N161" s="18"/>
    </row>
    <row r="162" spans="2:14" x14ac:dyDescent="0.25">
      <c r="B162" s="12"/>
      <c r="K162" s="8"/>
      <c r="L162" s="22"/>
      <c r="M162" s="8" t="s">
        <v>6</v>
      </c>
      <c r="N162" s="18"/>
    </row>
    <row r="163" spans="2:14" x14ac:dyDescent="0.25">
      <c r="B163" s="12"/>
      <c r="K163" s="8"/>
      <c r="L163" s="22"/>
      <c r="M163" s="8" t="s">
        <v>6</v>
      </c>
      <c r="N163" s="18"/>
    </row>
    <row r="164" spans="2:14" x14ac:dyDescent="0.25">
      <c r="B164" s="12"/>
      <c r="K164" s="8"/>
      <c r="L164" s="22"/>
      <c r="M164" s="8" t="s">
        <v>6</v>
      </c>
      <c r="N164" s="18"/>
    </row>
    <row r="165" spans="2:14" x14ac:dyDescent="0.25">
      <c r="B165" s="12"/>
      <c r="K165" s="8"/>
      <c r="L165" s="22"/>
      <c r="M165" s="8" t="s">
        <v>6</v>
      </c>
      <c r="N165" s="18"/>
    </row>
    <row r="166" spans="2:14" x14ac:dyDescent="0.25">
      <c r="B166" s="12"/>
      <c r="K166" s="8"/>
      <c r="L166" s="22"/>
      <c r="M166" s="8" t="s">
        <v>6</v>
      </c>
      <c r="N166" s="18"/>
    </row>
    <row r="167" spans="2:14" x14ac:dyDescent="0.25">
      <c r="B167" s="12"/>
      <c r="K167" s="8"/>
      <c r="L167" s="22"/>
      <c r="M167" s="8" t="s">
        <v>6</v>
      </c>
      <c r="N167" s="18"/>
    </row>
    <row r="168" spans="2:14" x14ac:dyDescent="0.25">
      <c r="B168" s="12"/>
      <c r="K168" s="8"/>
      <c r="L168" s="22"/>
      <c r="M168" s="8" t="s">
        <v>6</v>
      </c>
      <c r="N168" s="18"/>
    </row>
    <row r="169" spans="2:14" x14ac:dyDescent="0.25">
      <c r="B169" s="12"/>
      <c r="K169" s="8"/>
      <c r="L169" s="22"/>
      <c r="M169" s="8" t="s">
        <v>6</v>
      </c>
      <c r="N169" s="18"/>
    </row>
    <row r="170" spans="2:14" x14ac:dyDescent="0.25">
      <c r="B170" s="12"/>
      <c r="K170" s="8"/>
      <c r="L170" s="22"/>
      <c r="M170" s="8" t="s">
        <v>6</v>
      </c>
      <c r="N170" s="18"/>
    </row>
    <row r="171" spans="2:14" x14ac:dyDescent="0.25">
      <c r="B171" s="12"/>
      <c r="K171" s="8"/>
      <c r="L171" s="22"/>
      <c r="M171" s="8" t="s">
        <v>6</v>
      </c>
      <c r="N171" s="18"/>
    </row>
    <row r="172" spans="2:14" x14ac:dyDescent="0.25">
      <c r="B172" s="12"/>
      <c r="K172" s="8"/>
      <c r="L172" s="22"/>
      <c r="M172" s="8" t="s">
        <v>6</v>
      </c>
      <c r="N172" s="18"/>
    </row>
    <row r="173" spans="2:14" x14ac:dyDescent="0.25">
      <c r="B173" s="12"/>
      <c r="K173" s="8"/>
      <c r="L173" s="22"/>
      <c r="M173" s="8" t="s">
        <v>6</v>
      </c>
      <c r="N173" s="18"/>
    </row>
    <row r="174" spans="2:14" x14ac:dyDescent="0.25">
      <c r="B174" s="12"/>
      <c r="K174" s="8"/>
      <c r="L174" s="22"/>
      <c r="M174" s="8" t="s">
        <v>6</v>
      </c>
      <c r="N174" s="18"/>
    </row>
    <row r="175" spans="2:14" x14ac:dyDescent="0.25">
      <c r="B175" s="12"/>
      <c r="K175" s="8"/>
      <c r="L175" s="22"/>
      <c r="M175" s="8" t="s">
        <v>6</v>
      </c>
      <c r="N175" s="18"/>
    </row>
    <row r="176" spans="2:14" x14ac:dyDescent="0.25">
      <c r="B176" s="12"/>
      <c r="K176" s="8"/>
      <c r="L176" s="22"/>
      <c r="M176" s="8" t="s">
        <v>6</v>
      </c>
      <c r="N176" s="18"/>
    </row>
    <row r="177" spans="2:14" x14ac:dyDescent="0.25">
      <c r="B177" s="12"/>
      <c r="K177" s="8"/>
      <c r="L177" s="22"/>
      <c r="M177" s="8" t="s">
        <v>6</v>
      </c>
      <c r="N177" s="18"/>
    </row>
    <row r="178" spans="2:14" x14ac:dyDescent="0.25">
      <c r="B178" s="12"/>
      <c r="K178" s="8"/>
      <c r="L178" s="22"/>
      <c r="M178" s="8" t="s">
        <v>6</v>
      </c>
      <c r="N178" s="18"/>
    </row>
    <row r="179" spans="2:14" x14ac:dyDescent="0.25">
      <c r="B179" s="12"/>
      <c r="K179" s="8"/>
      <c r="L179" s="22"/>
      <c r="M179" s="8" t="s">
        <v>6</v>
      </c>
      <c r="N179" s="18"/>
    </row>
    <row r="180" spans="2:14" x14ac:dyDescent="0.25">
      <c r="B180" s="12"/>
      <c r="K180" s="8"/>
      <c r="L180" s="22"/>
      <c r="M180" s="8" t="s">
        <v>6</v>
      </c>
      <c r="N180" s="18"/>
    </row>
    <row r="181" spans="2:14" x14ac:dyDescent="0.25">
      <c r="B181" s="12"/>
      <c r="K181" s="8"/>
      <c r="L181" s="22"/>
      <c r="M181" s="8" t="s">
        <v>6</v>
      </c>
      <c r="N181" s="18"/>
    </row>
    <row r="182" spans="2:14" x14ac:dyDescent="0.25">
      <c r="B182" s="12"/>
      <c r="K182" s="8"/>
      <c r="L182" s="22"/>
      <c r="M182" s="8" t="s">
        <v>6</v>
      </c>
      <c r="N182" s="18"/>
    </row>
    <row r="183" spans="2:14" x14ac:dyDescent="0.25">
      <c r="B183" s="12"/>
      <c r="K183" s="8"/>
      <c r="L183" s="22"/>
      <c r="M183" s="8" t="s">
        <v>6</v>
      </c>
      <c r="N183" s="18"/>
    </row>
    <row r="184" spans="2:14" x14ac:dyDescent="0.25">
      <c r="B184" s="12"/>
      <c r="K184" s="8"/>
      <c r="L184" s="22"/>
      <c r="M184" s="8" t="s">
        <v>6</v>
      </c>
      <c r="N184" s="18"/>
    </row>
    <row r="185" spans="2:14" x14ac:dyDescent="0.25">
      <c r="B185" s="12"/>
      <c r="K185" s="8"/>
      <c r="L185" s="22"/>
      <c r="M185" s="8" t="s">
        <v>6</v>
      </c>
      <c r="N185" s="18"/>
    </row>
    <row r="186" spans="2:14" x14ac:dyDescent="0.25">
      <c r="B186" s="12"/>
      <c r="K186" s="8"/>
      <c r="L186" s="22"/>
      <c r="M186" s="8" t="s">
        <v>6</v>
      </c>
      <c r="N186" s="18"/>
    </row>
    <row r="187" spans="2:14" x14ac:dyDescent="0.25">
      <c r="B187" s="12"/>
      <c r="K187" s="8"/>
      <c r="L187" s="22"/>
      <c r="M187" s="8" t="s">
        <v>6</v>
      </c>
      <c r="N187" s="18"/>
    </row>
    <row r="188" spans="2:14" x14ac:dyDescent="0.25">
      <c r="B188" s="12"/>
      <c r="K188" s="8"/>
      <c r="L188" s="22"/>
      <c r="M188" s="8" t="s">
        <v>6</v>
      </c>
      <c r="N188" s="18"/>
    </row>
    <row r="189" spans="2:14" x14ac:dyDescent="0.25">
      <c r="B189" s="12"/>
      <c r="K189" s="8"/>
      <c r="L189" s="22"/>
      <c r="M189" s="8" t="s">
        <v>6</v>
      </c>
      <c r="N189" s="18"/>
    </row>
    <row r="190" spans="2:14" x14ac:dyDescent="0.25">
      <c r="B190" s="12"/>
      <c r="K190" s="8"/>
      <c r="L190" s="22"/>
      <c r="M190" s="8" t="s">
        <v>6</v>
      </c>
      <c r="N190" s="18"/>
    </row>
    <row r="191" spans="2:14" x14ac:dyDescent="0.25">
      <c r="B191" s="12"/>
      <c r="K191" s="8"/>
      <c r="L191" s="22"/>
      <c r="M191" s="8" t="s">
        <v>6</v>
      </c>
      <c r="N191" s="18"/>
    </row>
    <row r="192" spans="2:14" x14ac:dyDescent="0.25">
      <c r="B192" s="12"/>
      <c r="K192" s="8"/>
      <c r="L192" s="22"/>
      <c r="M192" s="8" t="s">
        <v>6</v>
      </c>
      <c r="N192" s="18"/>
    </row>
    <row r="193" spans="2:14" x14ac:dyDescent="0.25">
      <c r="B193" s="12"/>
      <c r="K193" s="8"/>
      <c r="L193" s="22"/>
      <c r="M193" s="8" t="s">
        <v>6</v>
      </c>
      <c r="N193" s="18"/>
    </row>
    <row r="194" spans="2:14" x14ac:dyDescent="0.25">
      <c r="B194" s="12"/>
      <c r="K194" s="8"/>
      <c r="L194" s="22"/>
      <c r="M194" s="8" t="s">
        <v>6</v>
      </c>
      <c r="N194" s="18"/>
    </row>
    <row r="195" spans="2:14" x14ac:dyDescent="0.25">
      <c r="B195" s="12"/>
      <c r="K195" s="8"/>
      <c r="L195" s="22"/>
      <c r="M195" s="8" t="s">
        <v>6</v>
      </c>
      <c r="N195" s="18"/>
    </row>
    <row r="196" spans="2:14" x14ac:dyDescent="0.25">
      <c r="B196" s="12"/>
      <c r="K196" s="8"/>
      <c r="L196" s="22"/>
      <c r="M196" s="8" t="s">
        <v>6</v>
      </c>
      <c r="N196" s="18"/>
    </row>
    <row r="197" spans="2:14" x14ac:dyDescent="0.25">
      <c r="B197" s="12"/>
      <c r="K197" s="8"/>
      <c r="L197" s="22"/>
      <c r="M197" s="8" t="s">
        <v>6</v>
      </c>
      <c r="N197" s="18"/>
    </row>
    <row r="198" spans="2:14" x14ac:dyDescent="0.25">
      <c r="B198" s="12"/>
      <c r="K198" s="8"/>
      <c r="L198" s="22"/>
      <c r="M198" s="8" t="s">
        <v>6</v>
      </c>
      <c r="N198" s="18"/>
    </row>
    <row r="199" spans="2:14" x14ac:dyDescent="0.25">
      <c r="B199" s="12"/>
      <c r="K199" s="8"/>
      <c r="L199" s="22"/>
      <c r="M199" s="8" t="s">
        <v>6</v>
      </c>
      <c r="N199" s="18"/>
    </row>
    <row r="200" spans="2:14" x14ac:dyDescent="0.25">
      <c r="B200" s="12"/>
      <c r="K200" s="8"/>
      <c r="L200" s="22"/>
      <c r="M200" s="8" t="s">
        <v>6</v>
      </c>
      <c r="N200" s="18"/>
    </row>
    <row r="201" spans="2:14" x14ac:dyDescent="0.25">
      <c r="B201" s="12"/>
      <c r="K201" s="8"/>
      <c r="L201" s="22"/>
      <c r="M201" s="8" t="s">
        <v>6</v>
      </c>
      <c r="N201" s="18"/>
    </row>
    <row r="202" spans="2:14" x14ac:dyDescent="0.25">
      <c r="B202" s="12"/>
      <c r="K202" s="8"/>
      <c r="L202" s="22"/>
      <c r="M202" s="8" t="s">
        <v>6</v>
      </c>
      <c r="N202" s="18"/>
    </row>
    <row r="203" spans="2:14" x14ac:dyDescent="0.25">
      <c r="B203" s="12"/>
      <c r="K203" s="8"/>
      <c r="L203" s="22"/>
      <c r="M203" s="8" t="s">
        <v>6</v>
      </c>
      <c r="N203" s="18"/>
    </row>
    <row r="204" spans="2:14" x14ac:dyDescent="0.25">
      <c r="B204" s="12"/>
      <c r="K204" s="8"/>
      <c r="L204" s="22"/>
      <c r="M204" s="8" t="s">
        <v>6</v>
      </c>
      <c r="N204" s="18"/>
    </row>
    <row r="205" spans="2:14" x14ac:dyDescent="0.25">
      <c r="B205" s="12"/>
      <c r="K205" s="8"/>
      <c r="L205" s="22"/>
      <c r="M205" s="8" t="s">
        <v>6</v>
      </c>
      <c r="N205" s="18"/>
    </row>
    <row r="206" spans="2:14" x14ac:dyDescent="0.25">
      <c r="B206" s="12"/>
      <c r="K206" s="8"/>
      <c r="L206" s="22"/>
      <c r="M206" s="8" t="s">
        <v>6</v>
      </c>
      <c r="N206" s="18"/>
    </row>
    <row r="207" spans="2:14" x14ac:dyDescent="0.25">
      <c r="B207" s="12"/>
      <c r="K207" s="8"/>
      <c r="L207" s="22"/>
      <c r="M207" s="8" t="s">
        <v>6</v>
      </c>
      <c r="N207" s="18"/>
    </row>
    <row r="208" spans="2:14" x14ac:dyDescent="0.25">
      <c r="B208" s="12"/>
      <c r="K208" s="8"/>
      <c r="L208" s="22"/>
      <c r="M208" s="8" t="s">
        <v>6</v>
      </c>
      <c r="N208" s="18"/>
    </row>
    <row r="209" spans="2:14" x14ac:dyDescent="0.25">
      <c r="B209" s="12"/>
      <c r="K209" s="8"/>
      <c r="L209" s="22"/>
      <c r="M209" s="8" t="s">
        <v>6</v>
      </c>
      <c r="N209" s="18"/>
    </row>
    <row r="210" spans="2:14" x14ac:dyDescent="0.25">
      <c r="B210" s="12"/>
      <c r="K210" s="8"/>
      <c r="L210" s="22"/>
      <c r="M210" s="8" t="s">
        <v>6</v>
      </c>
      <c r="N210" s="18"/>
    </row>
    <row r="211" spans="2:14" x14ac:dyDescent="0.25">
      <c r="B211" s="12"/>
      <c r="K211" s="8"/>
      <c r="L211" s="22"/>
      <c r="M211" s="8" t="s">
        <v>6</v>
      </c>
      <c r="N211" s="18"/>
    </row>
    <row r="212" spans="2:14" x14ac:dyDescent="0.25">
      <c r="B212" s="12"/>
      <c r="K212" s="8"/>
      <c r="L212" s="22"/>
      <c r="M212" s="8" t="s">
        <v>6</v>
      </c>
      <c r="N212" s="18"/>
    </row>
    <row r="213" spans="2:14" x14ac:dyDescent="0.25">
      <c r="B213" s="12"/>
      <c r="K213" s="8"/>
      <c r="L213" s="22"/>
      <c r="M213" s="8" t="s">
        <v>6</v>
      </c>
      <c r="N213" s="18"/>
    </row>
    <row r="214" spans="2:14" x14ac:dyDescent="0.25">
      <c r="B214" s="12"/>
      <c r="K214" s="8"/>
      <c r="L214" s="22"/>
      <c r="M214" s="8" t="s">
        <v>6</v>
      </c>
      <c r="N214" s="8"/>
    </row>
    <row r="215" spans="2:14" x14ac:dyDescent="0.25">
      <c r="B215" s="12"/>
      <c r="K215" s="8"/>
      <c r="L215" s="22"/>
      <c r="M215" s="8" t="s">
        <v>6</v>
      </c>
      <c r="N215" s="8"/>
    </row>
    <row r="216" spans="2:14" x14ac:dyDescent="0.25">
      <c r="B216" s="12"/>
      <c r="K216" s="8"/>
      <c r="L216" s="22"/>
      <c r="M216" s="8" t="s">
        <v>6</v>
      </c>
      <c r="N216" s="8"/>
    </row>
    <row r="217" spans="2:14" x14ac:dyDescent="0.25">
      <c r="B217" s="12"/>
      <c r="K217" s="8"/>
      <c r="L217" s="22"/>
      <c r="M217" s="8" t="s">
        <v>6</v>
      </c>
      <c r="N217" s="8"/>
    </row>
    <row r="218" spans="2:14" x14ac:dyDescent="0.25">
      <c r="B218" s="12"/>
      <c r="K218" s="8"/>
      <c r="L218" s="22"/>
      <c r="M218" s="8" t="s">
        <v>6</v>
      </c>
      <c r="N218" s="8"/>
    </row>
    <row r="219" spans="2:14" x14ac:dyDescent="0.25">
      <c r="B219" s="12"/>
      <c r="K219" s="8"/>
      <c r="L219" s="22"/>
      <c r="M219" s="8" t="s">
        <v>6</v>
      </c>
      <c r="N219" s="8"/>
    </row>
    <row r="220" spans="2:14" x14ac:dyDescent="0.25">
      <c r="B220" s="12"/>
      <c r="K220" s="8"/>
      <c r="L220" s="22"/>
      <c r="M220" s="8" t="s">
        <v>6</v>
      </c>
      <c r="N220" s="8"/>
    </row>
    <row r="221" spans="2:14" x14ac:dyDescent="0.25">
      <c r="B221" s="12"/>
      <c r="K221" s="8"/>
      <c r="L221" s="22"/>
      <c r="M221" s="8" t="s">
        <v>6</v>
      </c>
      <c r="N221" s="8"/>
    </row>
    <row r="222" spans="2:14" x14ac:dyDescent="0.25">
      <c r="B222" s="12"/>
      <c r="K222" s="8"/>
      <c r="L222" s="22"/>
      <c r="M222" s="8" t="s">
        <v>6</v>
      </c>
      <c r="N222" s="8"/>
    </row>
    <row r="223" spans="2:14" x14ac:dyDescent="0.25">
      <c r="B223" s="12"/>
      <c r="K223" s="8"/>
      <c r="L223" s="22"/>
      <c r="M223" s="8" t="s">
        <v>6</v>
      </c>
      <c r="N223" s="8"/>
    </row>
    <row r="224" spans="2:14" x14ac:dyDescent="0.25">
      <c r="B224" s="12"/>
      <c r="K224" s="8"/>
      <c r="L224" s="22"/>
      <c r="M224" s="8" t="s">
        <v>6</v>
      </c>
      <c r="N224" s="8"/>
    </row>
    <row r="225" spans="2:14" x14ac:dyDescent="0.25">
      <c r="B225" s="12"/>
      <c r="K225" s="8"/>
      <c r="L225" s="22"/>
      <c r="M225" s="8" t="s">
        <v>6</v>
      </c>
      <c r="N225" s="8"/>
    </row>
    <row r="226" spans="2:14" x14ac:dyDescent="0.25">
      <c r="B226" s="12"/>
      <c r="K226" s="8"/>
      <c r="L226" s="22"/>
      <c r="M226" s="8" t="s">
        <v>6</v>
      </c>
      <c r="N226" s="8"/>
    </row>
    <row r="227" spans="2:14" x14ac:dyDescent="0.25">
      <c r="B227" s="12"/>
      <c r="K227" s="8"/>
      <c r="L227" s="22"/>
      <c r="M227" s="8" t="s">
        <v>6</v>
      </c>
      <c r="N227" s="8"/>
    </row>
    <row r="228" spans="2:14" x14ac:dyDescent="0.25">
      <c r="B228" s="12"/>
      <c r="K228" s="8"/>
      <c r="L228" s="22"/>
      <c r="M228" s="8" t="s">
        <v>6</v>
      </c>
      <c r="N228" s="8"/>
    </row>
    <row r="229" spans="2:14" x14ac:dyDescent="0.25">
      <c r="B229" s="12"/>
      <c r="K229" s="8"/>
      <c r="L229" s="22"/>
      <c r="M229" s="8" t="s">
        <v>6</v>
      </c>
      <c r="N229" s="8"/>
    </row>
    <row r="230" spans="2:14" x14ac:dyDescent="0.25">
      <c r="B230" s="12"/>
      <c r="K230" s="8"/>
      <c r="L230" s="22"/>
      <c r="M230" s="8" t="s">
        <v>6</v>
      </c>
      <c r="N230" s="8"/>
    </row>
    <row r="231" spans="2:14" x14ac:dyDescent="0.25">
      <c r="B231" s="12"/>
      <c r="K231" s="8"/>
      <c r="L231" s="22"/>
      <c r="M231" s="8" t="s">
        <v>6</v>
      </c>
      <c r="N231" s="8"/>
    </row>
    <row r="232" spans="2:14" x14ac:dyDescent="0.25">
      <c r="B232" s="12"/>
      <c r="K232" s="8"/>
      <c r="L232" s="22"/>
      <c r="M232" s="8" t="s">
        <v>6</v>
      </c>
      <c r="N232" s="8"/>
    </row>
    <row r="233" spans="2:14" x14ac:dyDescent="0.25">
      <c r="B233" s="12"/>
      <c r="K233" s="8"/>
      <c r="L233" s="22"/>
      <c r="M233" s="8" t="s">
        <v>6</v>
      </c>
      <c r="N233" s="8"/>
    </row>
    <row r="234" spans="2:14" x14ac:dyDescent="0.25">
      <c r="B234" s="12"/>
      <c r="K234" s="8"/>
      <c r="L234" s="22"/>
      <c r="M234" s="8" t="s">
        <v>6</v>
      </c>
      <c r="N234" s="8"/>
    </row>
    <row r="235" spans="2:14" x14ac:dyDescent="0.25">
      <c r="B235" s="12"/>
      <c r="K235" s="8"/>
      <c r="L235" s="22"/>
      <c r="M235" s="8" t="s">
        <v>6</v>
      </c>
      <c r="N235" s="8"/>
    </row>
    <row r="236" spans="2:14" x14ac:dyDescent="0.25">
      <c r="B236" s="12"/>
      <c r="K236" s="8"/>
      <c r="L236" s="22"/>
      <c r="M236" s="8" t="s">
        <v>6</v>
      </c>
      <c r="N236" s="8"/>
    </row>
    <row r="237" spans="2:14" x14ac:dyDescent="0.25">
      <c r="B237" s="12"/>
      <c r="K237" s="8"/>
      <c r="L237" s="22"/>
      <c r="M237" s="8" t="s">
        <v>6</v>
      </c>
      <c r="N237" s="8"/>
    </row>
    <row r="238" spans="2:14" x14ac:dyDescent="0.25">
      <c r="B238" s="12"/>
      <c r="K238" s="8"/>
      <c r="L238" s="22"/>
      <c r="M238" s="8" t="s">
        <v>6</v>
      </c>
      <c r="N238" s="8"/>
    </row>
    <row r="239" spans="2:14" x14ac:dyDescent="0.25">
      <c r="B239" s="12"/>
      <c r="K239" s="8"/>
      <c r="L239" s="22"/>
      <c r="M239" s="8" t="s">
        <v>6</v>
      </c>
      <c r="N239" s="8"/>
    </row>
    <row r="240" spans="2:14" x14ac:dyDescent="0.25">
      <c r="B240" s="12"/>
      <c r="K240" s="8"/>
      <c r="L240" s="22"/>
      <c r="M240" s="8" t="s">
        <v>6</v>
      </c>
      <c r="N240" s="8"/>
    </row>
    <row r="241" spans="2:14" x14ac:dyDescent="0.25">
      <c r="B241" s="12"/>
      <c r="K241" s="8"/>
      <c r="L241" s="22"/>
      <c r="M241" s="8" t="s">
        <v>6</v>
      </c>
      <c r="N241" s="8"/>
    </row>
    <row r="242" spans="2:14" x14ac:dyDescent="0.25">
      <c r="B242" s="12"/>
      <c r="K242" s="8"/>
      <c r="L242" s="22"/>
      <c r="M242" s="8" t="s">
        <v>6</v>
      </c>
      <c r="N242" s="8"/>
    </row>
    <row r="243" spans="2:14" x14ac:dyDescent="0.25">
      <c r="B243" s="12"/>
      <c r="K243" s="8"/>
      <c r="L243" s="22"/>
      <c r="M243" s="8" t="s">
        <v>6</v>
      </c>
      <c r="N243" s="8"/>
    </row>
    <row r="244" spans="2:14" x14ac:dyDescent="0.25">
      <c r="B244" s="12"/>
      <c r="K244" s="8"/>
      <c r="L244" s="22"/>
      <c r="M244" s="8" t="s">
        <v>6</v>
      </c>
      <c r="N244" s="8"/>
    </row>
    <row r="245" spans="2:14" x14ac:dyDescent="0.25">
      <c r="B245" s="12"/>
      <c r="K245" s="8"/>
      <c r="L245" s="22"/>
      <c r="M245" s="8" t="s">
        <v>6</v>
      </c>
      <c r="N245" s="8"/>
    </row>
    <row r="246" spans="2:14" x14ac:dyDescent="0.25">
      <c r="B246" s="12"/>
      <c r="K246" s="8"/>
      <c r="L246" s="22"/>
      <c r="M246" s="8" t="s">
        <v>6</v>
      </c>
      <c r="N246" s="8"/>
    </row>
    <row r="247" spans="2:14" x14ac:dyDescent="0.25">
      <c r="B247" s="12"/>
      <c r="K247" s="8"/>
      <c r="L247" s="22"/>
      <c r="M247" s="8" t="s">
        <v>6</v>
      </c>
      <c r="N247" s="8"/>
    </row>
    <row r="248" spans="2:14" x14ac:dyDescent="0.25">
      <c r="B248" s="12"/>
      <c r="K248" s="8"/>
      <c r="L248" s="22"/>
      <c r="M248" s="8" t="s">
        <v>6</v>
      </c>
      <c r="N248" s="8"/>
    </row>
    <row r="249" spans="2:14" x14ac:dyDescent="0.25">
      <c r="B249" s="12"/>
      <c r="K249" s="8"/>
      <c r="L249" s="22"/>
      <c r="M249" s="8" t="s">
        <v>6</v>
      </c>
      <c r="N249" s="8"/>
    </row>
    <row r="250" spans="2:14" x14ac:dyDescent="0.25">
      <c r="B250" s="12"/>
      <c r="K250" s="8"/>
      <c r="L250" s="22"/>
      <c r="M250" s="8" t="s">
        <v>6</v>
      </c>
      <c r="N250" s="8"/>
    </row>
    <row r="251" spans="2:14" x14ac:dyDescent="0.25">
      <c r="B251" s="12"/>
      <c r="K251" s="8"/>
      <c r="L251" s="22"/>
      <c r="M251" s="8" t="s">
        <v>6</v>
      </c>
      <c r="N251" s="8"/>
    </row>
    <row r="252" spans="2:14" x14ac:dyDescent="0.25">
      <c r="B252" s="12"/>
      <c r="K252" s="8"/>
      <c r="L252" s="22"/>
      <c r="M252" s="8" t="s">
        <v>6</v>
      </c>
      <c r="N252" s="8"/>
    </row>
    <row r="253" spans="2:14" x14ac:dyDescent="0.25">
      <c r="B253" s="12"/>
      <c r="K253" s="8"/>
      <c r="L253" s="22"/>
      <c r="M253" s="8" t="s">
        <v>6</v>
      </c>
      <c r="N253" s="8"/>
    </row>
    <row r="254" spans="2:14" x14ac:dyDescent="0.25">
      <c r="B254" s="12"/>
      <c r="K254" s="8"/>
      <c r="L254" s="22"/>
      <c r="M254" s="8" t="s">
        <v>6</v>
      </c>
      <c r="N254" s="8"/>
    </row>
    <row r="255" spans="2:14" x14ac:dyDescent="0.25">
      <c r="B255" s="12"/>
      <c r="K255" s="8"/>
      <c r="L255" s="22"/>
      <c r="M255" s="8" t="s">
        <v>6</v>
      </c>
      <c r="N255" s="8"/>
    </row>
    <row r="256" spans="2:14" x14ac:dyDescent="0.25">
      <c r="B256" s="12"/>
      <c r="K256" s="8"/>
      <c r="L256" s="22"/>
      <c r="M256" s="8" t="s">
        <v>6</v>
      </c>
      <c r="N256" s="8"/>
    </row>
    <row r="257" spans="2:14" x14ac:dyDescent="0.25">
      <c r="B257" s="12"/>
      <c r="K257" s="8"/>
      <c r="L257" s="22"/>
      <c r="M257" s="8" t="s">
        <v>6</v>
      </c>
      <c r="N257" s="8"/>
    </row>
    <row r="258" spans="2:14" x14ac:dyDescent="0.25">
      <c r="B258" s="12"/>
      <c r="K258" s="8"/>
      <c r="L258" s="22"/>
      <c r="M258" s="8" t="s">
        <v>6</v>
      </c>
      <c r="N258" s="8"/>
    </row>
    <row r="259" spans="2:14" x14ac:dyDescent="0.25">
      <c r="B259" s="12"/>
      <c r="K259" s="8"/>
      <c r="L259" s="22"/>
      <c r="M259" s="8" t="s">
        <v>6</v>
      </c>
      <c r="N259" s="8"/>
    </row>
    <row r="260" spans="2:14" x14ac:dyDescent="0.25">
      <c r="B260" s="12"/>
      <c r="K260" s="8"/>
      <c r="L260" s="22"/>
      <c r="M260" s="8" t="s">
        <v>6</v>
      </c>
      <c r="N260" s="8"/>
    </row>
    <row r="261" spans="2:14" x14ac:dyDescent="0.25">
      <c r="B261" s="12"/>
      <c r="K261" s="8"/>
      <c r="L261" s="22"/>
      <c r="M261" s="8" t="s">
        <v>6</v>
      </c>
      <c r="N261" s="8"/>
    </row>
    <row r="262" spans="2:14" x14ac:dyDescent="0.25">
      <c r="B262" s="12"/>
      <c r="K262" s="8"/>
      <c r="L262" s="22"/>
      <c r="M262" s="8" t="s">
        <v>6</v>
      </c>
      <c r="N262" s="8"/>
    </row>
    <row r="263" spans="2:14" x14ac:dyDescent="0.25">
      <c r="B263" s="12"/>
      <c r="K263" s="8"/>
      <c r="L263" s="22"/>
      <c r="M263" s="8" t="s">
        <v>6</v>
      </c>
      <c r="N263" s="8"/>
    </row>
    <row r="264" spans="2:14" x14ac:dyDescent="0.25">
      <c r="B264" s="12"/>
      <c r="K264" s="8"/>
      <c r="L264" s="22"/>
      <c r="M264" s="8" t="s">
        <v>6</v>
      </c>
      <c r="N264" s="8"/>
    </row>
    <row r="265" spans="2:14" x14ac:dyDescent="0.25">
      <c r="B265" s="12"/>
      <c r="K265" s="8"/>
      <c r="L265" s="22"/>
      <c r="M265" s="8" t="s">
        <v>6</v>
      </c>
      <c r="N265" s="8"/>
    </row>
    <row r="266" spans="2:14" x14ac:dyDescent="0.25">
      <c r="B266" s="12"/>
      <c r="K266" s="8"/>
      <c r="L266" s="22"/>
      <c r="M266" s="8" t="s">
        <v>6</v>
      </c>
      <c r="N266" s="8"/>
    </row>
    <row r="267" spans="2:14" x14ac:dyDescent="0.25">
      <c r="B267" s="12"/>
      <c r="K267" s="8"/>
      <c r="L267" s="22"/>
      <c r="M267" s="8" t="s">
        <v>6</v>
      </c>
      <c r="N267" s="8"/>
    </row>
    <row r="268" spans="2:14" x14ac:dyDescent="0.25">
      <c r="B268" s="12"/>
      <c r="K268" s="8"/>
      <c r="L268" s="22"/>
      <c r="M268" s="8" t="s">
        <v>6</v>
      </c>
      <c r="N268" s="8"/>
    </row>
    <row r="269" spans="2:14" x14ac:dyDescent="0.25">
      <c r="B269" s="12"/>
      <c r="K269" s="8"/>
      <c r="L269" s="22"/>
      <c r="M269" s="8" t="s">
        <v>6</v>
      </c>
      <c r="N269" s="8"/>
    </row>
    <row r="270" spans="2:14" x14ac:dyDescent="0.25">
      <c r="B270" s="12"/>
      <c r="K270" s="8"/>
      <c r="L270" s="22"/>
      <c r="M270" s="8" t="s">
        <v>6</v>
      </c>
      <c r="N270" s="8"/>
    </row>
    <row r="271" spans="2:14" x14ac:dyDescent="0.25">
      <c r="B271" s="12"/>
      <c r="K271" s="8"/>
      <c r="L271" s="22"/>
      <c r="M271" s="8" t="s">
        <v>6</v>
      </c>
      <c r="N271" s="8"/>
    </row>
    <row r="272" spans="2:14" x14ac:dyDescent="0.25">
      <c r="B272" s="12"/>
      <c r="K272" s="8"/>
      <c r="L272" s="22"/>
      <c r="M272" s="8" t="s">
        <v>6</v>
      </c>
      <c r="N272" s="8"/>
    </row>
    <row r="273" spans="2:14" x14ac:dyDescent="0.25">
      <c r="B273" s="12"/>
      <c r="K273" s="8"/>
      <c r="L273" s="22"/>
      <c r="M273" s="8" t="s">
        <v>6</v>
      </c>
      <c r="N273" s="8"/>
    </row>
    <row r="274" spans="2:14" x14ac:dyDescent="0.25">
      <c r="B274" s="12"/>
      <c r="K274" s="8"/>
      <c r="L274" s="22"/>
      <c r="M274" s="8" t="s">
        <v>6</v>
      </c>
      <c r="N274" s="8"/>
    </row>
    <row r="275" spans="2:14" x14ac:dyDescent="0.25">
      <c r="B275" s="12"/>
      <c r="K275" s="8"/>
      <c r="L275" s="22"/>
      <c r="M275" s="8" t="s">
        <v>6</v>
      </c>
      <c r="N275" s="8"/>
    </row>
    <row r="276" spans="2:14" x14ac:dyDescent="0.25">
      <c r="B276" s="12"/>
      <c r="K276" s="8"/>
      <c r="L276" s="22"/>
      <c r="M276" s="8" t="s">
        <v>6</v>
      </c>
      <c r="N276" s="8"/>
    </row>
    <row r="277" spans="2:14" x14ac:dyDescent="0.25">
      <c r="B277" s="12"/>
      <c r="K277" s="8"/>
      <c r="L277" s="22"/>
      <c r="M277" s="8" t="s">
        <v>6</v>
      </c>
      <c r="N277" s="8"/>
    </row>
    <row r="278" spans="2:14" x14ac:dyDescent="0.25">
      <c r="B278" s="12"/>
      <c r="K278" s="8"/>
      <c r="L278" s="22"/>
      <c r="M278" s="8" t="s">
        <v>6</v>
      </c>
      <c r="N278" s="8"/>
    </row>
    <row r="279" spans="2:14" x14ac:dyDescent="0.25">
      <c r="B279" s="12"/>
      <c r="K279" s="8"/>
      <c r="L279" s="22"/>
      <c r="M279" s="8" t="s">
        <v>6</v>
      </c>
      <c r="N279" s="8"/>
    </row>
    <row r="280" spans="2:14" x14ac:dyDescent="0.25">
      <c r="B280" s="12"/>
      <c r="K280" s="8"/>
      <c r="L280" s="22"/>
      <c r="M280" s="8" t="s">
        <v>6</v>
      </c>
      <c r="N280" s="8"/>
    </row>
    <row r="281" spans="2:14" x14ac:dyDescent="0.25">
      <c r="B281" s="12"/>
    </row>
    <row r="282" spans="2:14" x14ac:dyDescent="0.25">
      <c r="B282" s="12"/>
    </row>
    <row r="283" spans="2:14" x14ac:dyDescent="0.25">
      <c r="B283" s="12"/>
    </row>
    <row r="284" spans="2:14" x14ac:dyDescent="0.25">
      <c r="B284" s="12"/>
    </row>
    <row r="285" spans="2:14" x14ac:dyDescent="0.25">
      <c r="B285" s="12"/>
    </row>
    <row r="286" spans="2:14" x14ac:dyDescent="0.25">
      <c r="B286" s="12"/>
    </row>
    <row r="287" spans="2:14" x14ac:dyDescent="0.25">
      <c r="B287" s="12"/>
    </row>
    <row r="288" spans="2:14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  <row r="408" spans="2:2" x14ac:dyDescent="0.25">
      <c r="B408" s="12"/>
    </row>
  </sheetData>
  <mergeCells count="14">
    <mergeCell ref="J7:M8"/>
    <mergeCell ref="A1:N1"/>
    <mergeCell ref="A2:N2"/>
    <mergeCell ref="A83:A84"/>
    <mergeCell ref="I7:I8"/>
    <mergeCell ref="N7:N8"/>
    <mergeCell ref="B7:B8"/>
    <mergeCell ref="A7:A8"/>
    <mergeCell ref="A3:N3"/>
    <mergeCell ref="A4:N4"/>
    <mergeCell ref="H7:H8"/>
    <mergeCell ref="C7:E7"/>
    <mergeCell ref="G7:G8"/>
    <mergeCell ref="A62:B62"/>
  </mergeCells>
  <pageMargins left="0.19685039370078741" right="0" top="1.1417322834645669" bottom="0.74803149606299213" header="0.31496062992125984" footer="0.31496062992125984"/>
  <pageSetup scale="75" orientation="portrait" r:id="rId1"/>
  <ignoredErrors>
    <ignoredError sqref="H9:H10" formula="1"/>
    <ignoredError sqref="A55:A56 A9:A28 A30:A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>
    <tabColor theme="6" tint="0.39997558519241921"/>
  </sheetPr>
  <dimension ref="A1:M127"/>
  <sheetViews>
    <sheetView showGridLines="0" showZeros="0" topLeftCell="A157" workbookViewId="0">
      <pane ySplit="1830" activePane="bottomLeft"/>
      <selection activeCell="B136" sqref="B136"/>
      <selection pane="bottomLeft" activeCell="R18" sqref="R18"/>
    </sheetView>
  </sheetViews>
  <sheetFormatPr baseColWidth="10" defaultColWidth="11" defaultRowHeight="12.75" x14ac:dyDescent="0.2"/>
  <cols>
    <col min="1" max="1" width="14.85546875" style="3" customWidth="1"/>
    <col min="2" max="2" width="39.7109375" style="25" customWidth="1"/>
    <col min="3" max="4" width="12.85546875" style="25" customWidth="1"/>
    <col min="5" max="5" width="11.28515625" style="25" customWidth="1"/>
    <col min="6" max="6" width="11.7109375" style="25" customWidth="1"/>
    <col min="7" max="7" width="11.85546875" style="25" customWidth="1"/>
    <col min="8" max="8" width="13" style="25" customWidth="1"/>
    <col min="9" max="9" width="12" style="3" customWidth="1"/>
    <col min="10" max="16384" width="11" style="3"/>
  </cols>
  <sheetData>
    <row r="1" spans="1:13" ht="21.75" customHeight="1" x14ac:dyDescent="0.25">
      <c r="B1" s="601" t="s">
        <v>410</v>
      </c>
      <c r="C1" s="601"/>
      <c r="D1" s="601"/>
      <c r="E1" s="601"/>
      <c r="F1" s="601"/>
      <c r="G1" s="601"/>
      <c r="H1" s="601"/>
      <c r="I1" s="601"/>
      <c r="J1" s="36"/>
      <c r="K1" s="36"/>
      <c r="L1" s="36"/>
      <c r="M1" s="36"/>
    </row>
    <row r="2" spans="1:13" ht="18" customHeight="1" x14ac:dyDescent="0.25">
      <c r="B2" s="601" t="s">
        <v>411</v>
      </c>
      <c r="C2" s="601"/>
      <c r="D2" s="601"/>
      <c r="E2" s="601"/>
      <c r="F2" s="601"/>
      <c r="G2" s="601"/>
      <c r="H2" s="601"/>
      <c r="I2" s="601"/>
      <c r="J2" s="36"/>
      <c r="K2" s="36"/>
      <c r="L2" s="36"/>
      <c r="M2" s="36"/>
    </row>
    <row r="3" spans="1:13" ht="18" x14ac:dyDescent="0.25">
      <c r="B3" s="602" t="s">
        <v>464</v>
      </c>
      <c r="C3" s="602"/>
      <c r="D3" s="602"/>
      <c r="E3" s="602"/>
      <c r="F3" s="602"/>
      <c r="G3" s="602"/>
      <c r="H3" s="602"/>
      <c r="I3" s="602"/>
    </row>
    <row r="4" spans="1:13" ht="20.25" customHeight="1" x14ac:dyDescent="0.25">
      <c r="B4" s="602" t="s">
        <v>568</v>
      </c>
      <c r="C4" s="602"/>
      <c r="D4" s="602"/>
      <c r="E4" s="602"/>
      <c r="F4" s="602"/>
      <c r="G4" s="602"/>
      <c r="H4" s="602"/>
      <c r="I4" s="602"/>
    </row>
    <row r="5" spans="1:13" ht="9.75" customHeight="1" x14ac:dyDescent="0.25">
      <c r="B5" s="37"/>
      <c r="C5" s="37"/>
      <c r="D5" s="37"/>
      <c r="E5" s="37"/>
      <c r="F5" s="37"/>
      <c r="G5" s="37"/>
      <c r="I5" s="25" t="s">
        <v>6</v>
      </c>
    </row>
    <row r="6" spans="1:13" ht="24" customHeight="1" x14ac:dyDescent="0.2">
      <c r="A6" s="599" t="s">
        <v>468</v>
      </c>
      <c r="B6" s="603" t="s">
        <v>0</v>
      </c>
      <c r="C6" s="607" t="s">
        <v>34</v>
      </c>
      <c r="D6" s="608"/>
      <c r="E6" s="609"/>
      <c r="F6" s="605" t="s">
        <v>38</v>
      </c>
      <c r="G6" s="605"/>
      <c r="H6" s="606" t="s">
        <v>1</v>
      </c>
      <c r="I6" s="606"/>
    </row>
    <row r="7" spans="1:13" ht="18" customHeight="1" x14ac:dyDescent="0.2">
      <c r="A7" s="600"/>
      <c r="B7" s="604"/>
      <c r="C7" s="544" t="s">
        <v>98</v>
      </c>
      <c r="D7" s="545" t="s">
        <v>12</v>
      </c>
      <c r="E7" s="546" t="s">
        <v>2</v>
      </c>
      <c r="F7" s="547" t="s">
        <v>39</v>
      </c>
      <c r="G7" s="548" t="s">
        <v>3</v>
      </c>
      <c r="H7" s="549" t="s">
        <v>4</v>
      </c>
      <c r="I7" s="550" t="s">
        <v>394</v>
      </c>
    </row>
    <row r="8" spans="1:13" ht="8.25" customHeight="1" x14ac:dyDescent="0.2">
      <c r="A8" s="459"/>
      <c r="B8" s="190" t="s">
        <v>6</v>
      </c>
      <c r="C8" s="190"/>
      <c r="D8" s="178"/>
      <c r="E8" s="210"/>
      <c r="F8" s="178"/>
      <c r="G8" s="178"/>
      <c r="H8" s="211"/>
      <c r="I8" s="189"/>
    </row>
    <row r="9" spans="1:13" ht="21.75" customHeight="1" x14ac:dyDescent="0.2">
      <c r="A9" s="459"/>
      <c r="B9" s="191" t="s">
        <v>7</v>
      </c>
      <c r="C9" s="468">
        <f>+C11+C34</f>
        <v>198000000</v>
      </c>
      <c r="D9" s="192">
        <f>+D11+D34</f>
        <v>198000000</v>
      </c>
      <c r="E9" s="192">
        <f>+E11+E34</f>
        <v>38758488</v>
      </c>
      <c r="F9" s="192">
        <f>+F11+F34</f>
        <v>11738781.819999998</v>
      </c>
      <c r="G9" s="192">
        <f>J9+F9</f>
        <v>13279483.859999999</v>
      </c>
      <c r="H9" s="193">
        <f>+G9-E9</f>
        <v>-25479004.140000001</v>
      </c>
      <c r="I9" s="194">
        <f>+G9/E9*100</f>
        <v>34.262130813771677</v>
      </c>
      <c r="J9" s="81">
        <v>1540702.04</v>
      </c>
    </row>
    <row r="10" spans="1:13" ht="9.9499999999999993" customHeight="1" x14ac:dyDescent="0.2">
      <c r="A10" s="459"/>
      <c r="B10" s="191"/>
      <c r="C10" s="468"/>
      <c r="D10" s="195"/>
      <c r="E10" s="195"/>
      <c r="F10" s="195"/>
      <c r="G10" s="195"/>
      <c r="H10" s="196"/>
      <c r="I10" s="197"/>
    </row>
    <row r="11" spans="1:13" ht="21" customHeight="1" x14ac:dyDescent="0.2">
      <c r="A11" s="198" t="s">
        <v>488</v>
      </c>
      <c r="B11" s="198" t="s">
        <v>8</v>
      </c>
      <c r="C11" s="470">
        <f t="shared" ref="C11:G11" si="0">+C13</f>
        <v>141094806</v>
      </c>
      <c r="D11" s="195">
        <f t="shared" si="0"/>
        <v>141094806</v>
      </c>
      <c r="E11" s="195">
        <f t="shared" si="0"/>
        <v>27397642</v>
      </c>
      <c r="F11" s="195">
        <f t="shared" si="0"/>
        <v>11738781.819999998</v>
      </c>
      <c r="G11" s="195">
        <f t="shared" si="0"/>
        <v>12859483.859999999</v>
      </c>
      <c r="H11" s="193">
        <f t="shared" ref="H11:H45" si="1">+G11-E11</f>
        <v>-14538158.140000001</v>
      </c>
      <c r="I11" s="194">
        <f>+G11/E11*100</f>
        <v>46.93646212327323</v>
      </c>
      <c r="J11" s="3">
        <v>1120702.04</v>
      </c>
    </row>
    <row r="12" spans="1:13" ht="9.9499999999999993" customHeight="1" x14ac:dyDescent="0.2">
      <c r="A12" s="459"/>
      <c r="B12" s="199"/>
      <c r="C12" s="510"/>
      <c r="D12" s="200"/>
      <c r="E12" s="181" t="s">
        <v>6</v>
      </c>
      <c r="F12" s="181"/>
      <c r="G12" s="181"/>
      <c r="H12" s="188"/>
      <c r="I12" s="201" t="s">
        <v>6</v>
      </c>
    </row>
    <row r="13" spans="1:13" ht="21" customHeight="1" x14ac:dyDescent="0.2">
      <c r="A13" s="198" t="s">
        <v>470</v>
      </c>
      <c r="B13" s="191" t="s">
        <v>493</v>
      </c>
      <c r="C13" s="468">
        <f>+C15+C21+C26+C31</f>
        <v>141094806</v>
      </c>
      <c r="D13" s="195">
        <f>+D15+D21+D26+D31</f>
        <v>141094806</v>
      </c>
      <c r="E13" s="195">
        <f>+E15+E21+E26+E31</f>
        <v>27397642</v>
      </c>
      <c r="F13" s="195">
        <f>+F15+F21+F26+F31</f>
        <v>11738781.819999998</v>
      </c>
      <c r="G13" s="195">
        <f>J13+F13</f>
        <v>12859483.859999999</v>
      </c>
      <c r="H13" s="193">
        <f t="shared" si="1"/>
        <v>-14538158.140000001</v>
      </c>
      <c r="I13" s="194">
        <f>+G13/E13*100</f>
        <v>46.93646212327323</v>
      </c>
      <c r="J13" s="458">
        <v>1120702.04</v>
      </c>
      <c r="K13" s="4"/>
    </row>
    <row r="14" spans="1:13" ht="9.9499999999999993" customHeight="1" x14ac:dyDescent="0.2">
      <c r="A14" s="198"/>
      <c r="B14" s="202"/>
      <c r="C14" s="469"/>
      <c r="D14" s="181"/>
      <c r="E14" s="181"/>
      <c r="F14" s="181"/>
      <c r="G14" s="181" t="s">
        <v>6</v>
      </c>
      <c r="H14" s="188" t="s">
        <v>6</v>
      </c>
      <c r="I14" s="201" t="s">
        <v>6</v>
      </c>
      <c r="J14" s="4" t="s">
        <v>6</v>
      </c>
      <c r="K14" s="4"/>
    </row>
    <row r="15" spans="1:13" ht="21" customHeight="1" x14ac:dyDescent="0.2">
      <c r="A15" s="198" t="s">
        <v>469</v>
      </c>
      <c r="B15" s="191" t="s">
        <v>494</v>
      </c>
      <c r="C15" s="468">
        <f>+C17</f>
        <v>5476492</v>
      </c>
      <c r="D15" s="195">
        <f>SUM(D18:D19)</f>
        <v>5476492</v>
      </c>
      <c r="E15" s="195">
        <f>E17</f>
        <v>753532</v>
      </c>
      <c r="F15" s="195">
        <f>SUM(F18:F19)</f>
        <v>232288.78000000003</v>
      </c>
      <c r="G15" s="195">
        <f>G17</f>
        <v>532431.61</v>
      </c>
      <c r="H15" s="193">
        <f t="shared" si="1"/>
        <v>-221100.39</v>
      </c>
      <c r="I15" s="194">
        <f>+G15/E15*100</f>
        <v>70.658128652797757</v>
      </c>
      <c r="J15" s="4">
        <v>300142.82999999996</v>
      </c>
      <c r="K15" s="4"/>
    </row>
    <row r="16" spans="1:13" ht="11.45" customHeight="1" x14ac:dyDescent="0.2">
      <c r="A16" s="198"/>
      <c r="B16" s="191"/>
      <c r="C16" s="468"/>
      <c r="D16" s="181"/>
      <c r="E16" s="195"/>
      <c r="F16" s="195"/>
      <c r="G16" s="195"/>
      <c r="H16" s="193"/>
      <c r="I16" s="194"/>
      <c r="J16" s="4"/>
      <c r="K16" s="4"/>
    </row>
    <row r="17" spans="1:10" ht="19.149999999999999" customHeight="1" x14ac:dyDescent="0.2">
      <c r="A17" s="198" t="s">
        <v>503</v>
      </c>
      <c r="B17" s="460" t="s">
        <v>570</v>
      </c>
      <c r="C17" s="511">
        <f>+C18+C19</f>
        <v>5476492</v>
      </c>
      <c r="D17" s="195">
        <f>+D18+D19</f>
        <v>5476492</v>
      </c>
      <c r="E17" s="195">
        <f>SUM(E18:E19)</f>
        <v>753532</v>
      </c>
      <c r="F17" s="195">
        <f>SUM(F18:F19)</f>
        <v>232288.78000000003</v>
      </c>
      <c r="G17" s="203">
        <f>J17+F17</f>
        <v>532431.61</v>
      </c>
      <c r="H17" s="193">
        <f t="shared" si="1"/>
        <v>-221100.39</v>
      </c>
      <c r="I17" s="201">
        <f>+G17/E17*100</f>
        <v>70.658128652797757</v>
      </c>
      <c r="J17" s="3">
        <v>300142.82999999996</v>
      </c>
    </row>
    <row r="18" spans="1:10" ht="24.95" customHeight="1" x14ac:dyDescent="0.2">
      <c r="A18" s="199" t="s">
        <v>548</v>
      </c>
      <c r="B18" s="202" t="s">
        <v>495</v>
      </c>
      <c r="C18" s="469">
        <v>700000</v>
      </c>
      <c r="D18" s="181">
        <v>700000</v>
      </c>
      <c r="E18" s="181">
        <f>58333+58333</f>
        <v>116666</v>
      </c>
      <c r="F18" s="182">
        <v>145013.39000000001</v>
      </c>
      <c r="G18" s="182">
        <f>F18+J18</f>
        <v>356325.69</v>
      </c>
      <c r="H18" s="188">
        <f t="shared" si="1"/>
        <v>239659.69</v>
      </c>
      <c r="I18" s="201">
        <f>+G18/E18*100</f>
        <v>305.42376527865878</v>
      </c>
      <c r="J18" s="3">
        <v>211312.3</v>
      </c>
    </row>
    <row r="19" spans="1:10" ht="24.95" customHeight="1" x14ac:dyDescent="0.2">
      <c r="A19" s="199" t="s">
        <v>471</v>
      </c>
      <c r="B19" s="202" t="s">
        <v>504</v>
      </c>
      <c r="C19" s="469">
        <v>4776492</v>
      </c>
      <c r="D19" s="181">
        <v>4776492</v>
      </c>
      <c r="E19" s="181">
        <f>318433+318433</f>
        <v>636866</v>
      </c>
      <c r="F19" s="182">
        <v>87275.39</v>
      </c>
      <c r="G19" s="182">
        <f>J19+F19</f>
        <v>176105.91999999998</v>
      </c>
      <c r="H19" s="188">
        <f t="shared" si="1"/>
        <v>-460760.08</v>
      </c>
      <c r="I19" s="201">
        <f>+G19/E19*100</f>
        <v>27.651958182726034</v>
      </c>
      <c r="J19" s="3">
        <v>88830.53</v>
      </c>
    </row>
    <row r="20" spans="1:10" ht="9.9499999999999993" customHeight="1" x14ac:dyDescent="0.2">
      <c r="A20" s="198"/>
      <c r="B20" s="202" t="s">
        <v>6</v>
      </c>
      <c r="C20" s="469"/>
      <c r="D20" s="181" t="s">
        <v>6</v>
      </c>
      <c r="E20" s="181"/>
      <c r="F20" s="181"/>
      <c r="G20" s="181"/>
      <c r="H20" s="188"/>
      <c r="I20" s="201" t="s">
        <v>6</v>
      </c>
    </row>
    <row r="21" spans="1:10" ht="24.95" customHeight="1" x14ac:dyDescent="0.2">
      <c r="A21" s="198" t="s">
        <v>472</v>
      </c>
      <c r="B21" s="191" t="s">
        <v>473</v>
      </c>
      <c r="C21" s="468">
        <f>+C23</f>
        <v>127866634</v>
      </c>
      <c r="D21" s="195">
        <f>SUM(D23:D23)</f>
        <v>127866634</v>
      </c>
      <c r="E21" s="195">
        <f>SUM(E23)</f>
        <v>25589101</v>
      </c>
      <c r="F21" s="195">
        <f>F23</f>
        <v>10850926</v>
      </c>
      <c r="G21" s="203">
        <f>G23</f>
        <v>10850926</v>
      </c>
      <c r="H21" s="193">
        <f t="shared" si="1"/>
        <v>-14738175</v>
      </c>
      <c r="I21" s="194">
        <f>+G21/E21*100</f>
        <v>42.404483064879848</v>
      </c>
      <c r="J21" s="3">
        <v>0</v>
      </c>
    </row>
    <row r="22" spans="1:10" ht="5.25" customHeight="1" x14ac:dyDescent="0.2">
      <c r="A22" s="198"/>
      <c r="B22" s="202"/>
      <c r="C22" s="469"/>
      <c r="D22" s="181"/>
      <c r="E22" s="181"/>
      <c r="F22" s="181"/>
      <c r="G22" s="182">
        <f>F22</f>
        <v>0</v>
      </c>
      <c r="H22" s="188">
        <f t="shared" si="1"/>
        <v>0</v>
      </c>
      <c r="I22" s="201" t="s">
        <v>6</v>
      </c>
      <c r="J22" s="3">
        <v>0</v>
      </c>
    </row>
    <row r="23" spans="1:10" ht="24.75" customHeight="1" x14ac:dyDescent="0.2">
      <c r="A23" s="198" t="s">
        <v>474</v>
      </c>
      <c r="B23" s="191" t="s">
        <v>496</v>
      </c>
      <c r="C23" s="468">
        <f>+C25</f>
        <v>127866634</v>
      </c>
      <c r="D23" s="195">
        <f>+D25</f>
        <v>127866634</v>
      </c>
      <c r="E23" s="195">
        <f>E25</f>
        <v>25589101</v>
      </c>
      <c r="F23" s="195">
        <f>F25</f>
        <v>10850926</v>
      </c>
      <c r="G23" s="203">
        <f>G25</f>
        <v>10850926</v>
      </c>
      <c r="H23" s="193">
        <f t="shared" si="1"/>
        <v>-14738175</v>
      </c>
      <c r="I23" s="194">
        <f>+G23/E23*100</f>
        <v>42.404483064879848</v>
      </c>
      <c r="J23" s="3">
        <v>0</v>
      </c>
    </row>
    <row r="24" spans="1:10" ht="10.15" customHeight="1" x14ac:dyDescent="0.2">
      <c r="A24" s="198"/>
      <c r="B24" s="202"/>
      <c r="C24" s="469"/>
      <c r="D24" s="181"/>
      <c r="E24" s="181"/>
      <c r="F24" s="181"/>
      <c r="G24" s="182">
        <f>F24</f>
        <v>0</v>
      </c>
      <c r="H24" s="188">
        <f t="shared" si="1"/>
        <v>0</v>
      </c>
      <c r="I24" s="201" t="s">
        <v>6</v>
      </c>
      <c r="J24" s="3">
        <v>0</v>
      </c>
    </row>
    <row r="25" spans="1:10" ht="22.15" customHeight="1" x14ac:dyDescent="0.2">
      <c r="A25" s="199" t="s">
        <v>475</v>
      </c>
      <c r="B25" s="202" t="s">
        <v>497</v>
      </c>
      <c r="C25" s="469">
        <v>127866634</v>
      </c>
      <c r="D25" s="181">
        <v>127866634</v>
      </c>
      <c r="E25" s="181">
        <f>13488927+12100174</f>
        <v>25589101</v>
      </c>
      <c r="F25" s="181">
        <v>10850926</v>
      </c>
      <c r="G25" s="182">
        <f>J25+F25</f>
        <v>10850926</v>
      </c>
      <c r="H25" s="188">
        <f>G25-E25</f>
        <v>-14738175</v>
      </c>
      <c r="I25" s="201">
        <f>+G25/E25*100</f>
        <v>42.404483064879848</v>
      </c>
      <c r="J25" s="3">
        <v>0</v>
      </c>
    </row>
    <row r="26" spans="1:10" ht="24.95" customHeight="1" x14ac:dyDescent="0.2">
      <c r="A26" s="198" t="s">
        <v>476</v>
      </c>
      <c r="B26" s="191" t="s">
        <v>9</v>
      </c>
      <c r="C26" s="468">
        <f>+C27+C28+C29</f>
        <v>5251680</v>
      </c>
      <c r="D26" s="195">
        <f>SUM(D27:D29)</f>
        <v>5251680</v>
      </c>
      <c r="E26" s="195">
        <f>SUM(E27:E29)</f>
        <v>721675</v>
      </c>
      <c r="F26" s="195">
        <f>F27+F28+F29</f>
        <v>596109.67999999993</v>
      </c>
      <c r="G26" s="195">
        <f>J26+F26</f>
        <v>1360523.5699999998</v>
      </c>
      <c r="H26" s="193">
        <f t="shared" si="1"/>
        <v>638848.56999999983</v>
      </c>
      <c r="I26" s="194">
        <f>+G26/E26*100</f>
        <v>188.52302906432951</v>
      </c>
      <c r="J26" s="3">
        <v>764413.89</v>
      </c>
    </row>
    <row r="27" spans="1:10" ht="24.95" customHeight="1" x14ac:dyDescent="0.2">
      <c r="A27" s="199" t="s">
        <v>477</v>
      </c>
      <c r="B27" s="202" t="s">
        <v>489</v>
      </c>
      <c r="C27" s="469">
        <v>410082</v>
      </c>
      <c r="D27" s="181">
        <v>410082</v>
      </c>
      <c r="E27" s="181">
        <f>34173+34173</f>
        <v>68346</v>
      </c>
      <c r="F27" s="181">
        <v>118096.12</v>
      </c>
      <c r="G27" s="181">
        <f>F27+J27</f>
        <v>237639.36</v>
      </c>
      <c r="H27" s="188">
        <f>+G27-E27</f>
        <v>169293.36</v>
      </c>
      <c r="I27" s="201">
        <f>+G27/E27*100</f>
        <v>347.7004652796067</v>
      </c>
      <c r="J27" s="3">
        <v>119543.24</v>
      </c>
    </row>
    <row r="28" spans="1:10" ht="24.95" customHeight="1" x14ac:dyDescent="0.2">
      <c r="A28" s="199" t="s">
        <v>479</v>
      </c>
      <c r="B28" s="202" t="s">
        <v>490</v>
      </c>
      <c r="C28" s="469">
        <v>4774884</v>
      </c>
      <c r="D28" s="181">
        <v>4774884</v>
      </c>
      <c r="E28" s="181">
        <f>318326+318326</f>
        <v>636652</v>
      </c>
      <c r="F28" s="181">
        <v>473967.56</v>
      </c>
      <c r="G28" s="181">
        <f>J28+F28-1</f>
        <v>1109377.81</v>
      </c>
      <c r="H28" s="188">
        <f t="shared" si="1"/>
        <v>472725.81000000006</v>
      </c>
      <c r="I28" s="201">
        <f>+G28/E28*100</f>
        <v>174.25183773867045</v>
      </c>
      <c r="J28" s="3">
        <v>635411.25</v>
      </c>
    </row>
    <row r="29" spans="1:10" ht="24.95" customHeight="1" x14ac:dyDescent="0.2">
      <c r="A29" s="199" t="s">
        <v>478</v>
      </c>
      <c r="B29" s="202" t="s">
        <v>491</v>
      </c>
      <c r="C29" s="469">
        <v>66714</v>
      </c>
      <c r="D29" s="181">
        <v>66714</v>
      </c>
      <c r="E29" s="181">
        <f>11118+5559</f>
        <v>16677</v>
      </c>
      <c r="F29" s="204">
        <v>4046</v>
      </c>
      <c r="G29" s="181">
        <f>J29+F29</f>
        <v>13506.4</v>
      </c>
      <c r="H29" s="188">
        <f t="shared" si="1"/>
        <v>-3170.6000000000004</v>
      </c>
      <c r="I29" s="201">
        <f>+G29/E29*100</f>
        <v>80.988187323859208</v>
      </c>
      <c r="J29" s="3">
        <v>9460.4</v>
      </c>
    </row>
    <row r="30" spans="1:10" ht="9.9499999999999993" customHeight="1" x14ac:dyDescent="0.2">
      <c r="A30" s="198" t="s">
        <v>6</v>
      </c>
      <c r="B30" s="202"/>
      <c r="C30" s="469"/>
      <c r="D30" s="181"/>
      <c r="E30" s="181"/>
      <c r="F30" s="181"/>
      <c r="G30" s="181">
        <f>F30</f>
        <v>0</v>
      </c>
      <c r="H30" s="188">
        <f t="shared" si="1"/>
        <v>0</v>
      </c>
      <c r="I30" s="201" t="s">
        <v>6</v>
      </c>
      <c r="J30" s="3">
        <v>0</v>
      </c>
    </row>
    <row r="31" spans="1:10" ht="24.95" customHeight="1" x14ac:dyDescent="0.2">
      <c r="A31" s="198" t="s">
        <v>480</v>
      </c>
      <c r="B31" s="191" t="s">
        <v>10</v>
      </c>
      <c r="C31" s="468">
        <f>+C32</f>
        <v>2500000</v>
      </c>
      <c r="D31" s="195">
        <f>SUM(D32)</f>
        <v>2500000</v>
      </c>
      <c r="E31" s="195">
        <f>SUM(E32)</f>
        <v>333334</v>
      </c>
      <c r="F31" s="195">
        <f>F32</f>
        <v>59457.36</v>
      </c>
      <c r="G31" s="195">
        <f>J31+F31</f>
        <v>115602.68</v>
      </c>
      <c r="H31" s="193">
        <f t="shared" si="1"/>
        <v>-217731.32</v>
      </c>
      <c r="I31" s="194">
        <f>+G31/E31*100</f>
        <v>34.680734638530723</v>
      </c>
      <c r="J31" s="3">
        <v>56145.32</v>
      </c>
    </row>
    <row r="32" spans="1:10" ht="24.95" customHeight="1" x14ac:dyDescent="0.2">
      <c r="A32" s="198" t="s">
        <v>481</v>
      </c>
      <c r="B32" s="202" t="s">
        <v>492</v>
      </c>
      <c r="C32" s="469">
        <v>2500000</v>
      </c>
      <c r="D32" s="181">
        <v>2500000</v>
      </c>
      <c r="E32" s="181">
        <f>166667+166667</f>
        <v>333334</v>
      </c>
      <c r="F32" s="181">
        <v>59457.36</v>
      </c>
      <c r="G32" s="181">
        <f>J32+F32</f>
        <v>115602.68</v>
      </c>
      <c r="H32" s="188">
        <f t="shared" si="1"/>
        <v>-217731.32</v>
      </c>
      <c r="I32" s="201">
        <f>+G32/E32*100</f>
        <v>34.680734638530723</v>
      </c>
      <c r="J32" s="3">
        <v>56145.32</v>
      </c>
    </row>
    <row r="33" spans="1:10" ht="9.9499999999999993" customHeight="1" x14ac:dyDescent="0.2">
      <c r="A33" s="198"/>
      <c r="B33" s="202"/>
      <c r="C33" s="469"/>
      <c r="D33" s="181"/>
      <c r="E33" s="181"/>
      <c r="F33" s="181"/>
      <c r="G33" s="181">
        <f>F33</f>
        <v>0</v>
      </c>
      <c r="H33" s="188"/>
      <c r="I33" s="201"/>
      <c r="J33" s="3">
        <v>0</v>
      </c>
    </row>
    <row r="34" spans="1:10" ht="24.95" customHeight="1" x14ac:dyDescent="0.2">
      <c r="A34" s="198" t="s">
        <v>482</v>
      </c>
      <c r="B34" s="191" t="s">
        <v>11</v>
      </c>
      <c r="C34" s="468">
        <f>+C36+C40</f>
        <v>56905194</v>
      </c>
      <c r="D34" s="195">
        <f>+D40+D36</f>
        <v>56905194</v>
      </c>
      <c r="E34" s="195">
        <f>+E40+E36</f>
        <v>11360846</v>
      </c>
      <c r="F34" s="195">
        <f>+F40+F36</f>
        <v>0</v>
      </c>
      <c r="G34" s="195">
        <f>G36+G40</f>
        <v>420000</v>
      </c>
      <c r="H34" s="193">
        <f>G34-E34</f>
        <v>-10940846</v>
      </c>
      <c r="I34" s="194">
        <f>+G34/E34*100</f>
        <v>3.6969077830999555</v>
      </c>
      <c r="J34" s="81">
        <v>420000</v>
      </c>
    </row>
    <row r="35" spans="1:10" ht="9.9499999999999993" customHeight="1" x14ac:dyDescent="0.2">
      <c r="A35" s="198"/>
      <c r="B35" s="202"/>
      <c r="C35" s="469"/>
      <c r="D35" s="181"/>
      <c r="E35" s="181"/>
      <c r="F35" s="200"/>
      <c r="G35" s="181"/>
      <c r="H35" s="188"/>
      <c r="I35" s="201"/>
    </row>
    <row r="36" spans="1:10" ht="18" customHeight="1" x14ac:dyDescent="0.2">
      <c r="A36" s="198" t="s">
        <v>483</v>
      </c>
      <c r="B36" s="191" t="s">
        <v>498</v>
      </c>
      <c r="C36" s="468">
        <f>+C37</f>
        <v>54805194</v>
      </c>
      <c r="D36" s="195">
        <f>D37</f>
        <v>54805194</v>
      </c>
      <c r="E36" s="195">
        <f t="shared" ref="E36:E38" si="2">E37</f>
        <v>10940846</v>
      </c>
      <c r="F36" s="195">
        <f t="shared" ref="F36:G38" si="3">F37</f>
        <v>0</v>
      </c>
      <c r="G36" s="195">
        <f t="shared" si="3"/>
        <v>0</v>
      </c>
      <c r="H36" s="193">
        <f>H37</f>
        <v>10940846</v>
      </c>
      <c r="I36" s="194">
        <f>I37</f>
        <v>0</v>
      </c>
      <c r="J36" s="3">
        <v>0</v>
      </c>
    </row>
    <row r="37" spans="1:10" ht="18" customHeight="1" x14ac:dyDescent="0.2">
      <c r="A37" s="199" t="s">
        <v>484</v>
      </c>
      <c r="B37" s="202" t="s">
        <v>499</v>
      </c>
      <c r="C37" s="469">
        <f>+C38</f>
        <v>54805194</v>
      </c>
      <c r="D37" s="181">
        <f>D38</f>
        <v>54805194</v>
      </c>
      <c r="E37" s="181">
        <f t="shared" si="2"/>
        <v>10940846</v>
      </c>
      <c r="F37" s="181">
        <f t="shared" si="3"/>
        <v>0</v>
      </c>
      <c r="G37" s="181">
        <f t="shared" si="3"/>
        <v>0</v>
      </c>
      <c r="H37" s="188">
        <f>H38</f>
        <v>10940846</v>
      </c>
      <c r="I37" s="201">
        <f>G37/E37*100</f>
        <v>0</v>
      </c>
      <c r="J37" s="3">
        <v>0</v>
      </c>
    </row>
    <row r="38" spans="1:10" ht="18" customHeight="1" x14ac:dyDescent="0.2">
      <c r="A38" s="199" t="s">
        <v>485</v>
      </c>
      <c r="B38" s="202" t="s">
        <v>500</v>
      </c>
      <c r="C38" s="469">
        <f>+C39</f>
        <v>54805194</v>
      </c>
      <c r="D38" s="181">
        <f>D39</f>
        <v>54805194</v>
      </c>
      <c r="E38" s="181">
        <f t="shared" si="2"/>
        <v>10940846</v>
      </c>
      <c r="F38" s="181">
        <f t="shared" si="3"/>
        <v>0</v>
      </c>
      <c r="G38" s="181">
        <f t="shared" si="3"/>
        <v>0</v>
      </c>
      <c r="H38" s="188">
        <f>H39</f>
        <v>10940846</v>
      </c>
      <c r="I38" s="201">
        <f>G38/E38*100</f>
        <v>0</v>
      </c>
      <c r="J38" s="3">
        <v>0</v>
      </c>
    </row>
    <row r="39" spans="1:10" ht="18" customHeight="1" x14ac:dyDescent="0.2">
      <c r="A39" s="199" t="s">
        <v>486</v>
      </c>
      <c r="B39" s="202" t="s">
        <v>501</v>
      </c>
      <c r="C39" s="469">
        <v>54805194</v>
      </c>
      <c r="D39" s="181">
        <v>54805194</v>
      </c>
      <c r="E39" s="181">
        <f>10825352+115494</f>
        <v>10940846</v>
      </c>
      <c r="F39" s="181">
        <v>0</v>
      </c>
      <c r="G39" s="181">
        <f>J39+F39</f>
        <v>0</v>
      </c>
      <c r="H39" s="188">
        <f>E39-G39</f>
        <v>10940846</v>
      </c>
      <c r="I39" s="201">
        <f>G39/E39*100</f>
        <v>0</v>
      </c>
      <c r="J39" s="3">
        <v>0</v>
      </c>
    </row>
    <row r="40" spans="1:10" ht="24.95" customHeight="1" x14ac:dyDescent="0.2">
      <c r="A40" s="198" t="s">
        <v>487</v>
      </c>
      <c r="B40" s="191" t="s">
        <v>502</v>
      </c>
      <c r="C40" s="468">
        <f>+C41</f>
        <v>2100000</v>
      </c>
      <c r="D40" s="195">
        <f>SUM(D41)</f>
        <v>2100000</v>
      </c>
      <c r="E40" s="195">
        <f t="shared" ref="E40:E42" si="4">E41</f>
        <v>420000</v>
      </c>
      <c r="F40" s="195">
        <f>F41</f>
        <v>0</v>
      </c>
      <c r="G40" s="195">
        <f>G41</f>
        <v>420000</v>
      </c>
      <c r="H40" s="193">
        <f t="shared" si="1"/>
        <v>0</v>
      </c>
      <c r="I40" s="194">
        <f>+G40/E40*100</f>
        <v>100</v>
      </c>
      <c r="J40" s="3">
        <v>420000</v>
      </c>
    </row>
    <row r="41" spans="1:10" ht="24.95" customHeight="1" x14ac:dyDescent="0.2">
      <c r="A41" s="199" t="s">
        <v>549</v>
      </c>
      <c r="B41" s="202" t="s">
        <v>552</v>
      </c>
      <c r="C41" s="469">
        <f>+C42</f>
        <v>2100000</v>
      </c>
      <c r="D41" s="181">
        <f>+D42</f>
        <v>2100000</v>
      </c>
      <c r="E41" s="181">
        <f>+E42</f>
        <v>420000</v>
      </c>
      <c r="F41" s="181">
        <f>+F42</f>
        <v>0</v>
      </c>
      <c r="G41" s="181">
        <f>+G42</f>
        <v>420000</v>
      </c>
      <c r="H41" s="188">
        <f t="shared" si="1"/>
        <v>0</v>
      </c>
      <c r="I41" s="201">
        <f>+G41/E41*100</f>
        <v>100</v>
      </c>
      <c r="J41" s="3">
        <v>420000</v>
      </c>
    </row>
    <row r="42" spans="1:10" ht="17.45" customHeight="1" x14ac:dyDescent="0.2">
      <c r="A42" s="199" t="s">
        <v>550</v>
      </c>
      <c r="B42" s="202" t="s">
        <v>569</v>
      </c>
      <c r="C42" s="469">
        <f>+C43</f>
        <v>2100000</v>
      </c>
      <c r="D42" s="181">
        <f>D43</f>
        <v>2100000</v>
      </c>
      <c r="E42" s="181">
        <f t="shared" si="4"/>
        <v>420000</v>
      </c>
      <c r="F42" s="181">
        <f>+F43</f>
        <v>0</v>
      </c>
      <c r="G42" s="181">
        <f>G43</f>
        <v>420000</v>
      </c>
      <c r="H42" s="188"/>
      <c r="I42" s="201">
        <f>G42/E42*100</f>
        <v>100</v>
      </c>
      <c r="J42" s="3">
        <v>420000</v>
      </c>
    </row>
    <row r="43" spans="1:10" ht="17.45" customHeight="1" x14ac:dyDescent="0.2">
      <c r="A43" s="199" t="s">
        <v>551</v>
      </c>
      <c r="B43" s="202" t="s">
        <v>553</v>
      </c>
      <c r="C43" s="469">
        <v>2100000</v>
      </c>
      <c r="D43" s="181">
        <v>2100000</v>
      </c>
      <c r="E43" s="181">
        <v>420000</v>
      </c>
      <c r="F43" s="181">
        <v>0</v>
      </c>
      <c r="G43" s="181">
        <f>J43+F43</f>
        <v>420000</v>
      </c>
      <c r="H43" s="188"/>
      <c r="I43" s="201">
        <f>G43/E43*100</f>
        <v>100</v>
      </c>
      <c r="J43" s="3">
        <v>420000</v>
      </c>
    </row>
    <row r="44" spans="1:10" ht="16.899999999999999" customHeight="1" x14ac:dyDescent="0.2">
      <c r="A44" s="461"/>
      <c r="B44" s="202"/>
      <c r="C44" s="207"/>
      <c r="D44" s="207"/>
      <c r="E44" s="181"/>
      <c r="F44" s="200"/>
      <c r="G44" s="181"/>
      <c r="H44" s="188"/>
      <c r="I44" s="462"/>
    </row>
    <row r="45" spans="1:10" ht="24.6" hidden="1" customHeight="1" x14ac:dyDescent="0.2">
      <c r="A45" s="198"/>
      <c r="B45" s="191" t="s">
        <v>395</v>
      </c>
      <c r="C45" s="191"/>
      <c r="D45" s="195">
        <f>SUM(D47)</f>
        <v>5210534</v>
      </c>
      <c r="E45" s="195">
        <f>SUM(E47)</f>
        <v>4639377</v>
      </c>
      <c r="F45" s="195">
        <f>SUM(F47:F47)</f>
        <v>1797741</v>
      </c>
      <c r="G45" s="195" t="e">
        <f>#REF!+F45</f>
        <v>#REF!</v>
      </c>
      <c r="H45" s="193" t="e">
        <f t="shared" si="1"/>
        <v>#REF!</v>
      </c>
      <c r="I45" s="194" t="e">
        <f>+G45/E45*100</f>
        <v>#REF!</v>
      </c>
      <c r="J45" s="3">
        <v>4639377</v>
      </c>
    </row>
    <row r="46" spans="1:10" ht="9.6" hidden="1" customHeight="1" x14ac:dyDescent="0.2">
      <c r="A46" s="198"/>
      <c r="B46" s="202"/>
      <c r="C46" s="202"/>
      <c r="D46" s="181"/>
      <c r="E46" s="181"/>
      <c r="F46" s="181"/>
      <c r="G46" s="182">
        <f>F46</f>
        <v>0</v>
      </c>
      <c r="H46" s="188" t="s">
        <v>6</v>
      </c>
      <c r="I46" s="201" t="s">
        <v>6</v>
      </c>
      <c r="J46" s="3">
        <v>0</v>
      </c>
    </row>
    <row r="47" spans="1:10" ht="24.6" hidden="1" customHeight="1" x14ac:dyDescent="0.2">
      <c r="A47" s="198"/>
      <c r="B47" s="202" t="s">
        <v>40</v>
      </c>
      <c r="C47" s="202"/>
      <c r="D47" s="181">
        <v>5210534</v>
      </c>
      <c r="E47" s="181">
        <v>4639377</v>
      </c>
      <c r="F47" s="187">
        <f>1779848+17893</f>
        <v>1797741</v>
      </c>
      <c r="G47" s="182" t="e">
        <f>F47+#REF!</f>
        <v>#REF!</v>
      </c>
      <c r="H47" s="188" t="e">
        <f>+G47-E47</f>
        <v>#REF!</v>
      </c>
      <c r="I47" s="201" t="e">
        <f>+G47/E47*100</f>
        <v>#REF!</v>
      </c>
      <c r="J47" s="3">
        <v>4639377</v>
      </c>
    </row>
    <row r="48" spans="1:10" ht="7.15" hidden="1" customHeight="1" x14ac:dyDescent="0.2">
      <c r="A48" s="459"/>
      <c r="B48" s="205"/>
      <c r="C48" s="509"/>
      <c r="D48" s="206"/>
      <c r="E48" s="207" t="s">
        <v>6</v>
      </c>
      <c r="F48" s="208" t="s">
        <v>6</v>
      </c>
      <c r="G48" s="207" t="s">
        <v>6</v>
      </c>
      <c r="H48" s="207" t="s">
        <v>6</v>
      </c>
      <c r="I48" s="209"/>
      <c r="J48" s="3" t="s">
        <v>6</v>
      </c>
    </row>
    <row r="49" spans="1:9" ht="9" customHeight="1" x14ac:dyDescent="0.2">
      <c r="B49" s="212" t="s">
        <v>6</v>
      </c>
      <c r="C49" s="186"/>
      <c r="D49" s="186"/>
      <c r="E49" s="213"/>
      <c r="F49" s="213"/>
      <c r="G49" s="213"/>
      <c r="H49" s="214"/>
      <c r="I49" s="186"/>
    </row>
    <row r="50" spans="1:9" ht="21" customHeight="1" x14ac:dyDescent="0.2">
      <c r="A50" s="598" t="s">
        <v>566</v>
      </c>
      <c r="B50" s="598"/>
      <c r="C50" s="33"/>
      <c r="D50" s="40"/>
      <c r="E50" s="40"/>
      <c r="F50" s="40"/>
      <c r="G50" s="40"/>
      <c r="H50" s="45"/>
      <c r="I50" s="25"/>
    </row>
    <row r="51" spans="1:9" ht="15.75" x14ac:dyDescent="0.25">
      <c r="B51" s="46" t="s">
        <v>6</v>
      </c>
      <c r="C51" s="46"/>
      <c r="D51" s="37"/>
      <c r="E51" s="36"/>
      <c r="F51" s="36"/>
      <c r="G51" s="36"/>
      <c r="H51" s="36"/>
      <c r="I51" s="4"/>
    </row>
    <row r="52" spans="1:9" ht="15.75" x14ac:dyDescent="0.25">
      <c r="B52" s="43" t="s">
        <v>6</v>
      </c>
      <c r="C52" s="43"/>
      <c r="D52" s="44" t="s">
        <v>6</v>
      </c>
      <c r="E52" s="36"/>
      <c r="F52" s="36"/>
      <c r="G52" s="36"/>
      <c r="H52" s="36"/>
      <c r="I52" s="4"/>
    </row>
    <row r="53" spans="1:9" ht="15.75" x14ac:dyDescent="0.25">
      <c r="B53" s="43" t="s">
        <v>6</v>
      </c>
      <c r="C53" s="43"/>
      <c r="D53" s="40"/>
      <c r="E53" s="36"/>
      <c r="F53" s="36"/>
      <c r="G53" s="36"/>
      <c r="H53" s="36"/>
      <c r="I53" s="4"/>
    </row>
    <row r="54" spans="1:9" ht="15.75" x14ac:dyDescent="0.25">
      <c r="B54" s="46" t="s">
        <v>6</v>
      </c>
      <c r="C54" s="46"/>
      <c r="D54" s="36"/>
      <c r="E54" s="36"/>
      <c r="F54" s="36"/>
      <c r="G54" s="36"/>
      <c r="H54" s="36"/>
      <c r="I54" s="4"/>
    </row>
    <row r="55" spans="1:9" ht="15.75" x14ac:dyDescent="0.25">
      <c r="B55" s="46" t="s">
        <v>6</v>
      </c>
      <c r="C55" s="46"/>
      <c r="D55" s="36"/>
      <c r="E55" s="36"/>
      <c r="F55" s="36"/>
      <c r="G55" s="36"/>
      <c r="H55" s="36"/>
      <c r="I55" s="4"/>
    </row>
    <row r="56" spans="1:9" ht="15.75" x14ac:dyDescent="0.25">
      <c r="B56" s="46" t="s">
        <v>6</v>
      </c>
      <c r="C56" s="46"/>
      <c r="D56" s="36"/>
      <c r="E56" s="36"/>
      <c r="F56" s="36"/>
      <c r="G56" s="36"/>
      <c r="H56" s="36"/>
      <c r="I56" s="4"/>
    </row>
    <row r="57" spans="1:9" ht="15.75" x14ac:dyDescent="0.25">
      <c r="B57" s="46" t="s">
        <v>6</v>
      </c>
      <c r="C57" s="46"/>
      <c r="D57" s="36"/>
      <c r="E57" s="36"/>
      <c r="F57" s="36"/>
      <c r="G57" s="36"/>
      <c r="H57" s="36"/>
      <c r="I57" s="4"/>
    </row>
    <row r="58" spans="1:9" x14ac:dyDescent="0.2">
      <c r="D58" s="34"/>
      <c r="E58" s="34"/>
      <c r="F58" s="34"/>
      <c r="G58" s="34"/>
      <c r="H58" s="34"/>
      <c r="I58" s="4"/>
    </row>
    <row r="127" spans="5:5" x14ac:dyDescent="0.2">
      <c r="E127" s="25" t="s">
        <v>6</v>
      </c>
    </row>
  </sheetData>
  <mergeCells count="10">
    <mergeCell ref="A50:B50"/>
    <mergeCell ref="A6:A7"/>
    <mergeCell ref="B1:I1"/>
    <mergeCell ref="B2:I2"/>
    <mergeCell ref="B3:I3"/>
    <mergeCell ref="B4:I4"/>
    <mergeCell ref="B6:B7"/>
    <mergeCell ref="F6:G6"/>
    <mergeCell ref="H6:I6"/>
    <mergeCell ref="C6:E6"/>
  </mergeCells>
  <phoneticPr fontId="3" type="noConversion"/>
  <pageMargins left="0.19685039370078741" right="0.19685039370078741" top="0.74803149606299213" bottom="0.98425196850393704" header="0.51181102362204722" footer="0.51181102362204722"/>
  <pageSetup scale="75" firstPageNumber="0" orientation="portrait" r:id="rId1"/>
  <headerFooter alignWithMargins="0">
    <oddFooter xml:space="preserve">&amp;R&amp;"Arial,Negrita" </oddFooter>
  </headerFooter>
  <ignoredErrors>
    <ignoredError sqref="E15:F15 E21 E41 G39:G41 F42 G30 G22:G23 G18 H25 E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>
    <tabColor theme="6" tint="0.39997558519241921"/>
    <pageSetUpPr fitToPage="1"/>
  </sheetPr>
  <dimension ref="A1:Y33"/>
  <sheetViews>
    <sheetView showGridLines="0" showZeros="0" zoomScaleNormal="100" workbookViewId="0">
      <selection activeCell="J9" sqref="C9:J30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5.85546875" customWidth="1"/>
    <col min="4" max="4" width="12.5703125" customWidth="1"/>
    <col min="5" max="5" width="13.5703125" hidden="1" customWidth="1"/>
    <col min="6" max="6" width="11.5703125" customWidth="1"/>
    <col min="7" max="7" width="12.5703125" customWidth="1"/>
    <col min="8" max="8" width="12.28515625" customWidth="1"/>
    <col min="9" max="9" width="12.5703125" customWidth="1"/>
    <col min="10" max="10" width="10.28515625" customWidth="1"/>
    <col min="11" max="11" width="12.140625" customWidth="1"/>
    <col min="12" max="12" width="12" customWidth="1"/>
    <col min="13" max="13" width="24.28515625" customWidth="1"/>
    <col min="15" max="17" width="0" hidden="1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5.75" x14ac:dyDescent="0.25">
      <c r="A1" s="601" t="s">
        <v>410</v>
      </c>
      <c r="B1" s="601"/>
      <c r="C1" s="601"/>
      <c r="D1" s="601"/>
      <c r="E1" s="601"/>
      <c r="F1" s="601"/>
      <c r="G1" s="601"/>
      <c r="H1" s="601"/>
      <c r="I1" s="601"/>
      <c r="J1" s="601"/>
    </row>
    <row r="2" spans="1:25" ht="15.75" x14ac:dyDescent="0.25">
      <c r="A2" s="601" t="s">
        <v>411</v>
      </c>
      <c r="B2" s="601"/>
      <c r="C2" s="601"/>
      <c r="D2" s="601"/>
      <c r="E2" s="601"/>
      <c r="F2" s="601"/>
      <c r="G2" s="601"/>
      <c r="H2" s="601"/>
      <c r="I2" s="601"/>
      <c r="J2" s="601"/>
    </row>
    <row r="3" spans="1:25" ht="15" x14ac:dyDescent="0.25">
      <c r="A3" s="610" t="s">
        <v>400</v>
      </c>
      <c r="B3" s="611"/>
      <c r="C3" s="611"/>
      <c r="D3" s="611"/>
      <c r="E3" s="611"/>
      <c r="F3" s="611"/>
      <c r="G3" s="611"/>
      <c r="H3" s="611"/>
      <c r="I3" s="611"/>
      <c r="J3" s="612"/>
    </row>
    <row r="4" spans="1:25" ht="15" x14ac:dyDescent="0.25">
      <c r="A4" s="610" t="s">
        <v>567</v>
      </c>
      <c r="B4" s="611"/>
      <c r="C4" s="611"/>
      <c r="D4" s="611"/>
      <c r="E4" s="611"/>
      <c r="F4" s="611"/>
      <c r="G4" s="611"/>
      <c r="H4" s="611"/>
      <c r="I4" s="611"/>
      <c r="J4" s="612"/>
    </row>
    <row r="5" spans="1:25" ht="15" thickBot="1" x14ac:dyDescent="0.25">
      <c r="A5" s="38"/>
      <c r="B5" s="252"/>
      <c r="C5" s="252"/>
      <c r="D5" s="252"/>
      <c r="E5" s="252"/>
      <c r="F5" s="252"/>
      <c r="G5" s="252"/>
      <c r="H5" s="252"/>
      <c r="I5" s="252"/>
      <c r="J5" s="25"/>
    </row>
    <row r="6" spans="1:25" ht="21" customHeight="1" x14ac:dyDescent="0.2">
      <c r="A6" s="613" t="s">
        <v>0</v>
      </c>
      <c r="B6" s="615" t="s">
        <v>42</v>
      </c>
      <c r="C6" s="619" t="s">
        <v>34</v>
      </c>
      <c r="D6" s="620"/>
      <c r="E6" s="620"/>
      <c r="F6" s="621"/>
      <c r="G6" s="617" t="s">
        <v>43</v>
      </c>
      <c r="H6" s="617"/>
      <c r="I6" s="617" t="s">
        <v>1</v>
      </c>
      <c r="J6" s="618"/>
    </row>
    <row r="7" spans="1:25" ht="24.75" customHeight="1" thickBot="1" x14ac:dyDescent="0.25">
      <c r="A7" s="614"/>
      <c r="B7" s="616"/>
      <c r="C7" s="551" t="s">
        <v>98</v>
      </c>
      <c r="D7" s="552" t="s">
        <v>12</v>
      </c>
      <c r="E7" s="552" t="s">
        <v>12</v>
      </c>
      <c r="F7" s="552" t="s">
        <v>2</v>
      </c>
      <c r="G7" s="552" t="s">
        <v>39</v>
      </c>
      <c r="H7" s="552" t="s">
        <v>44</v>
      </c>
      <c r="I7" s="552" t="s">
        <v>396</v>
      </c>
      <c r="J7" s="553" t="s">
        <v>5</v>
      </c>
      <c r="L7" s="59"/>
    </row>
    <row r="8" spans="1:25" ht="20.100000000000001" customHeight="1" x14ac:dyDescent="0.2">
      <c r="A8" s="231"/>
      <c r="B8" s="232"/>
      <c r="C8" s="232"/>
      <c r="D8" s="233"/>
      <c r="E8" s="233"/>
      <c r="F8" s="215"/>
      <c r="G8" s="215"/>
      <c r="H8" s="215"/>
      <c r="I8" s="215"/>
      <c r="J8" s="216"/>
    </row>
    <row r="9" spans="1:25" ht="20.100000000000001" customHeight="1" x14ac:dyDescent="0.2">
      <c r="A9" s="234" t="s">
        <v>14</v>
      </c>
      <c r="B9" s="235"/>
      <c r="C9" s="236">
        <v>198000000</v>
      </c>
      <c r="D9" s="236">
        <v>198000000</v>
      </c>
      <c r="E9" s="236" t="e">
        <v>#REF!</v>
      </c>
      <c r="F9" s="236">
        <v>38758488</v>
      </c>
      <c r="G9" s="236">
        <v>11738781.82</v>
      </c>
      <c r="H9" s="236">
        <v>13279483.859999999</v>
      </c>
      <c r="I9" s="218">
        <v>-25479004.140000001</v>
      </c>
      <c r="J9" s="219">
        <v>34.262130813771677</v>
      </c>
      <c r="K9" s="589"/>
    </row>
    <row r="10" spans="1:25" ht="20.100000000000001" customHeight="1" x14ac:dyDescent="0.2">
      <c r="A10" s="234"/>
      <c r="B10" s="235"/>
      <c r="C10" s="235"/>
      <c r="D10" s="236"/>
      <c r="E10" s="236"/>
      <c r="F10" s="236"/>
      <c r="G10" s="236"/>
      <c r="H10" s="236"/>
      <c r="I10" s="218"/>
      <c r="J10" s="219"/>
      <c r="K10" s="589"/>
    </row>
    <row r="11" spans="1:25" ht="20.100000000000001" customHeight="1" x14ac:dyDescent="0.2">
      <c r="A11" s="234" t="s">
        <v>15</v>
      </c>
      <c r="B11" s="235"/>
      <c r="C11" s="236">
        <v>15328172</v>
      </c>
      <c r="D11" s="236">
        <v>15328172</v>
      </c>
      <c r="E11" s="236" t="e">
        <v>#REF!</v>
      </c>
      <c r="F11" s="236">
        <v>2228541</v>
      </c>
      <c r="G11" s="236">
        <v>887855.82000000007</v>
      </c>
      <c r="H11" s="236">
        <v>2428557.8599999994</v>
      </c>
      <c r="I11" s="218">
        <v>-200016.8599999994</v>
      </c>
      <c r="J11" s="219">
        <v>108.97523805934016</v>
      </c>
      <c r="K11" s="589"/>
      <c r="L11" s="1" t="s">
        <v>6</v>
      </c>
    </row>
    <row r="12" spans="1:25" ht="20.100000000000001" customHeight="1" x14ac:dyDescent="0.3">
      <c r="A12" s="237"/>
      <c r="B12" s="238"/>
      <c r="C12" s="238"/>
      <c r="D12" s="239"/>
      <c r="E12" s="239"/>
      <c r="F12" s="239" t="s">
        <v>6</v>
      </c>
      <c r="G12" s="239"/>
      <c r="H12" s="239"/>
      <c r="I12" s="221"/>
      <c r="J12" s="222"/>
      <c r="K12" s="590"/>
    </row>
    <row r="13" spans="1:25" ht="20.100000000000001" customHeight="1" x14ac:dyDescent="0.2">
      <c r="A13" s="240" t="s">
        <v>16</v>
      </c>
      <c r="B13" s="241" t="s">
        <v>45</v>
      </c>
      <c r="C13" s="242">
        <v>700000</v>
      </c>
      <c r="D13" s="242">
        <v>700000</v>
      </c>
      <c r="E13" s="242" t="e">
        <v>#REF!</v>
      </c>
      <c r="F13" s="242">
        <v>116666</v>
      </c>
      <c r="G13" s="242">
        <v>145013.39000000001</v>
      </c>
      <c r="H13" s="242">
        <v>356325.69</v>
      </c>
      <c r="I13" s="223">
        <v>239659.69</v>
      </c>
      <c r="J13" s="224">
        <v>305.42376527865878</v>
      </c>
      <c r="K13" s="591"/>
      <c r="L13" s="1" t="s">
        <v>6</v>
      </c>
      <c r="M13" s="23"/>
      <c r="N13" s="1"/>
      <c r="R13" s="51"/>
      <c r="S13" s="52"/>
      <c r="T13" s="52"/>
      <c r="U13" s="53"/>
      <c r="V13" s="53"/>
      <c r="W13" s="53"/>
      <c r="X13" s="53"/>
      <c r="Y13" s="53"/>
    </row>
    <row r="14" spans="1:25" ht="20.100000000000001" customHeight="1" x14ac:dyDescent="0.2">
      <c r="A14" s="240" t="s">
        <v>17</v>
      </c>
      <c r="B14" s="241" t="s">
        <v>46</v>
      </c>
      <c r="C14" s="242">
        <v>4776492</v>
      </c>
      <c r="D14" s="242">
        <v>4776492</v>
      </c>
      <c r="E14" s="242" t="e">
        <v>#REF!</v>
      </c>
      <c r="F14" s="242">
        <v>636866</v>
      </c>
      <c r="G14" s="242">
        <v>87275.39</v>
      </c>
      <c r="H14" s="242">
        <v>176105.91999999998</v>
      </c>
      <c r="I14" s="223">
        <v>-460760.08</v>
      </c>
      <c r="J14" s="224">
        <v>27.651958182726034</v>
      </c>
      <c r="K14" s="591"/>
      <c r="L14" s="1"/>
      <c r="M14" s="23"/>
      <c r="S14" s="52"/>
      <c r="T14" s="52"/>
      <c r="U14" s="53"/>
      <c r="V14" s="53"/>
      <c r="W14" s="53"/>
      <c r="X14" s="53"/>
      <c r="Y14" s="53"/>
    </row>
    <row r="15" spans="1:25" ht="20.100000000000001" customHeight="1" x14ac:dyDescent="0.2">
      <c r="A15" s="243" t="s">
        <v>18</v>
      </c>
      <c r="B15" s="241" t="s">
        <v>47</v>
      </c>
      <c r="C15" s="242">
        <v>4774884</v>
      </c>
      <c r="D15" s="242">
        <v>4774884</v>
      </c>
      <c r="E15" s="242" t="e">
        <v>#REF!</v>
      </c>
      <c r="F15" s="242">
        <v>636652</v>
      </c>
      <c r="G15" s="242">
        <v>473967.56</v>
      </c>
      <c r="H15" s="242">
        <v>1109377.81</v>
      </c>
      <c r="I15" s="223">
        <v>472725.81000000006</v>
      </c>
      <c r="J15" s="224">
        <v>174.25183773867045</v>
      </c>
      <c r="K15" s="591"/>
      <c r="L15" s="1"/>
      <c r="M15" s="23"/>
      <c r="S15" s="52"/>
      <c r="T15" s="52"/>
      <c r="U15" s="53"/>
      <c r="V15" s="53"/>
      <c r="W15" s="53"/>
      <c r="X15" s="53"/>
      <c r="Y15" s="53"/>
    </row>
    <row r="16" spans="1:25" ht="20.100000000000001" customHeight="1" x14ac:dyDescent="0.2">
      <c r="A16" s="243" t="s">
        <v>19</v>
      </c>
      <c r="B16" s="241" t="s">
        <v>48</v>
      </c>
      <c r="C16" s="242">
        <v>66714</v>
      </c>
      <c r="D16" s="242">
        <v>66714</v>
      </c>
      <c r="E16" s="242" t="e">
        <v>#REF!</v>
      </c>
      <c r="F16" s="242">
        <v>16677</v>
      </c>
      <c r="G16" s="242">
        <v>4046</v>
      </c>
      <c r="H16" s="242">
        <v>13506.4</v>
      </c>
      <c r="I16" s="223">
        <v>-3170.6000000000004</v>
      </c>
      <c r="J16" s="224">
        <v>80.988187323859208</v>
      </c>
      <c r="K16" s="591"/>
      <c r="L16" s="1"/>
      <c r="M16" s="23"/>
      <c r="S16" s="52"/>
      <c r="T16" s="52"/>
      <c r="U16" s="53"/>
      <c r="V16" s="53"/>
      <c r="W16" s="53"/>
      <c r="X16" s="53"/>
      <c r="Y16" s="53"/>
    </row>
    <row r="17" spans="1:25" ht="20.100000000000001" customHeight="1" x14ac:dyDescent="0.2">
      <c r="A17" s="243" t="s">
        <v>20</v>
      </c>
      <c r="B17" s="241" t="s">
        <v>49</v>
      </c>
      <c r="C17" s="242">
        <v>410082</v>
      </c>
      <c r="D17" s="242">
        <v>410082</v>
      </c>
      <c r="E17" s="242" t="e">
        <v>#REF!</v>
      </c>
      <c r="F17" s="242">
        <v>68346</v>
      </c>
      <c r="G17" s="242">
        <v>118096.12</v>
      </c>
      <c r="H17" s="242">
        <v>237639.36</v>
      </c>
      <c r="I17" s="223">
        <v>169293.36</v>
      </c>
      <c r="J17" s="224">
        <v>347.7004652796067</v>
      </c>
      <c r="K17" s="591"/>
      <c r="L17" s="1"/>
      <c r="M17" s="23"/>
      <c r="S17" s="52"/>
      <c r="T17" s="52"/>
      <c r="U17" s="53"/>
      <c r="V17" s="53"/>
      <c r="W17" s="53"/>
      <c r="X17" s="53"/>
      <c r="Y17" s="53"/>
    </row>
    <row r="18" spans="1:25" ht="20.100000000000001" customHeight="1" x14ac:dyDescent="0.2">
      <c r="A18" s="243" t="s">
        <v>21</v>
      </c>
      <c r="B18" s="241" t="s">
        <v>50</v>
      </c>
      <c r="C18" s="242">
        <v>2500000</v>
      </c>
      <c r="D18" s="242">
        <v>2500000</v>
      </c>
      <c r="E18" s="242" t="e">
        <v>#REF!</v>
      </c>
      <c r="F18" s="242">
        <v>333334</v>
      </c>
      <c r="G18" s="242">
        <v>59457.36</v>
      </c>
      <c r="H18" s="242">
        <v>115602.68</v>
      </c>
      <c r="I18" s="225">
        <v>-217731.32</v>
      </c>
      <c r="J18" s="224">
        <v>34.680734638530723</v>
      </c>
      <c r="K18" s="591"/>
      <c r="L18" s="1"/>
      <c r="M18" s="23"/>
      <c r="N18" s="1"/>
      <c r="S18" s="52"/>
      <c r="T18" s="52"/>
      <c r="U18" s="53"/>
      <c r="V18" s="53"/>
      <c r="W18" s="53"/>
      <c r="X18" s="53"/>
      <c r="Y18" s="53"/>
    </row>
    <row r="19" spans="1:25" ht="20.100000000000001" customHeight="1" x14ac:dyDescent="0.2">
      <c r="A19" s="243" t="s">
        <v>437</v>
      </c>
      <c r="B19" s="241" t="s">
        <v>51</v>
      </c>
      <c r="C19" s="242"/>
      <c r="D19" s="242"/>
      <c r="E19" s="242"/>
      <c r="F19" s="242"/>
      <c r="G19" s="242">
        <v>0</v>
      </c>
      <c r="H19" s="242">
        <v>0</v>
      </c>
      <c r="I19" s="225" t="s">
        <v>6</v>
      </c>
      <c r="J19" s="224">
        <v>0</v>
      </c>
      <c r="K19" s="591"/>
      <c r="L19" s="1"/>
      <c r="M19" s="23"/>
      <c r="S19" s="52"/>
      <c r="T19" s="52"/>
      <c r="U19" s="53"/>
      <c r="V19" s="53"/>
      <c r="W19" s="53"/>
      <c r="X19" s="53"/>
      <c r="Y19" s="53"/>
    </row>
    <row r="20" spans="1:25" ht="20.100000000000001" customHeight="1" x14ac:dyDescent="0.2">
      <c r="A20" s="243" t="s">
        <v>438</v>
      </c>
      <c r="B20" s="241" t="s">
        <v>52</v>
      </c>
      <c r="C20" s="242">
        <v>2100000</v>
      </c>
      <c r="D20" s="242">
        <v>2100000</v>
      </c>
      <c r="E20" s="242" t="e">
        <v>#REF!</v>
      </c>
      <c r="F20" s="242">
        <v>420000</v>
      </c>
      <c r="G20" s="242">
        <v>0</v>
      </c>
      <c r="H20" s="242">
        <v>420000</v>
      </c>
      <c r="I20" s="225">
        <v>0</v>
      </c>
      <c r="J20" s="224">
        <v>100</v>
      </c>
      <c r="K20" s="591"/>
      <c r="L20" s="1"/>
      <c r="M20" s="23"/>
      <c r="S20" s="52"/>
      <c r="T20" s="52"/>
      <c r="U20" s="53"/>
      <c r="V20" s="53"/>
      <c r="W20" s="53"/>
      <c r="X20" s="53"/>
      <c r="Y20" s="53"/>
    </row>
    <row r="21" spans="1:25" ht="20.100000000000001" customHeight="1" x14ac:dyDescent="0.3">
      <c r="A21" s="244"/>
      <c r="B21" s="245"/>
      <c r="C21" s="245"/>
      <c r="D21" s="239"/>
      <c r="E21" s="239"/>
      <c r="F21" s="239" t="s">
        <v>6</v>
      </c>
      <c r="G21" s="239" t="s">
        <v>6</v>
      </c>
      <c r="H21" s="239" t="s">
        <v>6</v>
      </c>
      <c r="I21" s="226"/>
      <c r="J21" s="222"/>
      <c r="K21" s="590"/>
      <c r="L21" s="1"/>
      <c r="M21" s="23"/>
      <c r="S21" s="52"/>
      <c r="T21" s="52"/>
      <c r="U21" s="53"/>
      <c r="V21" s="53"/>
      <c r="W21" s="53"/>
      <c r="X21" s="53"/>
      <c r="Y21" s="53"/>
    </row>
    <row r="22" spans="1:25" ht="20.100000000000001" customHeight="1" x14ac:dyDescent="0.2">
      <c r="A22" s="234" t="s">
        <v>22</v>
      </c>
      <c r="B22" s="246"/>
      <c r="C22" s="512">
        <v>182671828</v>
      </c>
      <c r="D22" s="236">
        <v>182671828</v>
      </c>
      <c r="E22" s="236">
        <v>99974034</v>
      </c>
      <c r="F22" s="236">
        <v>36529947</v>
      </c>
      <c r="G22" s="236">
        <v>10850926</v>
      </c>
      <c r="H22" s="236">
        <v>10850926</v>
      </c>
      <c r="I22" s="227">
        <v>25679021</v>
      </c>
      <c r="J22" s="219">
        <v>29.70419311038146</v>
      </c>
      <c r="K22" s="592">
        <f>K24+K30</f>
        <v>0</v>
      </c>
      <c r="L22" s="1"/>
      <c r="M22" s="23" t="s">
        <v>6</v>
      </c>
      <c r="S22" s="54"/>
      <c r="T22" s="54"/>
      <c r="U22" s="53"/>
      <c r="V22" s="53"/>
      <c r="W22" s="53"/>
      <c r="X22" s="53"/>
      <c r="Y22" s="53"/>
    </row>
    <row r="23" spans="1:25" ht="20.100000000000001" customHeight="1" x14ac:dyDescent="0.2">
      <c r="A23" s="234" t="s">
        <v>6</v>
      </c>
      <c r="B23" s="246"/>
      <c r="C23" s="246"/>
      <c r="D23" s="236"/>
      <c r="E23" s="236"/>
      <c r="F23" s="236"/>
      <c r="G23" s="236"/>
      <c r="H23" s="236">
        <v>0</v>
      </c>
      <c r="I23" s="227"/>
      <c r="J23" s="219"/>
      <c r="K23" s="592"/>
      <c r="L23" s="1"/>
      <c r="M23" s="23"/>
      <c r="S23" s="52"/>
      <c r="T23" s="52"/>
      <c r="U23" s="53"/>
      <c r="V23" s="53"/>
      <c r="W23" s="53"/>
      <c r="X23" s="53"/>
      <c r="Y23" s="53"/>
    </row>
    <row r="24" spans="1:25" ht="33" customHeight="1" x14ac:dyDescent="0.2">
      <c r="A24" s="247" t="s">
        <v>53</v>
      </c>
      <c r="B24" s="246" t="s">
        <v>54</v>
      </c>
      <c r="C24" s="236">
        <v>127866634</v>
      </c>
      <c r="D24" s="236">
        <v>127866634</v>
      </c>
      <c r="E24" s="236">
        <v>94763500</v>
      </c>
      <c r="F24" s="236">
        <v>25589101</v>
      </c>
      <c r="G24" s="236">
        <v>10850926</v>
      </c>
      <c r="H24" s="236">
        <v>10850926</v>
      </c>
      <c r="I24" s="227">
        <v>-14738175</v>
      </c>
      <c r="J24" s="219">
        <v>42.404483064879848</v>
      </c>
      <c r="K24" s="592">
        <f>SUM(K26:K28)</f>
        <v>0</v>
      </c>
      <c r="L24" s="1"/>
      <c r="M24" s="23"/>
      <c r="S24" s="54"/>
      <c r="T24" s="54"/>
      <c r="U24" s="53"/>
      <c r="V24" s="53"/>
      <c r="W24" s="53"/>
      <c r="X24" s="53"/>
      <c r="Y24" s="53"/>
    </row>
    <row r="25" spans="1:25" ht="17.45" customHeight="1" x14ac:dyDescent="0.2">
      <c r="A25" s="247"/>
      <c r="B25" s="246"/>
      <c r="C25" s="246"/>
      <c r="D25" s="236"/>
      <c r="E25" s="236"/>
      <c r="F25" s="236"/>
      <c r="G25" s="236"/>
      <c r="H25" s="236"/>
      <c r="I25" s="227"/>
      <c r="J25" s="219"/>
      <c r="K25" s="592"/>
      <c r="L25" s="1"/>
      <c r="M25" s="23"/>
      <c r="S25" s="54"/>
      <c r="T25" s="54"/>
      <c r="U25" s="53"/>
      <c r="V25" s="53"/>
      <c r="W25" s="53"/>
      <c r="X25" s="53"/>
      <c r="Y25" s="53"/>
    </row>
    <row r="26" spans="1:25" ht="20.100000000000001" customHeight="1" x14ac:dyDescent="0.3">
      <c r="A26" s="243" t="s">
        <v>55</v>
      </c>
      <c r="B26" s="245"/>
      <c r="C26" s="242">
        <v>111927700</v>
      </c>
      <c r="D26" s="242">
        <v>111927700</v>
      </c>
      <c r="E26" s="242">
        <v>88702609</v>
      </c>
      <c r="F26" s="242">
        <v>22263936</v>
      </c>
      <c r="G26" s="242">
        <v>10840726</v>
      </c>
      <c r="H26" s="242">
        <v>10840726</v>
      </c>
      <c r="I26" s="223">
        <v>-11423210</v>
      </c>
      <c r="J26" s="224">
        <v>48.691866523511386</v>
      </c>
      <c r="K26" s="514">
        <v>0</v>
      </c>
      <c r="L26" s="1"/>
      <c r="M26" s="23"/>
      <c r="S26" s="52"/>
      <c r="T26" s="52"/>
      <c r="U26" s="53"/>
      <c r="V26" s="53"/>
      <c r="W26" s="53"/>
      <c r="X26" s="53"/>
      <c r="Y26" s="53"/>
    </row>
    <row r="27" spans="1:25" ht="20.100000000000001" customHeight="1" x14ac:dyDescent="0.2">
      <c r="A27" s="243" t="s">
        <v>56</v>
      </c>
      <c r="B27" s="241" t="s">
        <v>6</v>
      </c>
      <c r="C27" s="242">
        <v>109200</v>
      </c>
      <c r="D27" s="242">
        <v>109200</v>
      </c>
      <c r="E27" s="242" t="s">
        <v>6</v>
      </c>
      <c r="F27" s="242">
        <v>20100</v>
      </c>
      <c r="G27" s="242">
        <v>10200</v>
      </c>
      <c r="H27" s="242">
        <v>10200</v>
      </c>
      <c r="I27" s="223"/>
      <c r="J27" s="224">
        <v>50.746268656716417</v>
      </c>
      <c r="K27" s="514">
        <v>0</v>
      </c>
      <c r="L27" s="1"/>
      <c r="M27" s="23"/>
      <c r="S27" s="52"/>
      <c r="T27" s="52"/>
      <c r="U27" s="53"/>
      <c r="V27" s="53"/>
      <c r="W27" s="53"/>
      <c r="X27" s="53"/>
      <c r="Y27" s="53"/>
    </row>
    <row r="28" spans="1:25" ht="20.100000000000001" customHeight="1" x14ac:dyDescent="0.2">
      <c r="A28" s="243" t="s">
        <v>57</v>
      </c>
      <c r="B28" s="241"/>
      <c r="C28" s="242">
        <v>15829734</v>
      </c>
      <c r="D28" s="242">
        <v>15829734</v>
      </c>
      <c r="E28" s="242">
        <v>6060891</v>
      </c>
      <c r="F28" s="242">
        <v>3305065</v>
      </c>
      <c r="G28" s="242">
        <v>0</v>
      </c>
      <c r="H28" s="242">
        <v>0</v>
      </c>
      <c r="I28" s="223">
        <v>-3305065</v>
      </c>
      <c r="J28" s="224">
        <v>0</v>
      </c>
      <c r="K28" s="514">
        <v>0</v>
      </c>
      <c r="L28" s="1"/>
      <c r="M28" s="23"/>
      <c r="S28" s="52"/>
      <c r="T28" s="52"/>
      <c r="U28" s="53"/>
      <c r="V28" s="53"/>
      <c r="W28" s="53"/>
      <c r="X28" s="53"/>
      <c r="Y28" s="53"/>
    </row>
    <row r="29" spans="1:25" ht="20.100000000000001" customHeight="1" x14ac:dyDescent="0.3">
      <c r="A29" s="244" t="s">
        <v>6</v>
      </c>
      <c r="B29" s="245"/>
      <c r="C29" s="239" t="s">
        <v>6</v>
      </c>
      <c r="D29" s="239" t="s">
        <v>6</v>
      </c>
      <c r="E29" s="239" t="s">
        <v>6</v>
      </c>
      <c r="F29" s="248" t="s">
        <v>6</v>
      </c>
      <c r="G29" s="242" t="s">
        <v>6</v>
      </c>
      <c r="H29" s="239" t="s">
        <v>6</v>
      </c>
      <c r="I29" s="228"/>
      <c r="J29" s="222"/>
      <c r="K29" s="593" t="s">
        <v>6</v>
      </c>
      <c r="L29" s="1"/>
      <c r="M29" s="23"/>
      <c r="S29" s="52"/>
      <c r="T29" s="52"/>
      <c r="U29" s="53"/>
      <c r="V29" s="53"/>
      <c r="W29" s="53"/>
      <c r="X29" s="53"/>
      <c r="Y29" s="53"/>
    </row>
    <row r="30" spans="1:25" ht="23.25" customHeight="1" x14ac:dyDescent="0.2">
      <c r="A30" s="247" t="s">
        <v>58</v>
      </c>
      <c r="B30" s="246" t="s">
        <v>59</v>
      </c>
      <c r="C30" s="236">
        <v>54805194</v>
      </c>
      <c r="D30" s="236">
        <v>54805194</v>
      </c>
      <c r="E30" s="236">
        <v>5210534</v>
      </c>
      <c r="F30" s="236">
        <v>10940846</v>
      </c>
      <c r="G30" s="236">
        <v>0</v>
      </c>
      <c r="H30" s="236">
        <v>0</v>
      </c>
      <c r="I30" s="218">
        <v>-10940846</v>
      </c>
      <c r="J30" s="219">
        <v>0</v>
      </c>
      <c r="K30" s="592">
        <v>0</v>
      </c>
      <c r="L30" s="1" t="s">
        <v>6</v>
      </c>
      <c r="M30" s="23"/>
      <c r="S30" s="55"/>
      <c r="T30" s="55"/>
      <c r="U30" s="53"/>
      <c r="V30" s="53"/>
      <c r="W30" s="53"/>
      <c r="X30" s="53"/>
      <c r="Y30" s="53"/>
    </row>
    <row r="31" spans="1:25" ht="20.100000000000001" customHeight="1" thickBot="1" x14ac:dyDescent="0.35">
      <c r="A31" s="249" t="s">
        <v>6</v>
      </c>
      <c r="B31" s="250"/>
      <c r="C31" s="466"/>
      <c r="D31" s="251"/>
      <c r="E31" s="251"/>
      <c r="F31" s="251">
        <v>0</v>
      </c>
      <c r="G31" s="466" t="s">
        <v>6</v>
      </c>
      <c r="H31" s="251" t="s">
        <v>6</v>
      </c>
      <c r="I31" s="229"/>
      <c r="J31" s="230"/>
    </row>
    <row r="32" spans="1:25" ht="10.5" customHeight="1" x14ac:dyDescent="0.3">
      <c r="A32" s="83" t="s">
        <v>6</v>
      </c>
      <c r="B32" s="82"/>
      <c r="C32" s="513"/>
      <c r="D32" s="82"/>
      <c r="E32" s="82"/>
      <c r="F32" s="82"/>
      <c r="G32" s="82"/>
      <c r="H32" s="82"/>
      <c r="I32" s="82"/>
      <c r="J32" s="82"/>
    </row>
    <row r="33" spans="1:10" ht="15.75" x14ac:dyDescent="0.3">
      <c r="A33" s="586" t="s">
        <v>566</v>
      </c>
      <c r="B33" s="586"/>
      <c r="C33" s="514"/>
      <c r="D33" s="82"/>
      <c r="E33" s="82"/>
      <c r="F33" s="82" t="s">
        <v>6</v>
      </c>
      <c r="G33" s="82"/>
      <c r="H33" s="82"/>
      <c r="I33" s="82"/>
      <c r="J33" s="82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89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>
    <tabColor theme="6" tint="0.39997558519241921"/>
  </sheetPr>
  <dimension ref="A1:X56"/>
  <sheetViews>
    <sheetView showGridLines="0" showZeros="0" workbookViewId="0">
      <selection activeCell="L15" sqref="L15"/>
    </sheetView>
  </sheetViews>
  <sheetFormatPr baseColWidth="10" defaultColWidth="11.42578125" defaultRowHeight="12.75" x14ac:dyDescent="0.2"/>
  <cols>
    <col min="1" max="1" width="39.140625" style="25" customWidth="1"/>
    <col min="2" max="2" width="12.28515625" style="25" customWidth="1"/>
    <col min="3" max="3" width="14.85546875" style="25" customWidth="1"/>
    <col min="4" max="4" width="17.140625" style="25" hidden="1" customWidth="1"/>
    <col min="5" max="5" width="17.7109375" style="25" hidden="1" customWidth="1"/>
    <col min="6" max="6" width="13.7109375" style="25" customWidth="1"/>
    <col min="7" max="7" width="14.5703125" style="25" customWidth="1"/>
    <col min="8" max="8" width="13.42578125" style="25" customWidth="1"/>
    <col min="9" max="9" width="4" customWidth="1"/>
  </cols>
  <sheetData>
    <row r="1" spans="1:24" ht="6.75" customHeight="1" x14ac:dyDescent="0.2">
      <c r="A1" s="60"/>
      <c r="B1" s="60"/>
      <c r="C1" s="60"/>
      <c r="D1" s="61"/>
      <c r="E1" s="61"/>
      <c r="F1" s="61"/>
      <c r="G1" s="61"/>
      <c r="H1" s="62"/>
    </row>
    <row r="2" spans="1:24" ht="15" customHeight="1" x14ac:dyDescent="0.25">
      <c r="A2" s="601" t="s">
        <v>410</v>
      </c>
      <c r="B2" s="601"/>
      <c r="C2" s="601"/>
      <c r="D2" s="601"/>
      <c r="E2" s="601"/>
      <c r="F2" s="601"/>
      <c r="G2" s="601"/>
      <c r="H2" s="601"/>
      <c r="I2" s="36"/>
      <c r="J2" s="36"/>
    </row>
    <row r="3" spans="1:24" ht="16.5" customHeight="1" x14ac:dyDescent="0.25">
      <c r="A3" s="601" t="s">
        <v>411</v>
      </c>
      <c r="B3" s="601"/>
      <c r="C3" s="601"/>
      <c r="D3" s="601"/>
      <c r="E3" s="601"/>
      <c r="F3" s="601"/>
      <c r="G3" s="601"/>
      <c r="H3" s="601"/>
      <c r="I3" s="36"/>
      <c r="J3" s="36"/>
    </row>
    <row r="4" spans="1:24" ht="18" customHeight="1" x14ac:dyDescent="0.25">
      <c r="A4" s="602" t="s">
        <v>401</v>
      </c>
      <c r="B4" s="602"/>
      <c r="C4" s="602"/>
      <c r="D4" s="602"/>
      <c r="E4" s="602"/>
      <c r="F4" s="602"/>
      <c r="G4" s="602"/>
      <c r="H4" s="602"/>
    </row>
    <row r="5" spans="1:24" ht="18" customHeight="1" x14ac:dyDescent="0.25">
      <c r="A5" s="602" t="s">
        <v>567</v>
      </c>
      <c r="B5" s="602"/>
      <c r="C5" s="602"/>
      <c r="D5" s="602"/>
      <c r="E5" s="602"/>
      <c r="F5" s="602"/>
      <c r="G5" s="602"/>
      <c r="H5" s="602"/>
    </row>
    <row r="6" spans="1:24" ht="15.75" customHeight="1" x14ac:dyDescent="0.2">
      <c r="A6" s="35"/>
      <c r="B6" s="35"/>
      <c r="C6" s="35"/>
      <c r="D6" s="35"/>
      <c r="E6" s="35"/>
      <c r="F6" s="35"/>
      <c r="G6" s="35"/>
      <c r="H6" s="35" t="s">
        <v>6</v>
      </c>
    </row>
    <row r="7" spans="1:24" ht="20.25" customHeight="1" x14ac:dyDescent="0.2">
      <c r="A7" s="623" t="s">
        <v>0</v>
      </c>
      <c r="B7" s="627" t="s">
        <v>34</v>
      </c>
      <c r="C7" s="628"/>
      <c r="D7" s="628"/>
      <c r="E7" s="628"/>
      <c r="F7" s="629"/>
      <c r="G7" s="630" t="s">
        <v>554</v>
      </c>
      <c r="H7" s="625" t="s">
        <v>402</v>
      </c>
    </row>
    <row r="8" spans="1:24" ht="24" customHeight="1" x14ac:dyDescent="0.2">
      <c r="A8" s="624"/>
      <c r="B8" s="554" t="s">
        <v>98</v>
      </c>
      <c r="C8" s="555" t="s">
        <v>12</v>
      </c>
      <c r="D8" s="542" t="s">
        <v>12</v>
      </c>
      <c r="E8" s="542" t="s">
        <v>12</v>
      </c>
      <c r="F8" s="542" t="s">
        <v>2</v>
      </c>
      <c r="G8" s="631"/>
      <c r="H8" s="626"/>
    </row>
    <row r="9" spans="1:24" s="6" customFormat="1" ht="6" customHeight="1" x14ac:dyDescent="0.2">
      <c r="A9" s="183"/>
      <c r="B9" s="183"/>
      <c r="C9" s="254"/>
      <c r="D9" s="255" t="s">
        <v>6</v>
      </c>
      <c r="E9" s="255"/>
      <c r="F9" s="255"/>
      <c r="G9" s="255" t="s">
        <v>6</v>
      </c>
      <c r="H9" s="256" t="s">
        <v>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24.95" customHeight="1" x14ac:dyDescent="0.2">
      <c r="A10" s="191" t="s">
        <v>60</v>
      </c>
      <c r="B10" s="260">
        <f>+[2]CA1!C11</f>
        <v>141094806</v>
      </c>
      <c r="C10" s="260">
        <f>+[2]CA1!D11</f>
        <v>141094806</v>
      </c>
      <c r="D10" s="260">
        <f>+[2]CA1!D11</f>
        <v>141094806</v>
      </c>
      <c r="E10" s="195"/>
      <c r="F10" s="195">
        <f>+BALANCE!E11</f>
        <v>27397642</v>
      </c>
      <c r="G10" s="195">
        <f>+BALANCE!G11</f>
        <v>12859483.859999999</v>
      </c>
      <c r="H10" s="257">
        <f>G10/F10*100</f>
        <v>46.93646212327323</v>
      </c>
      <c r="I10" s="19"/>
    </row>
    <row r="11" spans="1:24" ht="15" customHeight="1" x14ac:dyDescent="0.2">
      <c r="A11" s="191"/>
      <c r="B11" s="191"/>
      <c r="C11" s="260" t="s">
        <v>6</v>
      </c>
      <c r="D11" s="260">
        <f>+FUNCIONAMIENTO!D181</f>
        <v>20000</v>
      </c>
      <c r="E11" s="195"/>
      <c r="F11" s="195"/>
      <c r="G11" s="195"/>
      <c r="H11" s="258"/>
      <c r="I11" s="19" t="s">
        <v>6</v>
      </c>
    </row>
    <row r="12" spans="1:24" ht="24.95" customHeight="1" x14ac:dyDescent="0.2">
      <c r="A12" s="259" t="s">
        <v>61</v>
      </c>
      <c r="B12" s="517">
        <f>+B14+B15</f>
        <v>141094806</v>
      </c>
      <c r="C12" s="260">
        <f>+'BALANCE GASTOS'!C11</f>
        <v>141094806</v>
      </c>
      <c r="D12" s="260" t="e">
        <f>+'BALANCE GASTOS'!#REF!</f>
        <v>#REF!</v>
      </c>
      <c r="E12" s="260"/>
      <c r="F12" s="260">
        <f>+FUNCIONAMIENTO!E182</f>
        <v>32792057</v>
      </c>
      <c r="G12" s="260">
        <f>+FUNCIONAMIENTO!G182</f>
        <v>15488849.27</v>
      </c>
      <c r="H12" s="257">
        <f>G12/F12*100</f>
        <v>47.23353972579396</v>
      </c>
    </row>
    <row r="13" spans="1:24" ht="15" customHeight="1" x14ac:dyDescent="0.3">
      <c r="A13" s="261"/>
      <c r="B13" s="261"/>
      <c r="C13" s="260" t="s">
        <v>6</v>
      </c>
      <c r="D13" s="260">
        <f>+FUNCIONAMIENTO!D183</f>
        <v>0</v>
      </c>
      <c r="E13" s="262"/>
      <c r="F13" s="262"/>
      <c r="G13" s="262" t="s">
        <v>6</v>
      </c>
      <c r="H13" s="263"/>
    </row>
    <row r="14" spans="1:24" ht="24.95" customHeight="1" x14ac:dyDescent="0.2">
      <c r="A14" s="264" t="s">
        <v>62</v>
      </c>
      <c r="B14" s="265">
        <f>+'BALANCE GASTOS'!B13</f>
        <v>138802166</v>
      </c>
      <c r="C14" s="265">
        <f>+'BALANCE GASTOS'!C13</f>
        <v>138672166</v>
      </c>
      <c r="D14" s="260" t="e">
        <f>+'BALANCE GASTOS'!#REF!</f>
        <v>#REF!</v>
      </c>
      <c r="E14" s="265"/>
      <c r="F14" s="265">
        <f>+'BALANCE GASTOS'!D13</f>
        <v>30727059</v>
      </c>
      <c r="G14" s="265">
        <f>+G12-G15</f>
        <v>15475150.559999999</v>
      </c>
      <c r="H14" s="266">
        <f>G14/F14*100</f>
        <v>50.363266331476751</v>
      </c>
    </row>
    <row r="15" spans="1:24" ht="24.95" customHeight="1" x14ac:dyDescent="0.2">
      <c r="A15" s="267" t="s">
        <v>63</v>
      </c>
      <c r="B15" s="265">
        <f>+FUNCIONAMIENTO!C159</f>
        <v>2292640</v>
      </c>
      <c r="C15" s="265">
        <f>+FUNCIONAMIENTO!D159</f>
        <v>2422640</v>
      </c>
      <c r="D15" s="260" t="e">
        <f>+'BALANCE GASTOS'!#REF!</f>
        <v>#REF!</v>
      </c>
      <c r="E15" s="265"/>
      <c r="F15" s="265">
        <f>+FUNCIONAMIENTO!E159</f>
        <v>2064998</v>
      </c>
      <c r="G15" s="265">
        <f>+FUNCIONAMIENTO!G159</f>
        <v>13698.71</v>
      </c>
      <c r="H15" s="266">
        <f>G15/F15*100</f>
        <v>0.66337642942027064</v>
      </c>
    </row>
    <row r="16" spans="1:24" ht="13.5" customHeight="1" x14ac:dyDescent="0.2">
      <c r="A16" s="267"/>
      <c r="B16" s="267"/>
      <c r="C16" s="268"/>
      <c r="D16" s="265"/>
      <c r="E16" s="265"/>
      <c r="F16" s="265"/>
      <c r="G16" s="265"/>
      <c r="H16" s="266" t="s">
        <v>6</v>
      </c>
      <c r="L16" s="1" t="s">
        <v>6</v>
      </c>
    </row>
    <row r="17" spans="1:11" ht="24.95" customHeight="1" x14ac:dyDescent="0.2">
      <c r="A17" s="259" t="s">
        <v>439</v>
      </c>
      <c r="B17" s="259"/>
      <c r="C17" s="269"/>
      <c r="D17" s="270">
        <v>0</v>
      </c>
      <c r="E17" s="270"/>
      <c r="F17" s="270">
        <v>0</v>
      </c>
      <c r="G17" s="271">
        <f>G10-G12</f>
        <v>-2629365.41</v>
      </c>
      <c r="H17" s="266" t="s">
        <v>6</v>
      </c>
    </row>
    <row r="18" spans="1:11" ht="12.75" customHeight="1" x14ac:dyDescent="0.2">
      <c r="A18" s="267" t="s">
        <v>6</v>
      </c>
      <c r="B18" s="267"/>
      <c r="C18" s="268"/>
      <c r="D18" s="265"/>
      <c r="E18" s="265"/>
      <c r="F18" s="265"/>
      <c r="G18" s="265"/>
      <c r="H18" s="266" t="s">
        <v>6</v>
      </c>
    </row>
    <row r="19" spans="1:11" ht="24.95" customHeight="1" x14ac:dyDescent="0.2">
      <c r="A19" s="259" t="s">
        <v>64</v>
      </c>
      <c r="B19" s="516">
        <f>+B21</f>
        <v>56905194</v>
      </c>
      <c r="C19" s="260">
        <f>SUM(C21)</f>
        <v>56905194</v>
      </c>
      <c r="D19" s="260">
        <f>SUM(D21:D24)</f>
        <v>56905194</v>
      </c>
      <c r="E19" s="260"/>
      <c r="F19" s="260">
        <f>SUM(F21:F24)</f>
        <v>13341289</v>
      </c>
      <c r="G19" s="260">
        <f>SUM(G21:G24)</f>
        <v>3838580.31</v>
      </c>
      <c r="H19" s="257">
        <f>G19/F19*100</f>
        <v>28.772184681705042</v>
      </c>
    </row>
    <row r="20" spans="1:11" ht="15.75" customHeight="1" x14ac:dyDescent="0.2">
      <c r="A20" s="267"/>
      <c r="B20" s="267"/>
      <c r="C20" s="268"/>
      <c r="D20" s="265" t="s">
        <v>6</v>
      </c>
      <c r="E20" s="265"/>
      <c r="F20" s="265" t="s">
        <v>6</v>
      </c>
      <c r="G20" s="265"/>
      <c r="H20" s="266" t="s">
        <v>6</v>
      </c>
    </row>
    <row r="21" spans="1:11" ht="24.95" customHeight="1" x14ac:dyDescent="0.2">
      <c r="A21" s="267" t="s">
        <v>440</v>
      </c>
      <c r="B21" s="265">
        <f>+PROYECTOS!B40</f>
        <v>56905194</v>
      </c>
      <c r="C21" s="265">
        <f>+PROYECTOS!C40</f>
        <v>56905194</v>
      </c>
      <c r="D21" s="265">
        <f>+PROYECTOS!B40</f>
        <v>56905194</v>
      </c>
      <c r="E21" s="265"/>
      <c r="F21" s="265">
        <f>+PROYECTOS!D40</f>
        <v>13341289</v>
      </c>
      <c r="G21" s="265">
        <f>+PROYECTOS!F40</f>
        <v>3838580.31</v>
      </c>
      <c r="H21" s="266">
        <f>G21/F21*100</f>
        <v>28.772184681705042</v>
      </c>
      <c r="I21" t="s">
        <v>6</v>
      </c>
    </row>
    <row r="22" spans="1:11" ht="24.95" customHeight="1" x14ac:dyDescent="0.2">
      <c r="A22" s="267" t="s">
        <v>65</v>
      </c>
      <c r="B22" s="267"/>
      <c r="C22" s="268"/>
      <c r="D22" s="265">
        <v>0</v>
      </c>
      <c r="E22" s="265"/>
      <c r="F22" s="265">
        <v>0</v>
      </c>
      <c r="G22" s="265" t="s">
        <v>6</v>
      </c>
      <c r="H22" s="266" t="s">
        <v>6</v>
      </c>
    </row>
    <row r="23" spans="1:11" ht="24.95" customHeight="1" x14ac:dyDescent="0.2">
      <c r="A23" s="267" t="s">
        <v>66</v>
      </c>
      <c r="B23" s="267"/>
      <c r="C23" s="268"/>
      <c r="D23" s="265">
        <v>0</v>
      </c>
      <c r="E23" s="265"/>
      <c r="F23" s="265">
        <v>0</v>
      </c>
      <c r="G23" s="265">
        <v>0</v>
      </c>
      <c r="H23" s="266" t="s">
        <v>6</v>
      </c>
    </row>
    <row r="24" spans="1:11" ht="24.95" customHeight="1" x14ac:dyDescent="0.2">
      <c r="A24" s="267" t="s">
        <v>67</v>
      </c>
      <c r="B24" s="267"/>
      <c r="C24" s="268"/>
      <c r="D24" s="265" t="s">
        <v>6</v>
      </c>
      <c r="E24" s="265"/>
      <c r="F24" s="265" t="s">
        <v>6</v>
      </c>
      <c r="G24" s="265">
        <v>0</v>
      </c>
      <c r="H24" s="266" t="s">
        <v>6</v>
      </c>
    </row>
    <row r="25" spans="1:11" ht="11.25" customHeight="1" x14ac:dyDescent="0.2">
      <c r="A25" s="267"/>
      <c r="B25" s="267"/>
      <c r="C25" s="268"/>
      <c r="D25" s="265"/>
      <c r="E25" s="265"/>
      <c r="F25" s="265"/>
      <c r="G25" s="265" t="s">
        <v>6</v>
      </c>
      <c r="H25" s="266" t="s">
        <v>6</v>
      </c>
    </row>
    <row r="26" spans="1:11" ht="24.95" customHeight="1" x14ac:dyDescent="0.2">
      <c r="A26" s="259" t="s">
        <v>68</v>
      </c>
      <c r="B26" s="517">
        <f>+B28+B30</f>
        <v>56905194</v>
      </c>
      <c r="C26" s="260">
        <f>SUM(C28:C30)</f>
        <v>56905194</v>
      </c>
      <c r="D26" s="260" t="e">
        <f>SUM(D28:D30)</f>
        <v>#REF!</v>
      </c>
      <c r="E26" s="260"/>
      <c r="F26" s="260">
        <f>SUM(F28:F30)</f>
        <v>420000</v>
      </c>
      <c r="G26" s="260">
        <f>SUM(G28:G30)</f>
        <v>420000</v>
      </c>
      <c r="H26" s="257">
        <f>G26/F26*100</f>
        <v>100</v>
      </c>
    </row>
    <row r="27" spans="1:11" ht="12.75" customHeight="1" x14ac:dyDescent="0.2">
      <c r="A27" s="267"/>
      <c r="B27" s="267"/>
      <c r="C27" s="268"/>
      <c r="D27" s="265"/>
      <c r="E27" s="265"/>
      <c r="F27" s="265"/>
      <c r="G27" s="265"/>
      <c r="H27" s="266" t="s">
        <v>6</v>
      </c>
    </row>
    <row r="28" spans="1:11" ht="24.95" customHeight="1" x14ac:dyDescent="0.2">
      <c r="A28" s="267" t="s">
        <v>69</v>
      </c>
      <c r="B28" s="265">
        <f>+BALANCE!C40</f>
        <v>2100000</v>
      </c>
      <c r="C28" s="265">
        <f>+BALANCE!D40</f>
        <v>2100000</v>
      </c>
      <c r="D28" s="265">
        <f>+BALANCE!D40</f>
        <v>2100000</v>
      </c>
      <c r="E28" s="265"/>
      <c r="F28" s="265">
        <f>+BALANCE!E40</f>
        <v>420000</v>
      </c>
      <c r="G28" s="265">
        <f>+BALANCE!G41</f>
        <v>420000</v>
      </c>
      <c r="H28" s="266">
        <f>G28/F28*100</f>
        <v>100</v>
      </c>
    </row>
    <row r="29" spans="1:11" ht="24.95" customHeight="1" x14ac:dyDescent="0.2">
      <c r="A29" s="267" t="s">
        <v>441</v>
      </c>
      <c r="B29" s="267"/>
      <c r="C29" s="268"/>
      <c r="D29" s="265">
        <v>0</v>
      </c>
      <c r="E29" s="265"/>
      <c r="F29" s="265">
        <v>0</v>
      </c>
      <c r="G29" s="265">
        <v>0</v>
      </c>
      <c r="H29" s="266" t="s">
        <v>6</v>
      </c>
      <c r="K29" t="s">
        <v>6</v>
      </c>
    </row>
    <row r="30" spans="1:11" ht="24.95" customHeight="1" x14ac:dyDescent="0.2">
      <c r="A30" s="267" t="s">
        <v>70</v>
      </c>
      <c r="B30" s="265">
        <f>+BALANCE!C37</f>
        <v>54805194</v>
      </c>
      <c r="C30" s="265">
        <f>+BALANCE!D37</f>
        <v>54805194</v>
      </c>
      <c r="D30" s="265" t="e">
        <f>+BALANCE!#REF!</f>
        <v>#REF!</v>
      </c>
      <c r="E30" s="265"/>
      <c r="F30" s="265">
        <v>0</v>
      </c>
      <c r="G30" s="265">
        <f>+BALANCE!G37</f>
        <v>0</v>
      </c>
      <c r="H30" s="266" t="s">
        <v>6</v>
      </c>
    </row>
    <row r="31" spans="1:11" ht="8.25" customHeight="1" x14ac:dyDescent="0.3">
      <c r="A31" s="272"/>
      <c r="B31" s="272"/>
      <c r="C31" s="273"/>
      <c r="D31" s="274" t="s">
        <v>6</v>
      </c>
      <c r="E31" s="274"/>
      <c r="F31" s="274" t="s">
        <v>6</v>
      </c>
      <c r="G31" s="262" t="s">
        <v>6</v>
      </c>
      <c r="H31" s="263" t="s">
        <v>6</v>
      </c>
    </row>
    <row r="32" spans="1:11" ht="24.95" customHeight="1" x14ac:dyDescent="0.3">
      <c r="A32" s="275" t="s">
        <v>71</v>
      </c>
      <c r="B32" s="515"/>
      <c r="C32" s="276"/>
      <c r="D32" s="277" t="s">
        <v>6</v>
      </c>
      <c r="E32" s="277"/>
      <c r="F32" s="277" t="s">
        <v>6</v>
      </c>
      <c r="G32" s="519">
        <f>G17-G19+G26</f>
        <v>-6047945.7200000007</v>
      </c>
      <c r="H32" s="278" t="s">
        <v>6</v>
      </c>
    </row>
    <row r="33" spans="1:11" ht="16.5" customHeight="1" x14ac:dyDescent="0.2">
      <c r="A33" s="253" t="s">
        <v>6</v>
      </c>
      <c r="B33" s="253"/>
      <c r="C33" s="253"/>
      <c r="D33" s="63"/>
      <c r="E33" s="63"/>
      <c r="F33" s="63"/>
      <c r="G33" s="63"/>
      <c r="H33" s="63"/>
      <c r="I33" s="34"/>
      <c r="J33" s="25"/>
      <c r="K33" s="25"/>
    </row>
    <row r="34" spans="1:11" ht="13.5" customHeight="1" x14ac:dyDescent="0.2">
      <c r="A34" s="586" t="s">
        <v>566</v>
      </c>
      <c r="I34" s="25"/>
      <c r="J34" s="48"/>
      <c r="K34" s="25"/>
    </row>
    <row r="35" spans="1:11" ht="12.75" customHeight="1" x14ac:dyDescent="0.2">
      <c r="G35" s="622" t="s">
        <v>6</v>
      </c>
      <c r="H35" s="622"/>
      <c r="I35" s="25"/>
      <c r="J35" s="49" t="s">
        <v>6</v>
      </c>
      <c r="K35" s="25"/>
    </row>
    <row r="36" spans="1:11" ht="14.25" customHeight="1" x14ac:dyDescent="0.2">
      <c r="D36" s="34"/>
      <c r="E36" s="34"/>
      <c r="F36" s="34"/>
      <c r="G36" s="34"/>
      <c r="H36" s="34"/>
    </row>
    <row r="37" spans="1:11" ht="11.25" customHeight="1" x14ac:dyDescent="0.2">
      <c r="A37" s="34" t="s">
        <v>6</v>
      </c>
      <c r="B37" s="34"/>
      <c r="C37" s="34"/>
    </row>
    <row r="38" spans="1:11" ht="11.25" customHeight="1" x14ac:dyDescent="0.2">
      <c r="A38" s="34"/>
      <c r="B38" s="34"/>
      <c r="C38" s="34"/>
      <c r="J38" t="s">
        <v>6</v>
      </c>
    </row>
    <row r="39" spans="1:11" ht="11.25" customHeight="1" x14ac:dyDescent="0.2">
      <c r="A39" s="34"/>
      <c r="B39" s="34"/>
      <c r="C39" s="34"/>
    </row>
    <row r="56" spans="7:7" x14ac:dyDescent="0.2">
      <c r="G56" s="25" t="s">
        <v>6</v>
      </c>
    </row>
  </sheetData>
  <mergeCells count="9">
    <mergeCell ref="A2:H2"/>
    <mergeCell ref="A3:H3"/>
    <mergeCell ref="G35:H35"/>
    <mergeCell ref="A4:H4"/>
    <mergeCell ref="A5:H5"/>
    <mergeCell ref="A7:A8"/>
    <mergeCell ref="H7:H8"/>
    <mergeCell ref="B7:F7"/>
    <mergeCell ref="G7:G8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ignoredErrors>
    <ignoredError sqref="C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tabColor theme="6" tint="0.39997558519241921"/>
  </sheetPr>
  <dimension ref="A1:K89"/>
  <sheetViews>
    <sheetView showGridLines="0" showZeros="0" topLeftCell="A160" workbookViewId="0">
      <pane ySplit="1560" activePane="bottomLeft"/>
      <selection activeCell="C164" sqref="C164"/>
      <selection pane="bottomLeft" activeCell="G51" sqref="G51"/>
    </sheetView>
  </sheetViews>
  <sheetFormatPr baseColWidth="10" defaultColWidth="11.42578125" defaultRowHeight="12.75" x14ac:dyDescent="0.2"/>
  <cols>
    <col min="1" max="1" width="32" style="25" customWidth="1"/>
    <col min="2" max="2" width="11.28515625" style="25" customWidth="1"/>
    <col min="3" max="3" width="12.7109375" style="25" customWidth="1"/>
    <col min="4" max="4" width="13.28515625" style="25" hidden="1" customWidth="1"/>
    <col min="5" max="5" width="15.140625" style="25" hidden="1" customWidth="1"/>
    <col min="6" max="6" width="12.28515625" style="25" customWidth="1"/>
    <col min="7" max="7" width="15.7109375" style="25" customWidth="1"/>
    <col min="8" max="8" width="12.5703125" style="25" hidden="1" customWidth="1"/>
    <col min="9" max="9" width="14.28515625" style="25" customWidth="1"/>
  </cols>
  <sheetData>
    <row r="1" spans="1:9" ht="18" customHeight="1" x14ac:dyDescent="0.25">
      <c r="A1" s="601" t="s">
        <v>410</v>
      </c>
      <c r="B1" s="601"/>
      <c r="C1" s="601"/>
      <c r="D1" s="601"/>
      <c r="E1" s="601"/>
      <c r="F1" s="601"/>
      <c r="G1" s="601"/>
      <c r="H1" s="601"/>
      <c r="I1" s="601"/>
    </row>
    <row r="2" spans="1:9" ht="19.5" customHeight="1" x14ac:dyDescent="0.25">
      <c r="A2" s="601" t="s">
        <v>411</v>
      </c>
      <c r="B2" s="601"/>
      <c r="C2" s="601"/>
      <c r="D2" s="601"/>
      <c r="E2" s="601"/>
      <c r="F2" s="601"/>
      <c r="G2" s="601"/>
      <c r="H2" s="601"/>
      <c r="I2" s="601"/>
    </row>
    <row r="3" spans="1:9" ht="18" customHeight="1" x14ac:dyDescent="0.25">
      <c r="A3" s="602" t="s">
        <v>412</v>
      </c>
      <c r="B3" s="602"/>
      <c r="C3" s="602"/>
      <c r="D3" s="602"/>
      <c r="E3" s="602"/>
      <c r="F3" s="602"/>
      <c r="G3" s="602"/>
      <c r="H3" s="602"/>
      <c r="I3" s="602"/>
    </row>
    <row r="4" spans="1:9" ht="18" customHeight="1" x14ac:dyDescent="0.25">
      <c r="A4" s="602" t="s">
        <v>567</v>
      </c>
      <c r="B4" s="602"/>
      <c r="C4" s="602"/>
      <c r="D4" s="602"/>
      <c r="E4" s="602"/>
      <c r="F4" s="602"/>
      <c r="G4" s="602"/>
      <c r="H4" s="602"/>
      <c r="I4" s="602"/>
    </row>
    <row r="5" spans="1:9" ht="3" customHeight="1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ht="18" customHeight="1" x14ac:dyDescent="0.2">
      <c r="A6" s="635" t="s">
        <v>505</v>
      </c>
      <c r="B6" s="635"/>
      <c r="C6" s="635"/>
      <c r="D6" s="635"/>
      <c r="E6" s="635"/>
      <c r="F6" s="635"/>
      <c r="G6" s="635"/>
      <c r="H6" s="635"/>
      <c r="I6" s="635"/>
    </row>
    <row r="7" spans="1:9" ht="8.25" customHeight="1" x14ac:dyDescent="0.25">
      <c r="A7" s="36"/>
      <c r="B7" s="36"/>
      <c r="C7" s="36"/>
      <c r="D7" s="36"/>
      <c r="E7" s="34"/>
      <c r="F7" s="34"/>
      <c r="G7" s="34"/>
      <c r="H7" s="34"/>
      <c r="I7" s="35"/>
    </row>
    <row r="8" spans="1:9" ht="20.100000000000001" customHeight="1" x14ac:dyDescent="0.2">
      <c r="A8" s="633" t="s">
        <v>0</v>
      </c>
      <c r="B8" s="637" t="s">
        <v>34</v>
      </c>
      <c r="C8" s="638"/>
      <c r="D8" s="638"/>
      <c r="E8" s="638"/>
      <c r="F8" s="639"/>
      <c r="G8" s="630" t="s">
        <v>555</v>
      </c>
      <c r="H8" s="556"/>
      <c r="I8" s="625" t="s">
        <v>402</v>
      </c>
    </row>
    <row r="9" spans="1:9" ht="18" customHeight="1" x14ac:dyDescent="0.2">
      <c r="A9" s="634"/>
      <c r="B9" s="557" t="s">
        <v>98</v>
      </c>
      <c r="C9" s="543" t="s">
        <v>12</v>
      </c>
      <c r="D9" s="543" t="s">
        <v>12</v>
      </c>
      <c r="E9" s="558" t="s">
        <v>12</v>
      </c>
      <c r="F9" s="558" t="s">
        <v>2</v>
      </c>
      <c r="G9" s="640"/>
      <c r="H9" s="559" t="s">
        <v>24</v>
      </c>
      <c r="I9" s="636"/>
    </row>
    <row r="10" spans="1:9" ht="6.75" customHeight="1" x14ac:dyDescent="0.3">
      <c r="A10" s="283"/>
      <c r="B10" s="283"/>
      <c r="C10" s="284"/>
      <c r="D10" s="285"/>
      <c r="E10" s="286"/>
      <c r="F10" s="287"/>
      <c r="G10" s="287"/>
      <c r="H10" s="287"/>
      <c r="I10" s="288"/>
    </row>
    <row r="11" spans="1:9" ht="18" customHeight="1" x14ac:dyDescent="0.3">
      <c r="A11" s="289" t="s">
        <v>25</v>
      </c>
      <c r="B11" s="289"/>
      <c r="C11" s="290"/>
      <c r="D11" s="291"/>
      <c r="E11" s="291"/>
      <c r="F11" s="291"/>
      <c r="G11" s="291"/>
      <c r="H11" s="291"/>
      <c r="I11" s="292"/>
    </row>
    <row r="12" spans="1:9" ht="9" customHeight="1" x14ac:dyDescent="0.2">
      <c r="A12" s="191"/>
      <c r="B12" s="191"/>
      <c r="C12" s="293"/>
      <c r="D12" s="293"/>
      <c r="E12" s="293"/>
      <c r="F12" s="293"/>
      <c r="G12" s="293"/>
      <c r="H12" s="293"/>
      <c r="I12" s="197"/>
    </row>
    <row r="13" spans="1:9" ht="15" customHeight="1" x14ac:dyDescent="0.2">
      <c r="A13" s="191" t="s">
        <v>26</v>
      </c>
      <c r="B13" s="294">
        <f>B16</f>
        <v>141094.80600000001</v>
      </c>
      <c r="C13" s="294">
        <f>C16</f>
        <v>141094.80600000001</v>
      </c>
      <c r="D13" s="294" t="e">
        <f>+D16</f>
        <v>#REF!</v>
      </c>
      <c r="E13" s="294" t="e">
        <f>+E16+#REF!</f>
        <v>#REF!</v>
      </c>
      <c r="F13" s="294">
        <f>+F16</f>
        <v>27397.641999999996</v>
      </c>
      <c r="G13" s="294">
        <f>+G16</f>
        <v>12859.48386</v>
      </c>
      <c r="H13" s="295" t="e">
        <f>+G13-E13</f>
        <v>#REF!</v>
      </c>
      <c r="I13" s="194">
        <f>G13/F13*100</f>
        <v>46.936462123273245</v>
      </c>
    </row>
    <row r="14" spans="1:9" ht="11.25" customHeight="1" x14ac:dyDescent="0.3">
      <c r="A14" s="296"/>
      <c r="B14" s="297"/>
      <c r="C14" s="297"/>
      <c r="D14" s="297"/>
      <c r="E14" s="297"/>
      <c r="F14" s="297"/>
      <c r="G14" s="297"/>
      <c r="H14" s="297"/>
      <c r="I14" s="298" t="s">
        <v>6</v>
      </c>
    </row>
    <row r="15" spans="1:9" ht="15" customHeight="1" x14ac:dyDescent="0.3">
      <c r="A15" s="191" t="s">
        <v>72</v>
      </c>
      <c r="B15" s="297"/>
      <c r="C15" s="297"/>
      <c r="D15" s="297"/>
      <c r="E15" s="297"/>
      <c r="F15" s="297"/>
      <c r="G15" s="297"/>
      <c r="H15" s="297"/>
      <c r="I15" s="298" t="s">
        <v>6</v>
      </c>
    </row>
    <row r="16" spans="1:9" ht="15" customHeight="1" x14ac:dyDescent="0.2">
      <c r="A16" s="191" t="s">
        <v>73</v>
      </c>
      <c r="B16" s="294">
        <f>SUM(B17:B20)</f>
        <v>141094.80600000001</v>
      </c>
      <c r="C16" s="294">
        <f>SUM(C17:C20)</f>
        <v>141094.80600000001</v>
      </c>
      <c r="D16" s="294" t="e">
        <f>SUM(D17:D20)</f>
        <v>#REF!</v>
      </c>
      <c r="E16" s="294">
        <f>SUM(E17:E20)</f>
        <v>141094.80600000001</v>
      </c>
      <c r="F16" s="294">
        <f>+F17+F18+F19+F20</f>
        <v>27397.641999999996</v>
      </c>
      <c r="G16" s="299">
        <f>+(BALANCE!G13)/1000</f>
        <v>12859.48386</v>
      </c>
      <c r="H16" s="295">
        <f>+G16-E16</f>
        <v>-128235.32214</v>
      </c>
      <c r="I16" s="194">
        <f t="shared" ref="I16:I51" si="0">G16/F16*100</f>
        <v>46.936462123273245</v>
      </c>
    </row>
    <row r="17" spans="1:11" ht="15" customHeight="1" x14ac:dyDescent="0.2">
      <c r="A17" s="202" t="s">
        <v>74</v>
      </c>
      <c r="B17" s="299">
        <f>+(BALANCE!C15)/1000</f>
        <v>5476.4920000000002</v>
      </c>
      <c r="C17" s="299">
        <f>+(BALANCE!D15)/1000</f>
        <v>5476.4920000000002</v>
      </c>
      <c r="D17" s="299" t="e">
        <f>+(BALANCE!#REF!)/1000</f>
        <v>#REF!</v>
      </c>
      <c r="E17" s="299">
        <f>+(BALANCE!D15)/1000</f>
        <v>5476.4920000000002</v>
      </c>
      <c r="F17" s="299">
        <f>+(BALANCE!E15)/1000</f>
        <v>753.53200000000004</v>
      </c>
      <c r="G17" s="299">
        <f>+(BALANCE!G15)/1000</f>
        <v>532.43160999999998</v>
      </c>
      <c r="H17" s="300">
        <f>+G17-E17</f>
        <v>-4944.0603900000006</v>
      </c>
      <c r="I17" s="201">
        <f t="shared" si="0"/>
        <v>70.658128652797743</v>
      </c>
      <c r="J17" t="s">
        <v>6</v>
      </c>
    </row>
    <row r="18" spans="1:11" ht="15" customHeight="1" x14ac:dyDescent="0.2">
      <c r="A18" s="202" t="s">
        <v>442</v>
      </c>
      <c r="B18" s="299">
        <f>+(BALANCE!C21)/1000</f>
        <v>127866.63400000001</v>
      </c>
      <c r="C18" s="299">
        <f>+(BALANCE!D21)/1000</f>
        <v>127866.63400000001</v>
      </c>
      <c r="D18" s="299">
        <f>+(BALANCE!D21)/1000</f>
        <v>127866.63400000001</v>
      </c>
      <c r="E18" s="299">
        <f>+(BALANCE!D21)/1000</f>
        <v>127866.63400000001</v>
      </c>
      <c r="F18" s="299">
        <f>+(BALANCE!E21)/1000</f>
        <v>25589.100999999999</v>
      </c>
      <c r="G18" s="299">
        <f>+(BALANCE!G21)/1000</f>
        <v>10850.925999999999</v>
      </c>
      <c r="H18" s="300">
        <f>+G18-E18</f>
        <v>-117015.70800000001</v>
      </c>
      <c r="I18" s="201">
        <f t="shared" si="0"/>
        <v>42.404483064879848</v>
      </c>
      <c r="K18" t="s">
        <v>6</v>
      </c>
    </row>
    <row r="19" spans="1:11" ht="15" customHeight="1" x14ac:dyDescent="0.2">
      <c r="A19" s="202" t="s">
        <v>75</v>
      </c>
      <c r="B19" s="299">
        <f>+(BALANCE!C26)/1000</f>
        <v>5251.68</v>
      </c>
      <c r="C19" s="299">
        <f>+(BALANCE!D26)/1000</f>
        <v>5251.68</v>
      </c>
      <c r="D19" s="299" t="e">
        <f>+(BALANCE!#REF!)/1000</f>
        <v>#REF!</v>
      </c>
      <c r="E19" s="299">
        <f>+(BALANCE!D26)/1000</f>
        <v>5251.68</v>
      </c>
      <c r="F19" s="299">
        <f>+(BALANCE!E26)/1000</f>
        <v>721.67499999999995</v>
      </c>
      <c r="G19" s="299">
        <f>+(BALANCE!G26)/1000</f>
        <v>1360.5235699999998</v>
      </c>
      <c r="H19" s="300">
        <f>+G19-E19</f>
        <v>-3891.1564300000005</v>
      </c>
      <c r="I19" s="201">
        <f t="shared" si="0"/>
        <v>188.52302906432951</v>
      </c>
    </row>
    <row r="20" spans="1:11" ht="15" customHeight="1" x14ac:dyDescent="0.2">
      <c r="A20" s="202" t="s">
        <v>76</v>
      </c>
      <c r="B20" s="299">
        <f>+(BALANCE!C31)/1000</f>
        <v>2500</v>
      </c>
      <c r="C20" s="299">
        <f>+(BALANCE!D31)/1000</f>
        <v>2500</v>
      </c>
      <c r="D20" s="299" t="e">
        <f>+(BALANCE!#REF!)/1000</f>
        <v>#REF!</v>
      </c>
      <c r="E20" s="299">
        <f>+(BALANCE!D31)/1000</f>
        <v>2500</v>
      </c>
      <c r="F20" s="299">
        <f>+(BALANCE!E31)/1000</f>
        <v>333.334</v>
      </c>
      <c r="G20" s="299">
        <f>+(BALANCE!G31)/1000</f>
        <v>115.60267999999999</v>
      </c>
      <c r="H20" s="300">
        <f>+G20-E20</f>
        <v>-2384.39732</v>
      </c>
      <c r="I20" s="201">
        <f t="shared" si="0"/>
        <v>34.680734638530723</v>
      </c>
    </row>
    <row r="21" spans="1:11" ht="9" customHeight="1" x14ac:dyDescent="0.3">
      <c r="A21" s="296"/>
      <c r="B21" s="297"/>
      <c r="C21" s="297"/>
      <c r="D21" s="297"/>
      <c r="E21" s="297"/>
      <c r="F21" s="297"/>
      <c r="G21" s="297"/>
      <c r="H21" s="297"/>
      <c r="I21" s="298" t="s">
        <v>6</v>
      </c>
    </row>
    <row r="22" spans="1:11" ht="15" customHeight="1" x14ac:dyDescent="0.3">
      <c r="A22" s="191" t="s">
        <v>11</v>
      </c>
      <c r="B22" s="297">
        <f t="shared" ref="B22:G22" si="1">SUM(B24:B26)</f>
        <v>2100</v>
      </c>
      <c r="C22" s="297">
        <f t="shared" si="1"/>
        <v>7310.5339999999997</v>
      </c>
      <c r="D22" s="294" t="e">
        <f t="shared" si="1"/>
        <v>#REF!</v>
      </c>
      <c r="E22" s="294">
        <f t="shared" si="1"/>
        <v>7310.5339999999997</v>
      </c>
      <c r="F22" s="294">
        <f t="shared" si="1"/>
        <v>5059.3770000000004</v>
      </c>
      <c r="G22" s="294">
        <f t="shared" si="1"/>
        <v>420</v>
      </c>
      <c r="H22" s="295">
        <f>+G22-E22</f>
        <v>-6890.5339999999997</v>
      </c>
      <c r="I22" s="194">
        <f t="shared" si="0"/>
        <v>8.301417348420566</v>
      </c>
    </row>
    <row r="23" spans="1:11" ht="9" customHeight="1" x14ac:dyDescent="0.3">
      <c r="A23" s="296"/>
      <c r="B23" s="297"/>
      <c r="C23" s="297"/>
      <c r="D23" s="297"/>
      <c r="E23" s="297"/>
      <c r="F23" s="297"/>
      <c r="G23" s="297"/>
      <c r="H23" s="301"/>
      <c r="I23" s="298" t="s">
        <v>6</v>
      </c>
    </row>
    <row r="24" spans="1:11" ht="15" customHeight="1" x14ac:dyDescent="0.2">
      <c r="A24" s="202" t="s">
        <v>443</v>
      </c>
      <c r="B24" s="299">
        <f>+(BALANCE!C40)/1000</f>
        <v>2100</v>
      </c>
      <c r="C24" s="299">
        <f>+(BALANCE!D40)/1000</f>
        <v>2100</v>
      </c>
      <c r="D24" s="299" t="e">
        <f>+(BALANCE!#REF!)/1000</f>
        <v>#REF!</v>
      </c>
      <c r="E24" s="299">
        <f>+(BALANCE!D40)/1000</f>
        <v>2100</v>
      </c>
      <c r="F24" s="299">
        <f>+(BALANCE!E40)/1000</f>
        <v>420</v>
      </c>
      <c r="G24" s="299">
        <f>+(BALANCE!G40)/1000</f>
        <v>420</v>
      </c>
      <c r="H24" s="300">
        <f>+G24-E24</f>
        <v>-1680</v>
      </c>
      <c r="I24" s="201">
        <f t="shared" si="0"/>
        <v>100</v>
      </c>
    </row>
    <row r="25" spans="1:11" ht="15" customHeight="1" x14ac:dyDescent="0.2">
      <c r="A25" s="202" t="s">
        <v>77</v>
      </c>
      <c r="B25" s="299">
        <v>0</v>
      </c>
      <c r="C25" s="299">
        <v>0</v>
      </c>
      <c r="D25" s="299">
        <v>0</v>
      </c>
      <c r="E25" s="299">
        <v>0</v>
      </c>
      <c r="F25" s="299">
        <v>0</v>
      </c>
      <c r="G25" s="299">
        <v>0</v>
      </c>
      <c r="H25" s="300">
        <f>+G25-E25</f>
        <v>0</v>
      </c>
      <c r="I25" s="201" t="s">
        <v>6</v>
      </c>
    </row>
    <row r="26" spans="1:11" ht="15" customHeight="1" x14ac:dyDescent="0.2">
      <c r="A26" s="191" t="s">
        <v>444</v>
      </c>
      <c r="B26" s="299">
        <f t="shared" ref="B26:G26" si="2">SUM(B27)</f>
        <v>0</v>
      </c>
      <c r="C26" s="299">
        <f t="shared" si="2"/>
        <v>5210.5339999999997</v>
      </c>
      <c r="D26" s="294" t="e">
        <f t="shared" si="2"/>
        <v>#REF!</v>
      </c>
      <c r="E26" s="294">
        <f t="shared" si="2"/>
        <v>5210.5339999999997</v>
      </c>
      <c r="F26" s="294">
        <f t="shared" si="2"/>
        <v>4639.3770000000004</v>
      </c>
      <c r="G26" s="294">
        <f t="shared" si="2"/>
        <v>0</v>
      </c>
      <c r="H26" s="295">
        <f>+G26-E26</f>
        <v>-5210.5339999999997</v>
      </c>
      <c r="I26" s="194">
        <f t="shared" si="0"/>
        <v>0</v>
      </c>
    </row>
    <row r="27" spans="1:11" ht="15" customHeight="1" x14ac:dyDescent="0.2">
      <c r="A27" s="202" t="s">
        <v>445</v>
      </c>
      <c r="B27" s="299">
        <f>+(BALANCE!C45)/1000</f>
        <v>0</v>
      </c>
      <c r="C27" s="299">
        <f>+(BALANCE!D45)/1000</f>
        <v>5210.5339999999997</v>
      </c>
      <c r="D27" s="299" t="e">
        <f>+(BALANCE!#REF!)/1000</f>
        <v>#REF!</v>
      </c>
      <c r="E27" s="299">
        <f>+(BALANCE!D45)/1000</f>
        <v>5210.5339999999997</v>
      </c>
      <c r="F27" s="299">
        <f>+(BALANCE!E45)/1000</f>
        <v>4639.3770000000004</v>
      </c>
      <c r="G27" s="299">
        <f>+(BALANCE!G37)/1000</f>
        <v>0</v>
      </c>
      <c r="H27" s="300">
        <f>+G27-E27</f>
        <v>-5210.5339999999997</v>
      </c>
      <c r="I27" s="201">
        <f t="shared" si="0"/>
        <v>0</v>
      </c>
    </row>
    <row r="28" spans="1:11" ht="15" customHeight="1" x14ac:dyDescent="0.2">
      <c r="A28" s="202" t="s">
        <v>78</v>
      </c>
      <c r="B28" s="299"/>
      <c r="C28" s="299"/>
      <c r="D28" s="299"/>
      <c r="E28" s="299"/>
      <c r="F28" s="299"/>
      <c r="G28" s="299"/>
      <c r="H28" s="300"/>
      <c r="I28" s="201" t="s">
        <v>6</v>
      </c>
    </row>
    <row r="29" spans="1:11" ht="9" customHeight="1" x14ac:dyDescent="0.2">
      <c r="A29" s="202"/>
      <c r="B29" s="299"/>
      <c r="C29" s="299"/>
      <c r="D29" s="299"/>
      <c r="E29" s="299"/>
      <c r="F29" s="299"/>
      <c r="G29" s="299"/>
      <c r="H29" s="300"/>
      <c r="I29" s="201" t="s">
        <v>6</v>
      </c>
    </row>
    <row r="30" spans="1:11" ht="18" customHeight="1" x14ac:dyDescent="0.2">
      <c r="A30" s="191" t="s">
        <v>79</v>
      </c>
      <c r="B30" s="294">
        <f t="shared" ref="B30:G30" si="3">+B13+B22</f>
        <v>143194.80600000001</v>
      </c>
      <c r="C30" s="294">
        <f t="shared" si="3"/>
        <v>148405.34000000003</v>
      </c>
      <c r="D30" s="294" t="e">
        <f t="shared" si="3"/>
        <v>#REF!</v>
      </c>
      <c r="E30" s="294" t="e">
        <f t="shared" si="3"/>
        <v>#REF!</v>
      </c>
      <c r="F30" s="294">
        <f t="shared" si="3"/>
        <v>32457.018999999997</v>
      </c>
      <c r="G30" s="294">
        <f t="shared" si="3"/>
        <v>13279.48386</v>
      </c>
      <c r="H30" s="295" t="e">
        <f>+G30-E30</f>
        <v>#REF!</v>
      </c>
      <c r="I30" s="194">
        <f t="shared" si="0"/>
        <v>40.914058866589073</v>
      </c>
    </row>
    <row r="31" spans="1:11" ht="9" customHeight="1" x14ac:dyDescent="0.2">
      <c r="A31" s="202"/>
      <c r="B31" s="200"/>
      <c r="C31" s="200"/>
      <c r="D31" s="299"/>
      <c r="E31" s="299"/>
      <c r="F31" s="299"/>
      <c r="G31" s="299"/>
      <c r="H31" s="299"/>
      <c r="I31" s="201" t="s">
        <v>6</v>
      </c>
    </row>
    <row r="32" spans="1:11" ht="18" customHeight="1" x14ac:dyDescent="0.25">
      <c r="A32" s="289" t="s">
        <v>27</v>
      </c>
      <c r="B32" s="302"/>
      <c r="C32" s="302"/>
      <c r="D32" s="299"/>
      <c r="E32" s="299"/>
      <c r="F32" s="299"/>
      <c r="G32" s="299"/>
      <c r="H32" s="299"/>
      <c r="I32" s="201" t="s">
        <v>6</v>
      </c>
    </row>
    <row r="33" spans="1:10" ht="9" customHeight="1" x14ac:dyDescent="0.2">
      <c r="A33" s="202"/>
      <c r="B33" s="200"/>
      <c r="C33" s="200"/>
      <c r="D33" s="299"/>
      <c r="E33" s="299"/>
      <c r="F33" s="299"/>
      <c r="G33" s="299"/>
      <c r="H33" s="299"/>
      <c r="I33" s="201" t="s">
        <v>6</v>
      </c>
    </row>
    <row r="34" spans="1:10" ht="15" customHeight="1" x14ac:dyDescent="0.2">
      <c r="A34" s="191" t="s">
        <v>28</v>
      </c>
      <c r="B34" s="294">
        <f>+B36+B42</f>
        <v>141094.80600000001</v>
      </c>
      <c r="C34" s="294">
        <f>+C36+C42</f>
        <v>141094.80600000001</v>
      </c>
      <c r="D34" s="294" t="e">
        <f>+D36+D42+#REF!</f>
        <v>#REF!</v>
      </c>
      <c r="E34" s="294" t="e">
        <f>+E36+E42+#REF!</f>
        <v>#REF!</v>
      </c>
      <c r="F34" s="294">
        <f>+F36+F42</f>
        <v>32792.057000000001</v>
      </c>
      <c r="G34" s="294">
        <f>+G36+G42</f>
        <v>15488.849270000001</v>
      </c>
      <c r="H34" s="294" t="e">
        <f>+E34-G34</f>
        <v>#REF!</v>
      </c>
      <c r="I34" s="194">
        <f t="shared" si="0"/>
        <v>47.233539725793968</v>
      </c>
    </row>
    <row r="35" spans="1:10" ht="15" customHeight="1" x14ac:dyDescent="0.2">
      <c r="A35" s="202"/>
      <c r="B35" s="200"/>
      <c r="C35" s="200"/>
      <c r="D35" s="299"/>
      <c r="E35" s="299"/>
      <c r="F35" s="299"/>
      <c r="G35" s="299"/>
      <c r="H35" s="299"/>
      <c r="I35" s="201"/>
    </row>
    <row r="36" spans="1:10" ht="18" customHeight="1" x14ac:dyDescent="0.2">
      <c r="A36" s="191" t="s">
        <v>446</v>
      </c>
      <c r="B36" s="294">
        <f t="shared" ref="B36:G36" si="4">SUM(B37:B40)</f>
        <v>138802.166</v>
      </c>
      <c r="C36" s="294">
        <f t="shared" si="4"/>
        <v>138672.166</v>
      </c>
      <c r="D36" s="294">
        <f t="shared" si="4"/>
        <v>138672.166</v>
      </c>
      <c r="E36" s="294">
        <f t="shared" si="4"/>
        <v>138672.166</v>
      </c>
      <c r="F36" s="294">
        <f t="shared" si="4"/>
        <v>30727.059000000001</v>
      </c>
      <c r="G36" s="294">
        <f t="shared" si="4"/>
        <v>15475.15056</v>
      </c>
      <c r="H36" s="294">
        <f t="shared" ref="H36:H40" si="5">+E36-G36</f>
        <v>123197.01544</v>
      </c>
      <c r="I36" s="194">
        <f t="shared" si="0"/>
        <v>50.363266331476765</v>
      </c>
      <c r="J36" s="24"/>
    </row>
    <row r="37" spans="1:10" ht="20.25" customHeight="1" x14ac:dyDescent="0.2">
      <c r="A37" s="202" t="s">
        <v>353</v>
      </c>
      <c r="B37" s="299">
        <f>(+FUNCIONAMIENTO!C11)/1000</f>
        <v>125299.72900000001</v>
      </c>
      <c r="C37" s="299">
        <f>(+FUNCIONAMIENTO!D11)/1000</f>
        <v>125169.72900000001</v>
      </c>
      <c r="D37" s="299">
        <f>(+FUNCIONAMIENTO!D11)/1000</f>
        <v>125169.72900000001</v>
      </c>
      <c r="E37" s="299">
        <f>(+FUNCIONAMIENTO!D11)/1000</f>
        <v>125169.72900000001</v>
      </c>
      <c r="F37" s="299">
        <f>(+FUNCIONAMIENTO!E11)/1000</f>
        <v>23452.603999999999</v>
      </c>
      <c r="G37" s="299">
        <f>(+FUNCIONAMIENTO!G11)/1000</f>
        <v>14416.49093</v>
      </c>
      <c r="H37" s="299">
        <f t="shared" si="5"/>
        <v>110753.23807000001</v>
      </c>
      <c r="I37" s="201">
        <f t="shared" si="0"/>
        <v>61.470747256893098</v>
      </c>
      <c r="J37" s="24"/>
    </row>
    <row r="38" spans="1:10" ht="17.25" customHeight="1" x14ac:dyDescent="0.2">
      <c r="A38" s="202" t="s">
        <v>447</v>
      </c>
      <c r="B38" s="299">
        <f>(+FUNCIONAMIENTO!C37)/1000</f>
        <v>7951.9620000000004</v>
      </c>
      <c r="C38" s="299">
        <f>(+FUNCIONAMIENTO!D37)/1000</f>
        <v>7538.4620000000004</v>
      </c>
      <c r="D38" s="299">
        <f>(+FUNCIONAMIENTO!D37)/1000</f>
        <v>7538.4620000000004</v>
      </c>
      <c r="E38" s="299">
        <f>(+FUNCIONAMIENTO!D37)/1000</f>
        <v>7538.4620000000004</v>
      </c>
      <c r="F38" s="299">
        <f>(+FUNCIONAMIENTO!E37)/1000</f>
        <v>3157.6680000000001</v>
      </c>
      <c r="G38" s="299">
        <f>(+FUNCIONAMIENTO!G37)/1000</f>
        <v>471.49896000000001</v>
      </c>
      <c r="H38" s="299">
        <f t="shared" si="5"/>
        <v>7066.9630400000005</v>
      </c>
      <c r="I38" s="201">
        <f t="shared" si="0"/>
        <v>14.931872508446107</v>
      </c>
      <c r="J38" s="24"/>
    </row>
    <row r="39" spans="1:10" ht="15.75" customHeight="1" x14ac:dyDescent="0.2">
      <c r="A39" s="202" t="s">
        <v>80</v>
      </c>
      <c r="B39" s="299">
        <f>(+FUNCIONAMIENTO!C94)/1000</f>
        <v>3342.5610000000001</v>
      </c>
      <c r="C39" s="299">
        <f>(+FUNCIONAMIENTO!D94)/1000</f>
        <v>3748.0610000000001</v>
      </c>
      <c r="D39" s="299">
        <f>(+FUNCIONAMIENTO!D94)/1000</f>
        <v>3748.0610000000001</v>
      </c>
      <c r="E39" s="299">
        <f>(+FUNCIONAMIENTO!D94)/1000</f>
        <v>3748.0610000000001</v>
      </c>
      <c r="F39" s="299">
        <f>(+FUNCIONAMIENTO!E94)/1000</f>
        <v>2908.7869999999998</v>
      </c>
      <c r="G39" s="299">
        <f>(+FUNCIONAMIENTO!G94)/1000</f>
        <v>475.66725999999994</v>
      </c>
      <c r="H39" s="299">
        <f t="shared" si="5"/>
        <v>3272.3937400000004</v>
      </c>
      <c r="I39" s="201">
        <f t="shared" si="0"/>
        <v>16.352770415984395</v>
      </c>
      <c r="J39" s="24"/>
    </row>
    <row r="40" spans="1:10" ht="17.25" customHeight="1" x14ac:dyDescent="0.2">
      <c r="A40" s="202" t="s">
        <v>571</v>
      </c>
      <c r="B40" s="299">
        <f>(+FUNCIONAMIENTO!C154)/1000</f>
        <v>2207.9140000000002</v>
      </c>
      <c r="C40" s="299">
        <f>(+FUNCIONAMIENTO!D154)/1000</f>
        <v>2215.9140000000002</v>
      </c>
      <c r="D40" s="299">
        <f>(+FUNCIONAMIENTO!D154)/1000</f>
        <v>2215.9140000000002</v>
      </c>
      <c r="E40" s="299">
        <f>(+FUNCIONAMIENTO!D154)/1000</f>
        <v>2215.9140000000002</v>
      </c>
      <c r="F40" s="299">
        <f>(+FUNCIONAMIENTO!E154)/1000</f>
        <v>1208</v>
      </c>
      <c r="G40" s="299">
        <f>(+FUNCIONAMIENTO!G154)/1000</f>
        <v>111.49341</v>
      </c>
      <c r="H40" s="299">
        <f t="shared" si="5"/>
        <v>2104.4205900000002</v>
      </c>
      <c r="I40" s="201">
        <f t="shared" si="0"/>
        <v>9.2295869205298011</v>
      </c>
      <c r="J40" s="24"/>
    </row>
    <row r="41" spans="1:10" ht="9" customHeight="1" x14ac:dyDescent="0.2">
      <c r="A41" s="202" t="s">
        <v>6</v>
      </c>
      <c r="B41" s="200"/>
      <c r="C41" s="200"/>
      <c r="D41" s="299">
        <v>0</v>
      </c>
      <c r="E41" s="299">
        <v>0</v>
      </c>
      <c r="F41" s="299" t="s">
        <v>6</v>
      </c>
      <c r="G41" s="299" t="s">
        <v>6</v>
      </c>
      <c r="H41" s="299"/>
      <c r="I41" s="201" t="s">
        <v>6</v>
      </c>
    </row>
    <row r="42" spans="1:10" ht="15" customHeight="1" x14ac:dyDescent="0.2">
      <c r="A42" s="191" t="s">
        <v>448</v>
      </c>
      <c r="B42" s="294">
        <f>(+FUNCIONAMIENTO!C159)/1000</f>
        <v>2292.64</v>
      </c>
      <c r="C42" s="294">
        <f>(+FUNCIONAMIENTO!D159)/1000</f>
        <v>2422.64</v>
      </c>
      <c r="D42" s="294">
        <f>(+FUNCIONAMIENTO!D159)/1000</f>
        <v>2422.64</v>
      </c>
      <c r="E42" s="294">
        <f>(+FUNCIONAMIENTO!D159)/1000</f>
        <v>2422.64</v>
      </c>
      <c r="F42" s="294">
        <f>(+FUNCIONAMIENTO!E159)/1000</f>
        <v>2064.998</v>
      </c>
      <c r="G42" s="294">
        <f>(+FUNCIONAMIENTO!G159)/1000</f>
        <v>13.698709999999998</v>
      </c>
      <c r="H42" s="294">
        <f>+E42-G42</f>
        <v>2408.9412899999998</v>
      </c>
      <c r="I42" s="194">
        <f t="shared" si="0"/>
        <v>0.66337642942027053</v>
      </c>
    </row>
    <row r="43" spans="1:10" ht="8.25" customHeight="1" x14ac:dyDescent="0.2">
      <c r="A43" s="202"/>
      <c r="B43" s="200"/>
      <c r="C43" s="200"/>
      <c r="D43" s="299"/>
      <c r="E43" s="299"/>
      <c r="F43" s="299"/>
      <c r="G43" s="299"/>
      <c r="H43" s="299"/>
      <c r="I43" s="201" t="s">
        <v>6</v>
      </c>
    </row>
    <row r="44" spans="1:10" ht="15" customHeight="1" x14ac:dyDescent="0.2">
      <c r="A44" s="191" t="s">
        <v>29</v>
      </c>
      <c r="B44" s="294">
        <f t="shared" ref="B44:G44" si="6">SUM(B46)</f>
        <v>56905.194000000003</v>
      </c>
      <c r="C44" s="294">
        <f t="shared" si="6"/>
        <v>56905.194000000003</v>
      </c>
      <c r="D44" s="294">
        <f t="shared" si="6"/>
        <v>56905.194000000003</v>
      </c>
      <c r="E44" s="294" t="e">
        <f t="shared" si="6"/>
        <v>#REF!</v>
      </c>
      <c r="F44" s="294">
        <f t="shared" si="6"/>
        <v>13341.289000000001</v>
      </c>
      <c r="G44" s="294">
        <f t="shared" si="6"/>
        <v>3838.5803100000003</v>
      </c>
      <c r="H44" s="294" t="e">
        <f>+E44-G44</f>
        <v>#REF!</v>
      </c>
      <c r="I44" s="194">
        <f t="shared" si="0"/>
        <v>28.772184681705042</v>
      </c>
      <c r="J44" t="s">
        <v>6</v>
      </c>
    </row>
    <row r="45" spans="1:10" ht="15" customHeight="1" x14ac:dyDescent="0.2">
      <c r="A45" s="202"/>
      <c r="B45" s="200"/>
      <c r="C45" s="200"/>
      <c r="D45" s="299"/>
      <c r="E45" s="299"/>
      <c r="F45" s="299"/>
      <c r="G45" s="299"/>
      <c r="H45" s="299"/>
      <c r="I45" s="201" t="s">
        <v>6</v>
      </c>
    </row>
    <row r="46" spans="1:10" ht="15" customHeight="1" x14ac:dyDescent="0.2">
      <c r="A46" s="202" t="s">
        <v>449</v>
      </c>
      <c r="B46" s="299">
        <f>+(PROYECTOS!B40)/1000</f>
        <v>56905.194000000003</v>
      </c>
      <c r="C46" s="299">
        <f>+(PROYECTOS!C40)/1000</f>
        <v>56905.194000000003</v>
      </c>
      <c r="D46" s="299">
        <f>+(PROYECTOS!C40)/1000</f>
        <v>56905.194000000003</v>
      </c>
      <c r="E46" s="299" t="e">
        <f>+(#REF!)/1000</f>
        <v>#REF!</v>
      </c>
      <c r="F46" s="299">
        <f>+(PROYECTOS!D40)/1000</f>
        <v>13341.289000000001</v>
      </c>
      <c r="G46" s="299">
        <f>+(PROYECTOS!F40)/1000</f>
        <v>3838.5803100000003</v>
      </c>
      <c r="H46" s="299" t="e">
        <f>+E46-G46</f>
        <v>#REF!</v>
      </c>
      <c r="I46" s="201">
        <f t="shared" si="0"/>
        <v>28.772184681705042</v>
      </c>
    </row>
    <row r="47" spans="1:10" ht="14.25" customHeight="1" x14ac:dyDescent="0.2">
      <c r="A47" s="202" t="s">
        <v>81</v>
      </c>
      <c r="B47" s="200"/>
      <c r="C47" s="299">
        <f>+(PROYECTOS!B41)/1000</f>
        <v>0</v>
      </c>
      <c r="D47" s="299">
        <v>0</v>
      </c>
      <c r="E47" s="299">
        <v>0</v>
      </c>
      <c r="F47" s="299">
        <v>0</v>
      </c>
      <c r="G47" s="299">
        <v>0</v>
      </c>
      <c r="H47" s="299">
        <f>+E47-G47</f>
        <v>0</v>
      </c>
      <c r="I47" s="201" t="s">
        <v>6</v>
      </c>
    </row>
    <row r="48" spans="1:10" ht="15" customHeight="1" x14ac:dyDescent="0.2">
      <c r="A48" s="202" t="s">
        <v>450</v>
      </c>
      <c r="B48" s="200"/>
      <c r="C48" s="299">
        <f>+(PROYECTOS!B42)/1000</f>
        <v>0</v>
      </c>
      <c r="D48" s="299" t="s">
        <v>6</v>
      </c>
      <c r="E48" s="299" t="s">
        <v>6</v>
      </c>
      <c r="F48" s="299" t="s">
        <v>6</v>
      </c>
      <c r="G48" s="299" t="s">
        <v>6</v>
      </c>
      <c r="H48" s="299" t="s">
        <v>6</v>
      </c>
      <c r="I48" s="201" t="s">
        <v>6</v>
      </c>
    </row>
    <row r="49" spans="1:9" ht="15" customHeight="1" x14ac:dyDescent="0.2">
      <c r="A49" s="202" t="s">
        <v>82</v>
      </c>
      <c r="B49" s="200"/>
      <c r="C49" s="200"/>
      <c r="D49" s="299">
        <v>0</v>
      </c>
      <c r="E49" s="299">
        <v>0</v>
      </c>
      <c r="F49" s="299">
        <v>0</v>
      </c>
      <c r="G49" s="299">
        <v>0</v>
      </c>
      <c r="H49" s="299">
        <f>+E49-G49</f>
        <v>0</v>
      </c>
      <c r="I49" s="201" t="s">
        <v>6</v>
      </c>
    </row>
    <row r="50" spans="1:9" ht="8.25" customHeight="1" x14ac:dyDescent="0.2">
      <c r="A50" s="202"/>
      <c r="B50" s="200"/>
      <c r="C50" s="200"/>
      <c r="D50" s="299"/>
      <c r="E50" s="299"/>
      <c r="F50" s="299"/>
      <c r="G50" s="299"/>
      <c r="H50" s="299"/>
      <c r="I50" s="201" t="s">
        <v>6</v>
      </c>
    </row>
    <row r="51" spans="1:9" ht="18" customHeight="1" x14ac:dyDescent="0.2">
      <c r="A51" s="191" t="s">
        <v>83</v>
      </c>
      <c r="B51" s="294">
        <f t="shared" ref="B51:H51" si="7">+B34+B44</f>
        <v>198000</v>
      </c>
      <c r="C51" s="294">
        <f t="shared" si="7"/>
        <v>198000</v>
      </c>
      <c r="D51" s="294" t="e">
        <f t="shared" si="7"/>
        <v>#REF!</v>
      </c>
      <c r="E51" s="294" t="e">
        <f t="shared" si="7"/>
        <v>#REF!</v>
      </c>
      <c r="F51" s="294">
        <f t="shared" si="7"/>
        <v>46133.346000000005</v>
      </c>
      <c r="G51" s="294">
        <f t="shared" si="7"/>
        <v>19327.42958</v>
      </c>
      <c r="H51" s="294" t="e">
        <f t="shared" si="7"/>
        <v>#REF!</v>
      </c>
      <c r="I51" s="194">
        <f t="shared" si="0"/>
        <v>41.894705794806207</v>
      </c>
    </row>
    <row r="52" spans="1:9" ht="9" customHeight="1" x14ac:dyDescent="0.2">
      <c r="A52" s="202"/>
      <c r="B52" s="202"/>
      <c r="C52" s="200"/>
      <c r="D52" s="299"/>
      <c r="E52" s="299"/>
      <c r="F52" s="299"/>
      <c r="G52" s="299"/>
      <c r="H52" s="299"/>
      <c r="I52" s="201" t="s">
        <v>6</v>
      </c>
    </row>
    <row r="53" spans="1:9" ht="21.75" customHeight="1" x14ac:dyDescent="0.25">
      <c r="A53" s="303" t="s">
        <v>30</v>
      </c>
      <c r="B53" s="518"/>
      <c r="C53" s="304"/>
      <c r="D53" s="305" t="s">
        <v>6</v>
      </c>
      <c r="E53" s="305" t="e">
        <f>E30-E51</f>
        <v>#REF!</v>
      </c>
      <c r="F53" s="306" t="s">
        <v>6</v>
      </c>
      <c r="G53" s="307">
        <f>G30-G51</f>
        <v>-6047.9457199999997</v>
      </c>
      <c r="H53" s="306" t="s">
        <v>6</v>
      </c>
      <c r="I53" s="308" t="s">
        <v>6</v>
      </c>
    </row>
    <row r="54" spans="1:9" ht="15" customHeight="1" x14ac:dyDescent="0.2">
      <c r="A54" s="309"/>
      <c r="B54" s="34"/>
      <c r="C54" s="34"/>
      <c r="D54" s="309"/>
      <c r="E54" s="310"/>
      <c r="F54" s="310"/>
      <c r="G54" s="310"/>
      <c r="H54" s="282"/>
      <c r="I54" s="311"/>
    </row>
    <row r="55" spans="1:9" ht="15" customHeight="1" x14ac:dyDescent="0.25">
      <c r="A55" s="632" t="s">
        <v>566</v>
      </c>
      <c r="B55" s="632"/>
      <c r="C55" s="161"/>
      <c r="D55" s="161"/>
      <c r="E55" s="7"/>
      <c r="F55" s="7" t="s">
        <v>6</v>
      </c>
      <c r="G55" s="7"/>
      <c r="H55" s="160"/>
      <c r="I55" s="67"/>
    </row>
    <row r="56" spans="1:9" ht="15" customHeight="1" x14ac:dyDescent="0.25">
      <c r="A56" s="25" t="s">
        <v>6</v>
      </c>
      <c r="H56" s="42"/>
      <c r="I56" s="35"/>
    </row>
    <row r="57" spans="1:9" ht="15" customHeight="1" x14ac:dyDescent="0.25">
      <c r="F57" s="50" t="s">
        <v>6</v>
      </c>
      <c r="G57" s="50"/>
      <c r="H57" s="42"/>
      <c r="I57" s="35"/>
    </row>
    <row r="58" spans="1:9" ht="15" customHeight="1" x14ac:dyDescent="0.25">
      <c r="A58" s="36"/>
      <c r="B58" s="36"/>
      <c r="C58" s="36"/>
      <c r="D58" s="36"/>
      <c r="E58" s="41"/>
      <c r="F58" s="41"/>
      <c r="G58" s="41" t="s">
        <v>6</v>
      </c>
      <c r="H58" s="42"/>
      <c r="I58" s="35"/>
    </row>
    <row r="59" spans="1:9" ht="15" customHeight="1" x14ac:dyDescent="0.25">
      <c r="A59" s="36"/>
      <c r="B59" s="36"/>
      <c r="C59" s="36"/>
      <c r="D59" s="36"/>
      <c r="E59" s="41"/>
      <c r="F59" s="41"/>
      <c r="G59" s="41"/>
      <c r="H59" s="42"/>
      <c r="I59" s="35"/>
    </row>
    <row r="60" spans="1:9" ht="15" customHeight="1" x14ac:dyDescent="0.25">
      <c r="A60" s="36"/>
      <c r="B60" s="36"/>
      <c r="C60" s="36"/>
      <c r="D60" s="36"/>
      <c r="E60" s="41"/>
      <c r="F60" s="41"/>
      <c r="G60" s="41"/>
      <c r="H60" s="42"/>
      <c r="I60" s="35"/>
    </row>
    <row r="61" spans="1:9" ht="15" customHeight="1" x14ac:dyDescent="0.25">
      <c r="A61" s="34"/>
      <c r="B61" s="34"/>
      <c r="C61" s="34"/>
      <c r="D61" s="34"/>
      <c r="E61" s="34"/>
      <c r="F61" s="34"/>
      <c r="H61" s="42"/>
      <c r="I61" s="35"/>
    </row>
    <row r="62" spans="1:9" ht="15" customHeight="1" x14ac:dyDescent="0.2">
      <c r="A62" s="34"/>
      <c r="B62" s="34"/>
      <c r="C62" s="34"/>
      <c r="D62" s="34"/>
      <c r="E62" s="34"/>
      <c r="F62" s="34"/>
      <c r="I62" s="35"/>
    </row>
    <row r="63" spans="1:9" ht="15" customHeight="1" x14ac:dyDescent="0.2">
      <c r="A63" s="34"/>
      <c r="B63" s="34"/>
      <c r="C63" s="34"/>
      <c r="D63" s="34"/>
      <c r="I63" s="35"/>
    </row>
    <row r="64" spans="1:9" x14ac:dyDescent="0.2">
      <c r="A64" s="34"/>
      <c r="B64" s="34"/>
      <c r="C64" s="34"/>
      <c r="D64" s="34"/>
      <c r="I64" s="35"/>
    </row>
    <row r="65" spans="1:9" x14ac:dyDescent="0.2">
      <c r="A65" s="34"/>
      <c r="B65" s="34"/>
      <c r="C65" s="34"/>
      <c r="D65" s="34"/>
      <c r="I65" s="35"/>
    </row>
    <row r="66" spans="1:9" x14ac:dyDescent="0.2">
      <c r="A66" s="34"/>
      <c r="B66" s="34"/>
      <c r="C66" s="34"/>
      <c r="D66" s="34"/>
      <c r="I66" s="35"/>
    </row>
    <row r="67" spans="1:9" ht="15" x14ac:dyDescent="0.25">
      <c r="A67" s="34"/>
      <c r="B67" s="34"/>
      <c r="C67" s="34"/>
      <c r="D67" s="34"/>
      <c r="E67" s="37"/>
      <c r="F67" s="37"/>
      <c r="G67" s="37"/>
      <c r="H67" s="38"/>
      <c r="I67" s="35"/>
    </row>
    <row r="68" spans="1:9" ht="15" x14ac:dyDescent="0.25">
      <c r="A68" s="34"/>
      <c r="B68" s="34"/>
      <c r="C68" s="34"/>
      <c r="D68" s="34"/>
      <c r="E68" s="37"/>
      <c r="F68" s="37"/>
      <c r="G68" s="37"/>
      <c r="H68" s="38"/>
      <c r="I68" s="35"/>
    </row>
    <row r="69" spans="1:9" x14ac:dyDescent="0.2">
      <c r="A69" s="34"/>
      <c r="B69" s="34"/>
      <c r="C69" s="34"/>
      <c r="D69" s="34"/>
      <c r="I69" s="35"/>
    </row>
    <row r="70" spans="1:9" x14ac:dyDescent="0.2">
      <c r="I70" s="35"/>
    </row>
    <row r="71" spans="1:9" x14ac:dyDescent="0.2">
      <c r="I71" s="35"/>
    </row>
    <row r="72" spans="1:9" x14ac:dyDescent="0.2">
      <c r="I72" s="35"/>
    </row>
    <row r="73" spans="1:9" x14ac:dyDescent="0.2">
      <c r="I73" s="35"/>
    </row>
    <row r="74" spans="1:9" x14ac:dyDescent="0.2">
      <c r="I74" s="35"/>
    </row>
    <row r="75" spans="1:9" x14ac:dyDescent="0.2">
      <c r="I75" s="35"/>
    </row>
    <row r="76" spans="1:9" x14ac:dyDescent="0.2">
      <c r="I76" s="35"/>
    </row>
    <row r="77" spans="1:9" x14ac:dyDescent="0.2">
      <c r="I77" s="35"/>
    </row>
    <row r="78" spans="1:9" x14ac:dyDescent="0.2">
      <c r="I78" s="35"/>
    </row>
    <row r="79" spans="1:9" x14ac:dyDescent="0.2">
      <c r="I79" s="35"/>
    </row>
    <row r="80" spans="1:9" x14ac:dyDescent="0.2">
      <c r="I80" s="35"/>
    </row>
    <row r="81" spans="9:9" x14ac:dyDescent="0.2">
      <c r="I81" s="35"/>
    </row>
    <row r="82" spans="9:9" x14ac:dyDescent="0.2">
      <c r="I82" s="35"/>
    </row>
    <row r="83" spans="9:9" x14ac:dyDescent="0.2">
      <c r="I83" s="35"/>
    </row>
    <row r="84" spans="9:9" x14ac:dyDescent="0.2">
      <c r="I84" s="35"/>
    </row>
    <row r="85" spans="9:9" x14ac:dyDescent="0.2">
      <c r="I85" s="35"/>
    </row>
    <row r="86" spans="9:9" x14ac:dyDescent="0.2">
      <c r="I86" s="35"/>
    </row>
    <row r="87" spans="9:9" x14ac:dyDescent="0.2">
      <c r="I87" s="35"/>
    </row>
    <row r="88" spans="9:9" x14ac:dyDescent="0.2">
      <c r="I88" s="35"/>
    </row>
    <row r="89" spans="9:9" x14ac:dyDescent="0.2">
      <c r="I89" s="35"/>
    </row>
  </sheetData>
  <mergeCells count="10">
    <mergeCell ref="A55:B55"/>
    <mergeCell ref="A1:I1"/>
    <mergeCell ref="A2:I2"/>
    <mergeCell ref="A8:A9"/>
    <mergeCell ref="A3:I3"/>
    <mergeCell ref="A4:I4"/>
    <mergeCell ref="A6:I6"/>
    <mergeCell ref="I8:I9"/>
    <mergeCell ref="B8:F8"/>
    <mergeCell ref="G8:G9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6">
    <tabColor theme="6" tint="0.39997558519241921"/>
  </sheetPr>
  <dimension ref="A1:Q188"/>
  <sheetViews>
    <sheetView showGridLines="0" showZeros="0" workbookViewId="0">
      <selection activeCell="A63" sqref="A63"/>
    </sheetView>
  </sheetViews>
  <sheetFormatPr baseColWidth="10" defaultColWidth="11.42578125" defaultRowHeight="12.75" x14ac:dyDescent="0.2"/>
  <cols>
    <col min="1" max="1" width="35.28515625" style="25" customWidth="1"/>
    <col min="2" max="3" width="13" style="25" customWidth="1"/>
    <col min="4" max="4" width="11.140625" style="25" customWidth="1"/>
    <col min="5" max="5" width="11.7109375" style="25" hidden="1" customWidth="1"/>
    <col min="6" max="7" width="13" style="25" customWidth="1"/>
    <col min="8" max="8" width="12.7109375" style="25" customWidth="1"/>
    <col min="9" max="9" width="12.28515625" style="25" customWidth="1"/>
    <col min="10" max="10" width="11.85546875" style="25" hidden="1" customWidth="1"/>
    <col min="11" max="11" width="13.28515625" style="25" customWidth="1"/>
    <col min="12" max="12" width="0.140625" customWidth="1"/>
    <col min="13" max="13" width="13.5703125" customWidth="1"/>
  </cols>
  <sheetData>
    <row r="1" spans="1:14" ht="12" customHeight="1" x14ac:dyDescent="0.2">
      <c r="A1" s="65"/>
      <c r="B1" s="65"/>
      <c r="C1" s="65"/>
      <c r="D1" s="60"/>
      <c r="E1" s="60"/>
      <c r="F1" s="64"/>
      <c r="G1" s="64"/>
      <c r="H1" s="64"/>
      <c r="I1" s="64"/>
      <c r="J1" s="64"/>
      <c r="K1" s="64"/>
    </row>
    <row r="2" spans="1:14" ht="18" customHeight="1" x14ac:dyDescent="0.25">
      <c r="A2" s="601" t="s">
        <v>410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</row>
    <row r="3" spans="1:14" ht="15.75" customHeight="1" x14ac:dyDescent="0.25">
      <c r="A3" s="601" t="s">
        <v>411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</row>
    <row r="4" spans="1:14" ht="15" x14ac:dyDescent="0.25">
      <c r="A4" s="602" t="s">
        <v>451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14" ht="15" x14ac:dyDescent="0.25">
      <c r="A5" s="602" t="s">
        <v>567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14" ht="13.5" thickBo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 t="s">
        <v>6</v>
      </c>
      <c r="L6" t="s">
        <v>6</v>
      </c>
    </row>
    <row r="7" spans="1:14" ht="20.100000000000001" customHeight="1" x14ac:dyDescent="0.2">
      <c r="A7" s="642" t="s">
        <v>0</v>
      </c>
      <c r="B7" s="648" t="s">
        <v>84</v>
      </c>
      <c r="C7" s="649"/>
      <c r="D7" s="650"/>
      <c r="E7" s="651" t="s">
        <v>96</v>
      </c>
      <c r="F7" s="652"/>
      <c r="G7" s="644" t="s">
        <v>544</v>
      </c>
      <c r="H7" s="644" t="s">
        <v>85</v>
      </c>
      <c r="I7" s="646" t="s">
        <v>319</v>
      </c>
      <c r="J7" s="642"/>
      <c r="K7" s="646" t="s">
        <v>402</v>
      </c>
      <c r="L7" t="s">
        <v>6</v>
      </c>
    </row>
    <row r="8" spans="1:14" ht="21.75" customHeight="1" x14ac:dyDescent="0.2">
      <c r="A8" s="643"/>
      <c r="B8" s="560" t="s">
        <v>98</v>
      </c>
      <c r="C8" s="560" t="s">
        <v>12</v>
      </c>
      <c r="D8" s="561" t="s">
        <v>2</v>
      </c>
      <c r="E8" s="562" t="s">
        <v>39</v>
      </c>
      <c r="F8" s="563" t="s">
        <v>44</v>
      </c>
      <c r="G8" s="645"/>
      <c r="H8" s="645"/>
      <c r="I8" s="647"/>
      <c r="J8" s="653"/>
      <c r="K8" s="647"/>
      <c r="L8" t="s">
        <v>3</v>
      </c>
      <c r="M8" t="s">
        <v>6</v>
      </c>
    </row>
    <row r="9" spans="1:14" ht="24.75" customHeight="1" x14ac:dyDescent="0.2">
      <c r="A9" s="279" t="s">
        <v>86</v>
      </c>
      <c r="B9" s="507">
        <f>+B11+B36</f>
        <v>198000000</v>
      </c>
      <c r="C9" s="184">
        <f>+C11+C36</f>
        <v>198000000</v>
      </c>
      <c r="D9" s="184">
        <f>++D11+D36</f>
        <v>46133346</v>
      </c>
      <c r="E9" s="184">
        <f>+E11+E36</f>
        <v>9737178.6099999994</v>
      </c>
      <c r="F9" s="184">
        <f>+F11+F36</f>
        <v>19327429.580000002</v>
      </c>
      <c r="G9" s="184">
        <f>+G11+G36</f>
        <v>13082359.25</v>
      </c>
      <c r="H9" s="184">
        <f>++H11+H36</f>
        <v>13722713.389999999</v>
      </c>
      <c r="I9" s="184">
        <f>+D9-F9</f>
        <v>26805916.419999998</v>
      </c>
      <c r="J9" s="184" t="e">
        <f>+#REF!-F9</f>
        <v>#REF!</v>
      </c>
      <c r="K9" s="315">
        <f>+F9/D9*100</f>
        <v>41.894705794806214</v>
      </c>
      <c r="L9">
        <v>84817701.783999994</v>
      </c>
    </row>
    <row r="10" spans="1:14" ht="11.1" customHeight="1" x14ac:dyDescent="0.2">
      <c r="A10" s="279"/>
      <c r="B10" s="279"/>
      <c r="C10" s="217"/>
      <c r="D10" s="184"/>
      <c r="E10" s="184"/>
      <c r="F10" s="184" t="s">
        <v>6</v>
      </c>
      <c r="G10" s="184"/>
      <c r="H10" s="184" t="s">
        <v>6</v>
      </c>
      <c r="I10" s="184" t="s">
        <v>6</v>
      </c>
      <c r="J10" s="184" t="s">
        <v>6</v>
      </c>
      <c r="K10" s="315" t="s">
        <v>6</v>
      </c>
      <c r="L10" t="s">
        <v>6</v>
      </c>
    </row>
    <row r="11" spans="1:14" ht="15" x14ac:dyDescent="0.25">
      <c r="A11" s="279" t="s">
        <v>87</v>
      </c>
      <c r="B11" s="507">
        <f>+B13+B20+B34</f>
        <v>141094806</v>
      </c>
      <c r="C11" s="184">
        <f>+C13+C20+C34</f>
        <v>141094806</v>
      </c>
      <c r="D11" s="68">
        <f>+D13+D20</f>
        <v>32792057</v>
      </c>
      <c r="E11" s="68">
        <f>+E20+E13</f>
        <v>8368963.4400000004</v>
      </c>
      <c r="F11" s="68">
        <f>+F20+F13</f>
        <v>15488849.270000001</v>
      </c>
      <c r="G11" s="68">
        <f>+G20+G13</f>
        <v>12915470.279999999</v>
      </c>
      <c r="H11" s="68">
        <f>+H20+H13+H34</f>
        <v>13718967.939999999</v>
      </c>
      <c r="I11" s="68">
        <f>+D11-F11</f>
        <v>17303207.729999997</v>
      </c>
      <c r="J11" s="68" t="e">
        <f>+#REF!-F11</f>
        <v>#REF!</v>
      </c>
      <c r="K11" s="316">
        <f>+F11/D11*100</f>
        <v>47.233539725793968</v>
      </c>
      <c r="L11">
        <v>71948551.653999999</v>
      </c>
      <c r="N11" t="s">
        <v>6</v>
      </c>
    </row>
    <row r="12" spans="1:14" ht="10.35" customHeight="1" x14ac:dyDescent="0.2">
      <c r="A12" s="279"/>
      <c r="B12" s="279"/>
      <c r="C12" s="217"/>
      <c r="D12" s="184"/>
      <c r="E12" s="184"/>
      <c r="F12" s="184" t="s">
        <v>6</v>
      </c>
      <c r="G12" s="184"/>
      <c r="H12" s="184"/>
      <c r="I12" s="184"/>
      <c r="J12" s="184" t="s">
        <v>6</v>
      </c>
      <c r="K12" s="315"/>
      <c r="L12" t="s">
        <v>6</v>
      </c>
    </row>
    <row r="13" spans="1:14" ht="18" customHeight="1" x14ac:dyDescent="0.2">
      <c r="A13" s="279" t="s">
        <v>88</v>
      </c>
      <c r="B13" s="507">
        <f>SUM(B15:B18)</f>
        <v>138802166</v>
      </c>
      <c r="C13" s="184">
        <f>SUM(C15:C18)</f>
        <v>138672166</v>
      </c>
      <c r="D13" s="184">
        <f>SUM(D15:D18)</f>
        <v>30727059</v>
      </c>
      <c r="E13" s="184">
        <f>SUM(E15:E18)</f>
        <v>8360233.6200000001</v>
      </c>
      <c r="F13" s="184">
        <f>SUM(F15:F18)+1</f>
        <v>15475150.560000001</v>
      </c>
      <c r="G13" s="184">
        <f>SUM(G15:G18)</f>
        <v>12905555.869999999</v>
      </c>
      <c r="H13" s="184">
        <f>SUM(H15:H18)</f>
        <v>13710282.82</v>
      </c>
      <c r="I13" s="184">
        <f>+D13-F13</f>
        <v>15251908.439999999</v>
      </c>
      <c r="J13" s="184" t="e">
        <f>+#REF!-F13</f>
        <v>#REF!</v>
      </c>
      <c r="K13" s="315">
        <f>+F13/D13*100</f>
        <v>50.363266331476765</v>
      </c>
      <c r="L13">
        <v>71049250.593999997</v>
      </c>
      <c r="M13" s="1" t="s">
        <v>6</v>
      </c>
    </row>
    <row r="14" spans="1:14" ht="11.1" customHeight="1" x14ac:dyDescent="0.2">
      <c r="A14" s="279"/>
      <c r="B14" s="279"/>
      <c r="C14" s="217"/>
      <c r="D14" s="184"/>
      <c r="E14" s="184"/>
      <c r="F14" s="184" t="s">
        <v>6</v>
      </c>
      <c r="G14" s="184"/>
      <c r="H14" s="184"/>
      <c r="I14" s="184"/>
      <c r="J14" s="184"/>
      <c r="K14" s="315"/>
      <c r="L14" t="s">
        <v>6</v>
      </c>
    </row>
    <row r="15" spans="1:14" ht="20.100000000000001" customHeight="1" x14ac:dyDescent="0.2">
      <c r="A15" s="281" t="s">
        <v>89</v>
      </c>
      <c r="B15" s="185">
        <f>+FUNCIONAMIENTO!C11</f>
        <v>125299729</v>
      </c>
      <c r="C15" s="185">
        <f>+FUNCIONAMIENTO!D11</f>
        <v>125169729</v>
      </c>
      <c r="D15" s="185">
        <f>+FUNCIONAMIENTO!E11</f>
        <v>23452604</v>
      </c>
      <c r="E15" s="185">
        <f>+FUNCIONAMIENTO!F11</f>
        <v>7461311.1000000006</v>
      </c>
      <c r="F15" s="185">
        <f>+FUNCIONAMIENTO!G11-1</f>
        <v>14416489.93</v>
      </c>
      <c r="G15" s="185">
        <f>+FUNCIONAMIENTO!H11</f>
        <v>12576467.84</v>
      </c>
      <c r="H15" s="185">
        <f>+FUNCIONAMIENTO!I11</f>
        <v>13476355.85</v>
      </c>
      <c r="I15" s="185">
        <f>+D15-F15</f>
        <v>9036114.0700000003</v>
      </c>
      <c r="J15" s="185" t="e">
        <f>+#REF!-F15</f>
        <v>#REF!</v>
      </c>
      <c r="K15" s="314">
        <f>+F15/D15*100</f>
        <v>61.470742992974259</v>
      </c>
      <c r="L15">
        <v>67328817.609999999</v>
      </c>
    </row>
    <row r="16" spans="1:14" ht="20.100000000000001" customHeight="1" x14ac:dyDescent="0.2">
      <c r="A16" s="281" t="s">
        <v>452</v>
      </c>
      <c r="B16" s="185">
        <f>+FUNCIONAMIENTO!C37</f>
        <v>7951962</v>
      </c>
      <c r="C16" s="185">
        <f>+FUNCIONAMIENTO!D37</f>
        <v>7538462</v>
      </c>
      <c r="D16" s="185">
        <f>+FUNCIONAMIENTO!E37</f>
        <v>3157668</v>
      </c>
      <c r="E16" s="185">
        <f>+FUNCIONAMIENTO!F37</f>
        <v>431912.35000000003</v>
      </c>
      <c r="F16" s="185">
        <f>+FUNCIONAMIENTO!G37</f>
        <v>471498.96</v>
      </c>
      <c r="G16" s="185">
        <f>+FUNCIONAMIENTO!H37</f>
        <v>269355.27</v>
      </c>
      <c r="H16" s="185">
        <f>+FUNCIONAMIENTO!I37</f>
        <v>217202.97</v>
      </c>
      <c r="I16" s="185">
        <f>+D16-F16</f>
        <v>2686169.04</v>
      </c>
      <c r="J16" s="185" t="e">
        <f>+#REF!-F16</f>
        <v>#REF!</v>
      </c>
      <c r="K16" s="314">
        <f>+F16/D16*100</f>
        <v>14.931872508446107</v>
      </c>
      <c r="L16">
        <v>2361674.9099999997</v>
      </c>
    </row>
    <row r="17" spans="1:14" ht="20.100000000000001" customHeight="1" x14ac:dyDescent="0.2">
      <c r="A17" s="281" t="s">
        <v>90</v>
      </c>
      <c r="B17" s="185">
        <f>+FUNCIONAMIENTO!C94</f>
        <v>3342561</v>
      </c>
      <c r="C17" s="185">
        <f>+FUNCIONAMIENTO!D94</f>
        <v>3748061</v>
      </c>
      <c r="D17" s="185">
        <f>+FUNCIONAMIENTO!E94</f>
        <v>2908787</v>
      </c>
      <c r="E17" s="185">
        <f>+FUNCIONAMIENTO!F94</f>
        <v>355516.75999999995</v>
      </c>
      <c r="F17" s="185">
        <f>+FUNCIONAMIENTO!G94</f>
        <v>475667.25999999995</v>
      </c>
      <c r="G17" s="185">
        <f>+FUNCIONAMIENTO!H94</f>
        <v>59050.91</v>
      </c>
      <c r="H17" s="185">
        <f>+FUNCIONAMIENTO!I94-1</f>
        <v>16724</v>
      </c>
      <c r="I17" s="185">
        <f>+D17-F17</f>
        <v>2433119.7400000002</v>
      </c>
      <c r="J17" s="185" t="e">
        <f>+#REF!-F17</f>
        <v>#REF!</v>
      </c>
      <c r="K17" s="314">
        <f>+F17/D17*100</f>
        <v>16.352770415984395</v>
      </c>
      <c r="L17">
        <v>1178096.594</v>
      </c>
      <c r="N17" t="s">
        <v>6</v>
      </c>
    </row>
    <row r="18" spans="1:14" ht="20.100000000000001" customHeight="1" x14ac:dyDescent="0.2">
      <c r="A18" s="281" t="s">
        <v>572</v>
      </c>
      <c r="B18" s="185">
        <f>+FUNCIONAMIENTO!C154</f>
        <v>2207914</v>
      </c>
      <c r="C18" s="185">
        <f>+FUNCIONAMIENTO!D154</f>
        <v>2215914</v>
      </c>
      <c r="D18" s="185">
        <f>+FUNCIONAMIENTO!E154</f>
        <v>1208000</v>
      </c>
      <c r="E18" s="185">
        <f>+FUNCIONAMIENTO!F154</f>
        <v>111493.41</v>
      </c>
      <c r="F18" s="185">
        <f>+FUNCIONAMIENTO!G154</f>
        <v>111493.41</v>
      </c>
      <c r="G18" s="185">
        <f>+FUNCIONAMIENTO!H154</f>
        <v>681.85</v>
      </c>
      <c r="H18" s="185">
        <f>+FUNCIONAMIENTO!I154</f>
        <v>0</v>
      </c>
      <c r="I18" s="185">
        <f>+D18-F18</f>
        <v>1096506.5900000001</v>
      </c>
      <c r="J18" s="185" t="e">
        <f>+#REF!-F18</f>
        <v>#REF!</v>
      </c>
      <c r="K18" s="314">
        <f>+F18/D18*100</f>
        <v>9.2295869205298011</v>
      </c>
      <c r="L18">
        <v>105848.37</v>
      </c>
    </row>
    <row r="19" spans="1:14" ht="9.75" customHeight="1" x14ac:dyDescent="0.2">
      <c r="A19" s="279"/>
      <c r="B19" s="279"/>
      <c r="C19" s="184"/>
      <c r="D19" s="184"/>
      <c r="E19" s="184" t="s">
        <v>6</v>
      </c>
      <c r="F19" s="184" t="s">
        <v>6</v>
      </c>
      <c r="G19" s="184" t="s">
        <v>6</v>
      </c>
      <c r="H19" s="184"/>
      <c r="I19" s="184"/>
      <c r="J19" s="184"/>
      <c r="K19" s="315" t="s">
        <v>6</v>
      </c>
      <c r="L19" t="s">
        <v>6</v>
      </c>
    </row>
    <row r="20" spans="1:14" ht="18" customHeight="1" x14ac:dyDescent="0.2">
      <c r="A20" s="279" t="s">
        <v>91</v>
      </c>
      <c r="B20" s="184">
        <f>+FUNCIONAMIENTO!C159</f>
        <v>2292640</v>
      </c>
      <c r="C20" s="184">
        <f>+FUNCIONAMIENTO!D159</f>
        <v>2422640</v>
      </c>
      <c r="D20" s="184">
        <f>+FUNCIONAMIENTO!E159</f>
        <v>2064998</v>
      </c>
      <c r="E20" s="184">
        <f>+FUNCIONAMIENTO!F159</f>
        <v>8729.82</v>
      </c>
      <c r="F20" s="184">
        <f>+FUNCIONAMIENTO!G159</f>
        <v>13698.71</v>
      </c>
      <c r="G20" s="184">
        <f>+FUNCIONAMIENTO!H159</f>
        <v>9914.41</v>
      </c>
      <c r="H20" s="184">
        <f>+FUNCIONAMIENTO!I159</f>
        <v>8685.119999999999</v>
      </c>
      <c r="I20" s="184">
        <f>+D20-F20</f>
        <v>2051299.29</v>
      </c>
      <c r="J20" s="184" t="e">
        <f>+#REF!-F20</f>
        <v>#REF!</v>
      </c>
      <c r="K20" s="315">
        <f>+F20/D20*100</f>
        <v>0.66337642942027064</v>
      </c>
      <c r="L20">
        <v>899301.06000000017</v>
      </c>
    </row>
    <row r="21" spans="1:14" ht="12.75" customHeight="1" x14ac:dyDescent="0.2">
      <c r="A21" s="279" t="s">
        <v>354</v>
      </c>
      <c r="B21" s="279"/>
      <c r="C21" s="184"/>
      <c r="D21" s="184"/>
      <c r="E21" s="184" t="s">
        <v>6</v>
      </c>
      <c r="F21" s="184" t="s">
        <v>6</v>
      </c>
      <c r="G21" s="184" t="s">
        <v>6</v>
      </c>
      <c r="H21" s="184"/>
      <c r="I21" s="184"/>
      <c r="J21" s="184"/>
      <c r="K21" s="315" t="s">
        <v>6</v>
      </c>
      <c r="L21" t="s">
        <v>6</v>
      </c>
    </row>
    <row r="22" spans="1:14" ht="18" customHeight="1" x14ac:dyDescent="0.2">
      <c r="A22" s="279" t="s">
        <v>457</v>
      </c>
      <c r="B22" s="507">
        <f>+B28</f>
        <v>2005640</v>
      </c>
      <c r="C22" s="184">
        <f>SUM(C28)</f>
        <v>2109640</v>
      </c>
      <c r="D22" s="184">
        <f t="shared" ref="D22:H22" si="0">SUM(D28)</f>
        <v>1698908</v>
      </c>
      <c r="E22" s="184">
        <f t="shared" si="0"/>
        <v>4254.82</v>
      </c>
      <c r="F22" s="184">
        <f t="shared" si="0"/>
        <v>4254.82</v>
      </c>
      <c r="G22" s="184">
        <f t="shared" ref="G22" si="1">SUM(G28)</f>
        <v>9014.41</v>
      </c>
      <c r="H22" s="184">
        <f t="shared" si="0"/>
        <v>7785.12</v>
      </c>
      <c r="I22" s="184">
        <f>+D22-F22</f>
        <v>1694653.18</v>
      </c>
      <c r="J22" s="184" t="e">
        <f>+#REF!-F22</f>
        <v>#REF!</v>
      </c>
      <c r="K22" s="315">
        <f>+F22/D22*100</f>
        <v>0.25044440311070404</v>
      </c>
      <c r="L22">
        <v>59671.520000000004</v>
      </c>
    </row>
    <row r="23" spans="1:14" ht="12.75" hidden="1" customHeight="1" x14ac:dyDescent="0.2">
      <c r="A23" s="279" t="s">
        <v>92</v>
      </c>
      <c r="B23" s="279"/>
      <c r="C23" s="184"/>
      <c r="D23" s="184" t="s">
        <v>6</v>
      </c>
      <c r="E23" s="184">
        <f ca="1">+F23-L23</f>
        <v>134579</v>
      </c>
      <c r="F23" s="184">
        <f t="shared" ref="F23:F35" ca="1" si="2">+E23+L23</f>
        <v>1231</v>
      </c>
      <c r="G23" s="184">
        <f>+H23-N23</f>
        <v>0</v>
      </c>
      <c r="H23" s="184"/>
      <c r="I23" s="184"/>
      <c r="J23" s="184"/>
      <c r="K23" s="315" t="s">
        <v>6</v>
      </c>
      <c r="L23">
        <v>1231</v>
      </c>
    </row>
    <row r="24" spans="1:14" ht="12.75" hidden="1" customHeight="1" x14ac:dyDescent="0.2">
      <c r="A24" s="279" t="s">
        <v>453</v>
      </c>
      <c r="B24" s="279"/>
      <c r="C24" s="184"/>
      <c r="D24" s="184"/>
      <c r="E24" s="184">
        <f ca="1">+F24-L24</f>
        <v>134579</v>
      </c>
      <c r="F24" s="184">
        <f t="shared" ca="1" si="2"/>
        <v>1231</v>
      </c>
      <c r="G24" s="184">
        <f>+H24-N24</f>
        <v>0</v>
      </c>
      <c r="H24" s="184"/>
      <c r="I24" s="184"/>
      <c r="J24" s="184"/>
      <c r="K24" s="315" t="s">
        <v>6</v>
      </c>
      <c r="L24">
        <v>1231</v>
      </c>
    </row>
    <row r="25" spans="1:14" ht="12.75" hidden="1" customHeight="1" x14ac:dyDescent="0.2">
      <c r="A25" s="279" t="s">
        <v>454</v>
      </c>
      <c r="B25" s="279"/>
      <c r="C25" s="184"/>
      <c r="D25" s="184"/>
      <c r="E25" s="184">
        <f ca="1">+F25-L25</f>
        <v>134579</v>
      </c>
      <c r="F25" s="184">
        <f t="shared" ca="1" si="2"/>
        <v>1231</v>
      </c>
      <c r="G25" s="184">
        <f>+H25-N25</f>
        <v>0</v>
      </c>
      <c r="H25" s="184"/>
      <c r="I25" s="184"/>
      <c r="J25" s="184"/>
      <c r="K25" s="315" t="s">
        <v>6</v>
      </c>
      <c r="L25">
        <v>1231</v>
      </c>
    </row>
    <row r="26" spans="1:14" ht="12.75" hidden="1" customHeight="1" x14ac:dyDescent="0.2">
      <c r="A26" s="279" t="s">
        <v>93</v>
      </c>
      <c r="B26" s="279"/>
      <c r="C26" s="184"/>
      <c r="D26" s="184"/>
      <c r="E26" s="184">
        <f ca="1">+F26-L26</f>
        <v>134579</v>
      </c>
      <c r="F26" s="184">
        <f t="shared" ca="1" si="2"/>
        <v>1231</v>
      </c>
      <c r="G26" s="184">
        <f>+H26-N26</f>
        <v>0</v>
      </c>
      <c r="H26" s="184"/>
      <c r="I26" s="184"/>
      <c r="J26" s="184"/>
      <c r="K26" s="315" t="s">
        <v>6</v>
      </c>
      <c r="L26">
        <v>1231</v>
      </c>
    </row>
    <row r="27" spans="1:14" ht="12.75" customHeight="1" x14ac:dyDescent="0.2">
      <c r="A27" s="279"/>
      <c r="B27" s="279"/>
      <c r="C27" s="184"/>
      <c r="D27" s="184"/>
      <c r="E27" s="184"/>
      <c r="F27" s="184"/>
      <c r="G27" s="184"/>
      <c r="H27" s="184"/>
      <c r="I27" s="184"/>
      <c r="J27" s="184"/>
      <c r="K27" s="315"/>
    </row>
    <row r="28" spans="1:14" ht="18" customHeight="1" x14ac:dyDescent="0.2">
      <c r="A28" s="281" t="s">
        <v>458</v>
      </c>
      <c r="B28" s="185">
        <f>+FUNCIONAMIENTO!C160+FUNCIONAMIENTO!C162++FUNCIONAMIENTO!C168+FUNCIONAMIENTO!C172</f>
        <v>2005640</v>
      </c>
      <c r="C28" s="185">
        <f>+FUNCIONAMIENTO!D160+FUNCIONAMIENTO!D162++FUNCIONAMIENTO!D168+FUNCIONAMIENTO!D172</f>
        <v>2109640</v>
      </c>
      <c r="D28" s="185">
        <f>+FUNCIONAMIENTO!E160+FUNCIONAMIENTO!E162++FUNCIONAMIENTO!E168</f>
        <v>1698908</v>
      </c>
      <c r="E28" s="185">
        <f>+FUNCIONAMIENTO!F160+FUNCIONAMIENTO!F162++FUNCIONAMIENTO!F168</f>
        <v>4254.82</v>
      </c>
      <c r="F28" s="185">
        <f>+FUNCIONAMIENTO!F160+FUNCIONAMIENTO!F162++FUNCIONAMIENTO!F168</f>
        <v>4254.82</v>
      </c>
      <c r="G28" s="185">
        <f>+FUNCIONAMIENTO!H160+FUNCIONAMIENTO!H162++FUNCIONAMIENTO!H168</f>
        <v>9014.41</v>
      </c>
      <c r="H28" s="185">
        <f>+FUNCIONAMIENTO!I160+FUNCIONAMIENTO!I162++FUNCIONAMIENTO!I168</f>
        <v>7785.12</v>
      </c>
      <c r="I28" s="185">
        <f>+I22</f>
        <v>1694653.18</v>
      </c>
      <c r="J28" s="185" t="e">
        <f>+J22</f>
        <v>#REF!</v>
      </c>
      <c r="K28" s="314">
        <f>+F28/D28*100</f>
        <v>0.25044440311070404</v>
      </c>
      <c r="L28">
        <v>59671.520000000004</v>
      </c>
    </row>
    <row r="29" spans="1:14" ht="18" customHeight="1" x14ac:dyDescent="0.2">
      <c r="A29" s="281" t="s">
        <v>460</v>
      </c>
      <c r="B29" s="281"/>
      <c r="C29" s="185"/>
      <c r="D29" s="185" t="s">
        <v>6</v>
      </c>
      <c r="E29" s="185" t="s">
        <v>6</v>
      </c>
      <c r="F29" s="185" t="s">
        <v>6</v>
      </c>
      <c r="G29" s="185" t="s">
        <v>6</v>
      </c>
      <c r="H29" s="185"/>
      <c r="I29" s="185"/>
      <c r="J29" s="185"/>
      <c r="K29" s="314" t="s">
        <v>6</v>
      </c>
      <c r="L29" t="s">
        <v>6</v>
      </c>
    </row>
    <row r="30" spans="1:14" ht="18" customHeight="1" x14ac:dyDescent="0.2">
      <c r="A30" s="281" t="s">
        <v>459</v>
      </c>
      <c r="B30" s="281"/>
      <c r="C30" s="185"/>
      <c r="D30" s="185" t="s">
        <v>6</v>
      </c>
      <c r="E30" s="185"/>
      <c r="F30" s="185">
        <f t="shared" si="2"/>
        <v>0</v>
      </c>
      <c r="G30" s="185"/>
      <c r="H30" s="185"/>
      <c r="I30" s="185"/>
      <c r="J30" s="185"/>
      <c r="K30" s="314" t="s">
        <v>6</v>
      </c>
      <c r="L30">
        <v>0</v>
      </c>
    </row>
    <row r="31" spans="1:14" ht="9" customHeight="1" x14ac:dyDescent="0.2">
      <c r="A31" s="281"/>
      <c r="B31" s="281"/>
      <c r="C31" s="185"/>
      <c r="D31" s="185"/>
      <c r="E31" s="185"/>
      <c r="F31" s="185"/>
      <c r="G31" s="185"/>
      <c r="H31" s="185"/>
      <c r="I31" s="185"/>
      <c r="J31" s="185"/>
      <c r="K31" s="314"/>
    </row>
    <row r="32" spans="1:14" ht="22.5" customHeight="1" x14ac:dyDescent="0.2">
      <c r="A32" s="520" t="s">
        <v>456</v>
      </c>
      <c r="B32" s="521">
        <f>+FUNCIONAMIENTO!C174</f>
        <v>287000</v>
      </c>
      <c r="C32" s="521">
        <f>+FUNCIONAMIENTO!D174</f>
        <v>293000</v>
      </c>
      <c r="D32" s="521">
        <f>+FUNCIONAMIENTO!E174</f>
        <v>293000</v>
      </c>
      <c r="E32" s="521">
        <f>+FUNCIONAMIENTO!F174</f>
        <v>4475</v>
      </c>
      <c r="F32" s="521">
        <f>+FUNCIONAMIENTO!G174</f>
        <v>4475</v>
      </c>
      <c r="G32" s="521">
        <f>+FUNCIONAMIENTO!H174</f>
        <v>900</v>
      </c>
      <c r="H32" s="521">
        <f>+FUNCIONAMIENTO!I163+FUNCIONAMIENTO!I165++FUNCIONAMIENTO!I174</f>
        <v>900</v>
      </c>
      <c r="I32" s="521">
        <f>+D32-F32</f>
        <v>288525</v>
      </c>
      <c r="J32" s="521" t="e">
        <f>+#REF!-F32</f>
        <v>#REF!</v>
      </c>
      <c r="K32" s="522">
        <f>+F32/D32*100</f>
        <v>1.5273037542662116</v>
      </c>
      <c r="L32">
        <v>5963.5599999999995</v>
      </c>
    </row>
    <row r="33" spans="1:17" ht="12.6" customHeight="1" x14ac:dyDescent="0.2">
      <c r="A33" s="279"/>
      <c r="B33" s="279"/>
      <c r="C33" s="184"/>
      <c r="D33" s="184"/>
      <c r="E33" s="184"/>
      <c r="F33" s="184"/>
      <c r="G33" s="184"/>
      <c r="H33" s="184"/>
      <c r="I33" s="184"/>
      <c r="J33" s="184"/>
      <c r="K33" s="315"/>
    </row>
    <row r="34" spans="1:17" ht="15.75" customHeight="1" x14ac:dyDescent="0.2">
      <c r="A34" s="279" t="s">
        <v>6</v>
      </c>
      <c r="B34" s="279"/>
      <c r="C34" s="184"/>
      <c r="D34" s="184" t="s">
        <v>6</v>
      </c>
      <c r="E34" s="184" t="s">
        <v>6</v>
      </c>
      <c r="F34" s="184" t="s">
        <v>6</v>
      </c>
      <c r="G34" s="184" t="s">
        <v>6</v>
      </c>
      <c r="H34" s="184">
        <v>0</v>
      </c>
      <c r="I34" s="184" t="s">
        <v>6</v>
      </c>
      <c r="J34" s="184" t="s">
        <v>6</v>
      </c>
      <c r="K34" s="315">
        <v>0</v>
      </c>
      <c r="L34" t="s">
        <v>6</v>
      </c>
    </row>
    <row r="35" spans="1:17" ht="7.9" customHeight="1" x14ac:dyDescent="0.2">
      <c r="A35" s="279" t="s">
        <v>6</v>
      </c>
      <c r="B35" s="279"/>
      <c r="C35" s="184"/>
      <c r="D35" s="184"/>
      <c r="E35" s="184"/>
      <c r="F35" s="184">
        <f t="shared" si="2"/>
        <v>0</v>
      </c>
      <c r="G35" s="184"/>
      <c r="H35" s="184"/>
      <c r="I35" s="184" t="s">
        <v>6</v>
      </c>
      <c r="J35" s="184" t="s">
        <v>6</v>
      </c>
      <c r="K35" s="315" t="s">
        <v>6</v>
      </c>
      <c r="L35">
        <v>0</v>
      </c>
    </row>
    <row r="36" spans="1:17" ht="15" x14ac:dyDescent="0.25">
      <c r="A36" s="317" t="s">
        <v>94</v>
      </c>
      <c r="B36" s="508">
        <f>+B39</f>
        <v>56905194</v>
      </c>
      <c r="C36" s="312">
        <f>+C39+C45</f>
        <v>56905194</v>
      </c>
      <c r="D36" s="312">
        <f>+D45+D39</f>
        <v>13341289</v>
      </c>
      <c r="E36" s="312">
        <f>+E39+E45</f>
        <v>1368215.17</v>
      </c>
      <c r="F36" s="312">
        <f>+F39</f>
        <v>3838580.31</v>
      </c>
      <c r="G36" s="312">
        <f>+G39+G45</f>
        <v>166888.97</v>
      </c>
      <c r="H36" s="312">
        <f>+H45+H39</f>
        <v>3745.45</v>
      </c>
      <c r="I36" s="312">
        <f>+D36-F36</f>
        <v>9502708.6899999995</v>
      </c>
      <c r="J36" s="312" t="e">
        <f>+#REF!-F36</f>
        <v>#REF!</v>
      </c>
      <c r="K36" s="318">
        <f>+F36/D36*100</f>
        <v>28.772184681705042</v>
      </c>
      <c r="L36">
        <v>12869150.130000001</v>
      </c>
    </row>
    <row r="37" spans="1:17" ht="4.5" customHeight="1" x14ac:dyDescent="0.2">
      <c r="A37" s="279"/>
      <c r="B37" s="279"/>
      <c r="C37" s="184"/>
      <c r="D37" s="313" t="s">
        <v>6</v>
      </c>
      <c r="E37" s="184" t="s">
        <v>6</v>
      </c>
      <c r="F37" s="184" t="s">
        <v>6</v>
      </c>
      <c r="G37" s="184" t="s">
        <v>6</v>
      </c>
      <c r="H37" s="184"/>
      <c r="I37" s="184"/>
      <c r="J37" s="184"/>
      <c r="K37" s="315" t="s">
        <v>6</v>
      </c>
      <c r="L37" t="s">
        <v>6</v>
      </c>
    </row>
    <row r="38" spans="1:17" ht="15.75" customHeight="1" x14ac:dyDescent="0.2">
      <c r="A38" s="279"/>
      <c r="B38" s="279"/>
      <c r="C38" s="184"/>
      <c r="D38" s="313"/>
      <c r="E38" s="184"/>
      <c r="F38" s="184"/>
      <c r="G38" s="184"/>
      <c r="H38" s="184"/>
      <c r="I38" s="184"/>
      <c r="J38" s="184"/>
      <c r="K38" s="315"/>
    </row>
    <row r="39" spans="1:17" ht="13.5" x14ac:dyDescent="0.2">
      <c r="A39" s="279" t="s">
        <v>95</v>
      </c>
      <c r="B39" s="507">
        <f>+B41+B42+B43</f>
        <v>56905194</v>
      </c>
      <c r="C39" s="184">
        <f t="shared" ref="C39:G39" si="3">+C41+C42+C43</f>
        <v>56905194</v>
      </c>
      <c r="D39" s="184">
        <f t="shared" si="3"/>
        <v>13341289</v>
      </c>
      <c r="E39" s="184">
        <f t="shared" si="3"/>
        <v>1368215.17</v>
      </c>
      <c r="F39" s="184">
        <f t="shared" si="3"/>
        <v>3838580.31</v>
      </c>
      <c r="G39" s="184">
        <f t="shared" si="3"/>
        <v>166888.97</v>
      </c>
      <c r="H39" s="184">
        <f>+H41+H42+H43</f>
        <v>3745.45</v>
      </c>
      <c r="I39" s="184">
        <f>+D39-F39</f>
        <v>9502708.6899999995</v>
      </c>
      <c r="J39" s="184" t="e">
        <f>+#REF!-F39</f>
        <v>#REF!</v>
      </c>
      <c r="K39" s="315">
        <f>+F39/D39*100</f>
        <v>28.772184681705042</v>
      </c>
      <c r="L39">
        <v>12869150.130000001</v>
      </c>
      <c r="N39" t="s">
        <v>6</v>
      </c>
    </row>
    <row r="40" spans="1:17" ht="6" customHeight="1" x14ac:dyDescent="0.2">
      <c r="A40" s="279"/>
      <c r="B40" s="279"/>
      <c r="C40" s="184"/>
      <c r="D40" s="184"/>
      <c r="E40" s="184" t="s">
        <v>6</v>
      </c>
      <c r="F40" s="184" t="s">
        <v>6</v>
      </c>
      <c r="G40" s="184" t="s">
        <v>6</v>
      </c>
      <c r="H40" s="184"/>
      <c r="I40" s="184" t="s">
        <v>6</v>
      </c>
      <c r="J40" s="184" t="s">
        <v>6</v>
      </c>
      <c r="K40" s="315"/>
      <c r="L40" t="s">
        <v>6</v>
      </c>
    </row>
    <row r="41" spans="1:17" ht="18" customHeight="1" x14ac:dyDescent="0.2">
      <c r="A41" s="279" t="s">
        <v>455</v>
      </c>
      <c r="B41" s="185">
        <f>+PROYECTOS!B8</f>
        <v>27799680</v>
      </c>
      <c r="C41" s="185">
        <f>+PROYECTOS!C8</f>
        <v>27515550</v>
      </c>
      <c r="D41" s="185">
        <f>+PROYECTOS!D8</f>
        <v>6199197</v>
      </c>
      <c r="E41" s="185">
        <f>+PROYECTOS!E8</f>
        <v>217788.24</v>
      </c>
      <c r="F41" s="185">
        <f>+PROYECTOS!F8</f>
        <v>2171323.0099999998</v>
      </c>
      <c r="G41" s="185">
        <f>+PROYECTOS!G8</f>
        <v>38003</v>
      </c>
      <c r="H41" s="185">
        <f>+PROYECTOS!H15</f>
        <v>0</v>
      </c>
      <c r="I41" s="185">
        <f>+D41-F41</f>
        <v>4027873.99</v>
      </c>
      <c r="J41" s="185" t="e">
        <f>+#REF!-F41</f>
        <v>#REF!</v>
      </c>
      <c r="K41" s="314">
        <f>+F41/D41*100</f>
        <v>35.025875286750846</v>
      </c>
      <c r="L41" s="66">
        <v>12221531.41</v>
      </c>
      <c r="N41" s="1"/>
      <c r="O41" s="1"/>
      <c r="Q41" s="47"/>
    </row>
    <row r="42" spans="1:17" ht="18" customHeight="1" x14ac:dyDescent="0.2">
      <c r="A42" s="279" t="s">
        <v>461</v>
      </c>
      <c r="B42" s="185">
        <f>+PROYECTOS!B16</f>
        <v>15761574</v>
      </c>
      <c r="C42" s="185">
        <f>+PROYECTOS!C16</f>
        <v>16030720</v>
      </c>
      <c r="D42" s="185">
        <f>+PROYECTOS!D16</f>
        <v>4038409</v>
      </c>
      <c r="E42" s="185">
        <f>+PROYECTOS!E16</f>
        <v>661670.91</v>
      </c>
      <c r="F42" s="185">
        <f>+PROYECTOS!F16</f>
        <v>680523.28</v>
      </c>
      <c r="G42" s="185">
        <f>+PROYECTOS!G16</f>
        <v>71319.990000000005</v>
      </c>
      <c r="H42" s="185">
        <f>+PROYECTOS!H16</f>
        <v>2731.15</v>
      </c>
      <c r="I42" s="185">
        <f>+D42-F42</f>
        <v>3357885.7199999997</v>
      </c>
      <c r="J42" s="185" t="e">
        <f>+#REF!-F42</f>
        <v>#REF!</v>
      </c>
      <c r="K42" s="314">
        <f>+F42/D42*100</f>
        <v>16.851271874641721</v>
      </c>
      <c r="L42" s="66">
        <v>647618.71999999986</v>
      </c>
      <c r="N42" s="1"/>
      <c r="O42" s="1"/>
      <c r="Q42" s="47"/>
    </row>
    <row r="43" spans="1:17" ht="19.5" customHeight="1" x14ac:dyDescent="0.2">
      <c r="A43" s="279" t="s">
        <v>462</v>
      </c>
      <c r="B43" s="185">
        <f>+PROYECTOS!B31</f>
        <v>13343940</v>
      </c>
      <c r="C43" s="185">
        <f>+PROYECTOS!C31</f>
        <v>13358924</v>
      </c>
      <c r="D43" s="185">
        <f>+PROYECTOS!D31</f>
        <v>3103683</v>
      </c>
      <c r="E43" s="185">
        <f>+PROYECTOS!E31</f>
        <v>488756.01999999996</v>
      </c>
      <c r="F43" s="185">
        <f>+PROYECTOS!F31</f>
        <v>986734.02</v>
      </c>
      <c r="G43" s="185">
        <f>+PROYECTOS!G31</f>
        <v>57565.98</v>
      </c>
      <c r="H43" s="185">
        <f>+PROYECTOS!H31</f>
        <v>1014.3</v>
      </c>
      <c r="I43" s="185">
        <f>+D43-F43</f>
        <v>2116948.98</v>
      </c>
      <c r="J43" s="185" t="e">
        <f>+#REF!-F43</f>
        <v>#REF!</v>
      </c>
      <c r="K43" s="314">
        <f>+F43/D43*100</f>
        <v>31.792358304633559</v>
      </c>
      <c r="L43" s="66">
        <v>0</v>
      </c>
      <c r="N43" s="1"/>
      <c r="O43" s="1"/>
    </row>
    <row r="44" spans="1:17" ht="7.5" customHeight="1" x14ac:dyDescent="0.2">
      <c r="A44" s="279"/>
      <c r="B44" s="279"/>
      <c r="C44" s="184"/>
      <c r="D44" s="184"/>
      <c r="E44" s="184"/>
      <c r="F44" s="184" t="s">
        <v>6</v>
      </c>
      <c r="G44" s="184"/>
      <c r="H44" s="184"/>
      <c r="I44" s="184" t="s">
        <v>6</v>
      </c>
      <c r="J44" s="184" t="s">
        <v>6</v>
      </c>
      <c r="K44" s="315" t="s">
        <v>6</v>
      </c>
      <c r="L44" t="s">
        <v>6</v>
      </c>
    </row>
    <row r="45" spans="1:17" ht="13.5" x14ac:dyDescent="0.2">
      <c r="A45" s="279"/>
      <c r="B45" s="279"/>
      <c r="C45" s="184"/>
      <c r="D45" s="184">
        <v>0</v>
      </c>
      <c r="E45" s="184">
        <v>0</v>
      </c>
      <c r="F45" s="184" t="s">
        <v>6</v>
      </c>
      <c r="G45" s="184"/>
      <c r="H45" s="184">
        <v>0</v>
      </c>
      <c r="I45" s="184" t="s">
        <v>6</v>
      </c>
      <c r="J45" s="184" t="s">
        <v>6</v>
      </c>
      <c r="K45" s="315" t="s">
        <v>6</v>
      </c>
      <c r="L45" t="s">
        <v>6</v>
      </c>
    </row>
    <row r="46" spans="1:17" ht="9" customHeight="1" x14ac:dyDescent="0.2">
      <c r="A46" s="279"/>
      <c r="B46" s="279"/>
      <c r="C46" s="184"/>
      <c r="D46" s="184"/>
      <c r="E46" s="184"/>
      <c r="F46" s="184" t="s">
        <v>6</v>
      </c>
      <c r="G46" s="184"/>
      <c r="H46" s="184" t="s">
        <v>6</v>
      </c>
      <c r="I46" s="184" t="s">
        <v>6</v>
      </c>
      <c r="J46" s="184" t="s">
        <v>6</v>
      </c>
      <c r="K46" s="315" t="s">
        <v>6</v>
      </c>
      <c r="L46" t="s">
        <v>6</v>
      </c>
    </row>
    <row r="47" spans="1:17" ht="13.5" x14ac:dyDescent="0.2">
      <c r="A47" s="279"/>
      <c r="B47" s="279"/>
      <c r="C47" s="184"/>
      <c r="D47" s="184"/>
      <c r="E47" s="184"/>
      <c r="F47" s="184" t="s">
        <v>6</v>
      </c>
      <c r="G47" s="184"/>
      <c r="H47" s="184"/>
      <c r="I47" s="184" t="s">
        <v>6</v>
      </c>
      <c r="J47" s="184" t="s">
        <v>6</v>
      </c>
      <c r="K47" s="315" t="s">
        <v>6</v>
      </c>
      <c r="L47" t="s">
        <v>6</v>
      </c>
    </row>
    <row r="48" spans="1:17" ht="13.5" x14ac:dyDescent="0.2">
      <c r="A48" s="279"/>
      <c r="B48" s="279"/>
      <c r="C48" s="184"/>
      <c r="D48" s="184"/>
      <c r="E48" s="184"/>
      <c r="F48" s="184" t="s">
        <v>6</v>
      </c>
      <c r="G48" s="184"/>
      <c r="H48" s="184"/>
      <c r="I48" s="184" t="s">
        <v>6</v>
      </c>
      <c r="J48" s="184" t="s">
        <v>6</v>
      </c>
      <c r="K48" s="315" t="s">
        <v>6</v>
      </c>
      <c r="L48" t="s">
        <v>6</v>
      </c>
    </row>
    <row r="49" spans="1:12" ht="13.5" x14ac:dyDescent="0.2">
      <c r="A49" s="279"/>
      <c r="B49" s="279"/>
      <c r="C49" s="184"/>
      <c r="D49" s="184"/>
      <c r="E49" s="184"/>
      <c r="F49" s="184" t="s">
        <v>6</v>
      </c>
      <c r="G49" s="184"/>
      <c r="H49" s="184"/>
      <c r="I49" s="184" t="s">
        <v>6</v>
      </c>
      <c r="J49" s="184" t="s">
        <v>6</v>
      </c>
      <c r="K49" s="315" t="s">
        <v>6</v>
      </c>
      <c r="L49" t="s">
        <v>6</v>
      </c>
    </row>
    <row r="50" spans="1:12" ht="13.5" x14ac:dyDescent="0.2">
      <c r="A50" s="279"/>
      <c r="B50" s="279"/>
      <c r="C50" s="184"/>
      <c r="D50" s="184" t="s">
        <v>6</v>
      </c>
      <c r="E50" s="184" t="s">
        <v>6</v>
      </c>
      <c r="F50" s="184" t="s">
        <v>6</v>
      </c>
      <c r="G50" s="184"/>
      <c r="H50" s="184"/>
      <c r="I50" s="184" t="s">
        <v>6</v>
      </c>
      <c r="J50" s="184" t="s">
        <v>6</v>
      </c>
      <c r="K50" s="315" t="s">
        <v>6</v>
      </c>
      <c r="L50" t="s">
        <v>6</v>
      </c>
    </row>
    <row r="51" spans="1:12" ht="13.5" x14ac:dyDescent="0.2">
      <c r="A51" s="279"/>
      <c r="B51" s="279"/>
      <c r="C51" s="184"/>
      <c r="D51" s="184" t="s">
        <v>6</v>
      </c>
      <c r="E51" s="184" t="s">
        <v>6</v>
      </c>
      <c r="F51" s="184" t="s">
        <v>6</v>
      </c>
      <c r="G51" s="184"/>
      <c r="H51" s="184"/>
      <c r="I51" s="184" t="s">
        <v>41</v>
      </c>
      <c r="J51" s="184" t="s">
        <v>6</v>
      </c>
      <c r="K51" s="315" t="s">
        <v>6</v>
      </c>
      <c r="L51" t="s">
        <v>6</v>
      </c>
    </row>
    <row r="52" spans="1:12" ht="6.75" customHeight="1" x14ac:dyDescent="0.2">
      <c r="A52" s="279"/>
      <c r="B52" s="279"/>
      <c r="C52" s="184"/>
      <c r="D52" s="184"/>
      <c r="E52" s="184"/>
      <c r="F52" s="184" t="s">
        <v>6</v>
      </c>
      <c r="G52" s="184"/>
      <c r="H52" s="184"/>
      <c r="I52" s="184" t="s">
        <v>6</v>
      </c>
      <c r="J52" s="184" t="s">
        <v>6</v>
      </c>
      <c r="K52" s="315" t="s">
        <v>6</v>
      </c>
      <c r="L52" t="s">
        <v>6</v>
      </c>
    </row>
    <row r="53" spans="1:12" ht="13.5" x14ac:dyDescent="0.2">
      <c r="A53" s="279"/>
      <c r="B53" s="279"/>
      <c r="C53" s="184"/>
      <c r="D53" s="184">
        <v>0</v>
      </c>
      <c r="E53" s="184">
        <v>0</v>
      </c>
      <c r="F53" s="184" t="s">
        <v>6</v>
      </c>
      <c r="G53" s="184"/>
      <c r="H53" s="184">
        <v>0</v>
      </c>
      <c r="I53" s="184" t="s">
        <v>41</v>
      </c>
      <c r="J53" s="184" t="s">
        <v>6</v>
      </c>
      <c r="K53" s="315" t="s">
        <v>6</v>
      </c>
      <c r="L53" t="s">
        <v>6</v>
      </c>
    </row>
    <row r="54" spans="1:12" ht="7.5" customHeight="1" x14ac:dyDescent="0.2">
      <c r="A54" s="279"/>
      <c r="B54" s="279"/>
      <c r="C54" s="184"/>
      <c r="D54" s="184"/>
      <c r="E54" s="184"/>
      <c r="F54" s="184" t="s">
        <v>6</v>
      </c>
      <c r="G54" s="184"/>
      <c r="H54" s="184"/>
      <c r="I54" s="184" t="s">
        <v>6</v>
      </c>
      <c r="J54" s="184" t="s">
        <v>6</v>
      </c>
      <c r="K54" s="315" t="s">
        <v>6</v>
      </c>
      <c r="L54" t="s">
        <v>6</v>
      </c>
    </row>
    <row r="55" spans="1:12" ht="13.5" x14ac:dyDescent="0.2">
      <c r="A55" s="279"/>
      <c r="B55" s="279"/>
      <c r="C55" s="184"/>
      <c r="D55" s="184"/>
      <c r="E55" s="184"/>
      <c r="F55" s="184" t="s">
        <v>6</v>
      </c>
      <c r="G55" s="184"/>
      <c r="H55" s="184"/>
      <c r="I55" s="184" t="s">
        <v>6</v>
      </c>
      <c r="J55" s="184" t="s">
        <v>6</v>
      </c>
      <c r="K55" s="315" t="s">
        <v>6</v>
      </c>
      <c r="L55" t="s">
        <v>6</v>
      </c>
    </row>
    <row r="56" spans="1:12" ht="13.5" x14ac:dyDescent="0.2">
      <c r="A56" s="279"/>
      <c r="B56" s="279"/>
      <c r="C56" s="184"/>
      <c r="D56" s="184"/>
      <c r="E56" s="184"/>
      <c r="F56" s="184" t="s">
        <v>6</v>
      </c>
      <c r="G56" s="184"/>
      <c r="H56" s="184"/>
      <c r="I56" s="184" t="s">
        <v>6</v>
      </c>
      <c r="J56" s="184" t="s">
        <v>6</v>
      </c>
      <c r="K56" s="315" t="s">
        <v>6</v>
      </c>
      <c r="L56" t="s">
        <v>6</v>
      </c>
    </row>
    <row r="57" spans="1:12" ht="15.75" x14ac:dyDescent="0.3">
      <c r="A57" s="280"/>
      <c r="B57" s="280"/>
      <c r="C57" s="319"/>
      <c r="D57" s="220"/>
      <c r="E57" s="220"/>
      <c r="F57" s="220" t="s">
        <v>6</v>
      </c>
      <c r="G57" s="220"/>
      <c r="H57" s="220"/>
      <c r="I57" s="220" t="s">
        <v>6</v>
      </c>
      <c r="J57" s="220" t="s">
        <v>6</v>
      </c>
      <c r="K57" s="320" t="s">
        <v>6</v>
      </c>
      <c r="L57" t="s">
        <v>6</v>
      </c>
    </row>
    <row r="58" spans="1:12" ht="12" customHeight="1" thickBot="1" x14ac:dyDescent="0.3">
      <c r="A58" s="321"/>
      <c r="B58" s="321"/>
      <c r="C58" s="322"/>
      <c r="D58" s="323"/>
      <c r="E58" s="323"/>
      <c r="F58" s="324" t="s">
        <v>6</v>
      </c>
      <c r="G58" s="324"/>
      <c r="H58" s="323"/>
      <c r="I58" s="323"/>
      <c r="J58" s="324" t="s">
        <v>6</v>
      </c>
      <c r="K58" s="325"/>
    </row>
    <row r="59" spans="1:12" ht="15.75" x14ac:dyDescent="0.25">
      <c r="A59" s="36"/>
      <c r="B59" s="36"/>
      <c r="C59" s="36"/>
      <c r="D59" s="39"/>
      <c r="E59" s="39"/>
      <c r="F59" s="39"/>
      <c r="G59" s="39"/>
      <c r="H59" s="39"/>
      <c r="I59" s="39"/>
      <c r="J59" s="39"/>
      <c r="K59" s="326"/>
    </row>
    <row r="60" spans="1:12" x14ac:dyDescent="0.2">
      <c r="A60" s="641" t="s">
        <v>566</v>
      </c>
      <c r="B60" s="641"/>
      <c r="C60" s="34"/>
      <c r="D60" s="40"/>
      <c r="E60" s="40"/>
      <c r="F60" s="39"/>
      <c r="G60" s="39"/>
      <c r="H60" s="39"/>
      <c r="I60" s="39"/>
      <c r="J60" s="39"/>
      <c r="K60" s="35"/>
    </row>
    <row r="61" spans="1:12" x14ac:dyDescent="0.2">
      <c r="A61" s="34" t="s">
        <v>6</v>
      </c>
      <c r="B61" s="34"/>
      <c r="C61" s="34"/>
      <c r="D61" s="40"/>
      <c r="E61" s="40"/>
      <c r="F61" s="39"/>
      <c r="G61" s="39"/>
      <c r="H61" s="39"/>
      <c r="I61" s="39"/>
      <c r="J61" s="39"/>
      <c r="K61" s="35"/>
    </row>
    <row r="62" spans="1:12" x14ac:dyDescent="0.2">
      <c r="A62" s="34" t="s">
        <v>6</v>
      </c>
      <c r="B62" s="34"/>
      <c r="C62" s="34"/>
      <c r="D62" s="40"/>
      <c r="E62" s="40"/>
      <c r="F62" s="39"/>
      <c r="G62" s="39"/>
      <c r="H62" s="39"/>
      <c r="I62" s="39"/>
      <c r="J62" s="39"/>
      <c r="K62" s="35"/>
    </row>
    <row r="63" spans="1:12" x14ac:dyDescent="0.2">
      <c r="A63" s="34" t="s">
        <v>6</v>
      </c>
      <c r="B63" s="34"/>
      <c r="C63" s="34"/>
      <c r="D63" s="33"/>
      <c r="E63" s="33"/>
      <c r="F63" s="33"/>
      <c r="G63" s="33"/>
      <c r="H63" s="33"/>
      <c r="I63" s="33"/>
      <c r="J63" s="33"/>
      <c r="K63" s="35"/>
    </row>
    <row r="64" spans="1:12" x14ac:dyDescent="0.2">
      <c r="A64" s="34" t="s">
        <v>6</v>
      </c>
      <c r="B64" s="34"/>
      <c r="C64" s="34"/>
      <c r="D64" s="33"/>
      <c r="E64" s="33"/>
      <c r="F64" s="33"/>
      <c r="G64" s="33"/>
      <c r="H64" s="33"/>
      <c r="I64" s="33"/>
      <c r="J64" s="33"/>
      <c r="K64" s="35"/>
    </row>
    <row r="65" spans="1:11" x14ac:dyDescent="0.2">
      <c r="A65" s="34" t="s">
        <v>6</v>
      </c>
      <c r="B65" s="34"/>
      <c r="C65" s="34"/>
      <c r="D65" s="33"/>
      <c r="E65" s="33"/>
      <c r="F65" s="33"/>
      <c r="G65" s="33"/>
      <c r="H65" s="33"/>
      <c r="I65" s="33"/>
      <c r="J65" s="33"/>
      <c r="K65" s="35"/>
    </row>
    <row r="66" spans="1:11" x14ac:dyDescent="0.2">
      <c r="A66" s="34" t="s">
        <v>6</v>
      </c>
      <c r="B66" s="34"/>
      <c r="C66" s="34"/>
      <c r="D66" s="33"/>
      <c r="E66" s="33"/>
      <c r="F66" s="33"/>
      <c r="G66" s="33"/>
      <c r="H66" s="33"/>
      <c r="I66" s="33"/>
      <c r="J66" s="33"/>
      <c r="K66" s="35"/>
    </row>
    <row r="67" spans="1:11" x14ac:dyDescent="0.2">
      <c r="A67" s="34" t="s">
        <v>6</v>
      </c>
      <c r="B67" s="34"/>
      <c r="C67" s="34"/>
      <c r="D67" s="33"/>
      <c r="E67" s="33"/>
      <c r="F67" s="33"/>
      <c r="G67" s="33"/>
      <c r="H67" s="33"/>
      <c r="I67" s="33"/>
      <c r="J67" s="33"/>
      <c r="K67" s="35"/>
    </row>
    <row r="68" spans="1:11" x14ac:dyDescent="0.2">
      <c r="A68" s="34" t="s">
        <v>6</v>
      </c>
      <c r="B68" s="34"/>
      <c r="C68" s="34"/>
      <c r="D68" s="33"/>
      <c r="E68" s="33"/>
      <c r="F68" s="33"/>
      <c r="G68" s="33"/>
      <c r="H68" s="33"/>
      <c r="I68" s="33"/>
      <c r="J68" s="33"/>
      <c r="K68" s="35"/>
    </row>
    <row r="69" spans="1:11" ht="74.25" customHeight="1" x14ac:dyDescent="0.2">
      <c r="A69" s="34" t="s">
        <v>6</v>
      </c>
      <c r="B69" s="34"/>
      <c r="C69" s="34"/>
      <c r="D69" s="33"/>
      <c r="E69" s="33"/>
      <c r="F69" s="33"/>
      <c r="G69" s="33"/>
      <c r="H69" s="33"/>
      <c r="I69" s="33"/>
      <c r="J69" s="33"/>
      <c r="K69" s="35"/>
    </row>
    <row r="70" spans="1:11" x14ac:dyDescent="0.2">
      <c r="A70" s="25" t="s">
        <v>6</v>
      </c>
      <c r="D70" s="33"/>
      <c r="E70" s="33"/>
      <c r="F70" s="33"/>
      <c r="G70" s="33"/>
      <c r="H70" s="33"/>
      <c r="I70" s="33"/>
      <c r="J70" s="33"/>
      <c r="K70" s="35"/>
    </row>
    <row r="71" spans="1:11" x14ac:dyDescent="0.2">
      <c r="D71" s="33"/>
      <c r="E71" s="33"/>
      <c r="F71" s="33"/>
      <c r="G71" s="33"/>
      <c r="H71" s="33"/>
      <c r="I71" s="33"/>
      <c r="J71" s="33"/>
      <c r="K71" s="35"/>
    </row>
    <row r="72" spans="1:11" x14ac:dyDescent="0.2">
      <c r="A72" s="25" t="s">
        <v>6</v>
      </c>
      <c r="D72" s="33"/>
      <c r="E72" s="33"/>
      <c r="F72" s="33"/>
      <c r="G72" s="33"/>
      <c r="H72" s="33"/>
      <c r="I72" s="33"/>
      <c r="J72" s="33"/>
      <c r="K72" s="35"/>
    </row>
    <row r="73" spans="1:11" x14ac:dyDescent="0.2">
      <c r="A73" s="25" t="s">
        <v>6</v>
      </c>
      <c r="D73" s="33"/>
      <c r="E73" s="33"/>
      <c r="F73" s="33"/>
      <c r="G73" s="33"/>
      <c r="H73" s="33"/>
      <c r="I73" s="33"/>
      <c r="J73" s="33"/>
      <c r="K73" s="35"/>
    </row>
    <row r="74" spans="1:11" x14ac:dyDescent="0.2">
      <c r="D74" s="33"/>
      <c r="E74" s="33"/>
      <c r="F74" s="33"/>
      <c r="G74" s="33"/>
      <c r="H74" s="33"/>
      <c r="I74" s="33"/>
      <c r="J74" s="33"/>
      <c r="K74" s="35"/>
    </row>
    <row r="75" spans="1:11" x14ac:dyDescent="0.2">
      <c r="D75" s="33"/>
      <c r="E75" s="33"/>
      <c r="F75" s="33"/>
      <c r="G75" s="33"/>
      <c r="H75" s="33"/>
      <c r="I75" s="33"/>
      <c r="J75" s="33"/>
      <c r="K75" s="35"/>
    </row>
    <row r="76" spans="1:11" x14ac:dyDescent="0.2">
      <c r="D76" s="33"/>
      <c r="E76" s="33"/>
      <c r="F76" s="33"/>
      <c r="G76" s="33"/>
      <c r="H76" s="33"/>
      <c r="I76" s="33"/>
      <c r="J76" s="33"/>
      <c r="K76" s="35"/>
    </row>
    <row r="77" spans="1:11" x14ac:dyDescent="0.2">
      <c r="D77" s="33"/>
      <c r="E77" s="33"/>
      <c r="F77" s="33"/>
      <c r="G77" s="33"/>
      <c r="H77" s="33"/>
      <c r="I77" s="33"/>
      <c r="J77" s="33"/>
      <c r="K77" s="35"/>
    </row>
    <row r="78" spans="1:11" x14ac:dyDescent="0.2">
      <c r="D78" s="33"/>
      <c r="E78" s="33"/>
      <c r="F78" s="33"/>
      <c r="G78" s="33"/>
      <c r="H78" s="33"/>
      <c r="I78" s="33"/>
      <c r="J78" s="33"/>
      <c r="K78" s="35"/>
    </row>
    <row r="79" spans="1:11" x14ac:dyDescent="0.2">
      <c r="D79" s="33"/>
      <c r="E79" s="33"/>
      <c r="F79" s="33"/>
      <c r="G79" s="33"/>
      <c r="H79" s="33"/>
      <c r="I79" s="33"/>
      <c r="J79" s="33"/>
      <c r="K79" s="35"/>
    </row>
    <row r="80" spans="1:11" x14ac:dyDescent="0.2">
      <c r="D80" s="33"/>
      <c r="E80" s="33"/>
      <c r="F80" s="33"/>
      <c r="G80" s="33"/>
      <c r="H80" s="33"/>
      <c r="I80" s="33"/>
      <c r="J80" s="33"/>
      <c r="K80" s="35"/>
    </row>
    <row r="81" spans="4:11" x14ac:dyDescent="0.2">
      <c r="D81" s="33"/>
      <c r="E81" s="33"/>
      <c r="F81" s="33"/>
      <c r="G81" s="33"/>
      <c r="H81" s="33"/>
      <c r="I81" s="33"/>
      <c r="J81" s="33"/>
      <c r="K81" s="35"/>
    </row>
    <row r="82" spans="4:11" x14ac:dyDescent="0.2">
      <c r="D82" s="33"/>
      <c r="E82" s="33"/>
      <c r="F82" s="33"/>
      <c r="G82" s="33"/>
      <c r="H82" s="33"/>
      <c r="I82" s="33"/>
      <c r="J82" s="33"/>
      <c r="K82" s="35"/>
    </row>
    <row r="83" spans="4:11" x14ac:dyDescent="0.2">
      <c r="D83" s="33"/>
      <c r="E83" s="33"/>
      <c r="F83" s="33"/>
      <c r="G83" s="33"/>
      <c r="H83" s="33"/>
      <c r="I83" s="33"/>
      <c r="J83" s="33"/>
      <c r="K83" s="35"/>
    </row>
    <row r="84" spans="4:11" x14ac:dyDescent="0.2">
      <c r="D84" s="33"/>
      <c r="E84" s="33"/>
      <c r="F84" s="33"/>
      <c r="G84" s="33"/>
      <c r="H84" s="33"/>
      <c r="I84" s="33"/>
      <c r="J84" s="33"/>
      <c r="K84" s="35"/>
    </row>
    <row r="85" spans="4:11" x14ac:dyDescent="0.2">
      <c r="D85" s="33"/>
      <c r="E85" s="33"/>
      <c r="F85" s="33"/>
      <c r="G85" s="33"/>
      <c r="H85" s="33"/>
      <c r="I85" s="33"/>
      <c r="J85" s="33"/>
      <c r="K85" s="35"/>
    </row>
    <row r="86" spans="4:11" x14ac:dyDescent="0.2">
      <c r="D86" s="33"/>
      <c r="E86" s="33"/>
      <c r="F86" s="33"/>
      <c r="G86" s="33"/>
      <c r="H86" s="33"/>
      <c r="I86" s="33"/>
      <c r="J86" s="33"/>
      <c r="K86" s="35"/>
    </row>
    <row r="87" spans="4:11" x14ac:dyDescent="0.2">
      <c r="D87" s="33"/>
      <c r="E87" s="33"/>
      <c r="F87" s="33"/>
      <c r="G87" s="33"/>
      <c r="H87" s="33"/>
      <c r="I87" s="33"/>
      <c r="J87" s="33"/>
      <c r="K87" s="35"/>
    </row>
    <row r="88" spans="4:11" x14ac:dyDescent="0.2">
      <c r="D88" s="33"/>
      <c r="E88" s="33"/>
      <c r="F88" s="33"/>
      <c r="G88" s="33"/>
      <c r="H88" s="33"/>
      <c r="I88" s="33"/>
      <c r="J88" s="33"/>
      <c r="K88" s="35"/>
    </row>
    <row r="89" spans="4:11" x14ac:dyDescent="0.2">
      <c r="D89" s="33"/>
      <c r="E89" s="33"/>
      <c r="F89" s="33"/>
      <c r="G89" s="33"/>
      <c r="H89" s="33"/>
      <c r="I89" s="33"/>
      <c r="J89" s="33"/>
      <c r="K89" s="35"/>
    </row>
    <row r="90" spans="4:11" x14ac:dyDescent="0.2">
      <c r="D90" s="33"/>
      <c r="E90" s="33"/>
      <c r="F90" s="33"/>
      <c r="G90" s="33"/>
      <c r="H90" s="33"/>
      <c r="I90" s="33"/>
      <c r="J90" s="33"/>
      <c r="K90" s="35"/>
    </row>
    <row r="91" spans="4:11" x14ac:dyDescent="0.2">
      <c r="D91" s="33"/>
      <c r="E91" s="33"/>
      <c r="F91" s="33"/>
      <c r="G91" s="33"/>
      <c r="H91" s="33"/>
      <c r="I91" s="33"/>
      <c r="J91" s="33"/>
      <c r="K91" s="35"/>
    </row>
    <row r="92" spans="4:11" x14ac:dyDescent="0.2">
      <c r="D92" s="33"/>
      <c r="E92" s="33"/>
      <c r="F92" s="33"/>
      <c r="G92" s="33"/>
      <c r="H92" s="33"/>
      <c r="I92" s="33"/>
      <c r="J92" s="33"/>
      <c r="K92" s="35"/>
    </row>
    <row r="93" spans="4:11" x14ac:dyDescent="0.2">
      <c r="D93" s="33"/>
      <c r="E93" s="33"/>
      <c r="F93" s="33"/>
      <c r="G93" s="33"/>
      <c r="H93" s="33"/>
      <c r="I93" s="33"/>
      <c r="J93" s="33"/>
      <c r="K93" s="35"/>
    </row>
    <row r="94" spans="4:11" x14ac:dyDescent="0.2">
      <c r="D94" s="33"/>
      <c r="E94" s="33"/>
      <c r="F94" s="33"/>
      <c r="G94" s="33"/>
      <c r="H94" s="33"/>
      <c r="I94" s="33"/>
      <c r="J94" s="33"/>
      <c r="K94" s="35"/>
    </row>
    <row r="95" spans="4:11" x14ac:dyDescent="0.2">
      <c r="D95" s="33"/>
      <c r="E95" s="33"/>
      <c r="F95" s="33"/>
      <c r="G95" s="33"/>
      <c r="H95" s="33"/>
      <c r="I95" s="33"/>
      <c r="J95" s="33"/>
      <c r="K95" s="35"/>
    </row>
    <row r="96" spans="4:11" x14ac:dyDescent="0.2">
      <c r="D96" s="33"/>
      <c r="E96" s="33"/>
      <c r="F96" s="33"/>
      <c r="G96" s="33"/>
      <c r="H96" s="33"/>
      <c r="I96" s="33"/>
      <c r="J96" s="33"/>
      <c r="K96" s="35"/>
    </row>
    <row r="97" spans="4:11" x14ac:dyDescent="0.2">
      <c r="D97" s="33"/>
      <c r="E97" s="33"/>
      <c r="F97" s="33"/>
      <c r="G97" s="33"/>
      <c r="H97" s="33"/>
      <c r="I97" s="33"/>
      <c r="J97" s="33"/>
      <c r="K97" s="35"/>
    </row>
    <row r="98" spans="4:11" x14ac:dyDescent="0.2">
      <c r="D98" s="33"/>
      <c r="E98" s="33"/>
      <c r="F98" s="33"/>
      <c r="G98" s="33"/>
      <c r="H98" s="33"/>
      <c r="I98" s="33"/>
      <c r="J98" s="33"/>
      <c r="K98" s="35"/>
    </row>
    <row r="99" spans="4:11" x14ac:dyDescent="0.2">
      <c r="D99" s="33"/>
      <c r="E99" s="33"/>
      <c r="F99" s="33"/>
      <c r="G99" s="33"/>
      <c r="H99" s="33"/>
      <c r="I99" s="33"/>
      <c r="J99" s="33"/>
      <c r="K99" s="35"/>
    </row>
    <row r="100" spans="4:11" x14ac:dyDescent="0.2">
      <c r="D100" s="33"/>
      <c r="E100" s="33"/>
      <c r="F100" s="33"/>
      <c r="G100" s="33"/>
      <c r="H100" s="33"/>
      <c r="I100" s="33"/>
      <c r="J100" s="33"/>
      <c r="K100" s="35"/>
    </row>
    <row r="101" spans="4:11" x14ac:dyDescent="0.2">
      <c r="D101" s="33"/>
      <c r="E101" s="33"/>
      <c r="F101" s="33"/>
      <c r="G101" s="33"/>
      <c r="H101" s="33"/>
      <c r="I101" s="33"/>
      <c r="J101" s="33"/>
      <c r="K101" s="35"/>
    </row>
    <row r="102" spans="4:11" x14ac:dyDescent="0.2">
      <c r="D102" s="33"/>
      <c r="E102" s="33"/>
      <c r="F102" s="33"/>
      <c r="G102" s="33"/>
      <c r="H102" s="33"/>
      <c r="I102" s="33"/>
      <c r="J102" s="33"/>
      <c r="K102" s="35"/>
    </row>
    <row r="103" spans="4:11" x14ac:dyDescent="0.2">
      <c r="D103" s="33"/>
      <c r="E103" s="33"/>
      <c r="F103" s="33"/>
      <c r="G103" s="33"/>
      <c r="H103" s="33"/>
      <c r="I103" s="33"/>
      <c r="J103" s="33"/>
      <c r="K103" s="35"/>
    </row>
    <row r="104" spans="4:11" x14ac:dyDescent="0.2">
      <c r="D104" s="33"/>
      <c r="E104" s="33"/>
      <c r="F104" s="33"/>
      <c r="G104" s="33"/>
      <c r="H104" s="33"/>
      <c r="I104" s="33"/>
      <c r="J104" s="33"/>
      <c r="K104" s="35"/>
    </row>
    <row r="105" spans="4:11" x14ac:dyDescent="0.2">
      <c r="D105" s="33"/>
      <c r="E105" s="33"/>
      <c r="F105" s="33"/>
      <c r="G105" s="33"/>
      <c r="H105" s="33"/>
      <c r="I105" s="33"/>
      <c r="J105" s="33"/>
      <c r="K105" s="35"/>
    </row>
    <row r="106" spans="4:11" x14ac:dyDescent="0.2">
      <c r="D106" s="33"/>
      <c r="E106" s="33"/>
      <c r="F106" s="33"/>
      <c r="G106" s="33"/>
      <c r="H106" s="33"/>
      <c r="I106" s="33"/>
      <c r="J106" s="33"/>
      <c r="K106" s="35"/>
    </row>
    <row r="107" spans="4:11" x14ac:dyDescent="0.2">
      <c r="D107" s="33"/>
      <c r="E107" s="33"/>
      <c r="F107" s="33"/>
      <c r="G107" s="33"/>
      <c r="H107" s="33"/>
      <c r="I107" s="33"/>
      <c r="J107" s="33"/>
      <c r="K107" s="35"/>
    </row>
    <row r="108" spans="4:11" x14ac:dyDescent="0.2">
      <c r="D108" s="33"/>
      <c r="E108" s="33"/>
      <c r="F108" s="33"/>
      <c r="G108" s="33"/>
      <c r="H108" s="33"/>
      <c r="I108" s="33"/>
      <c r="J108" s="33"/>
      <c r="K108" s="35"/>
    </row>
    <row r="109" spans="4:11" x14ac:dyDescent="0.2">
      <c r="D109" s="33"/>
      <c r="E109" s="33"/>
      <c r="F109" s="33"/>
      <c r="G109" s="33"/>
      <c r="H109" s="33"/>
      <c r="I109" s="33"/>
      <c r="J109" s="33"/>
      <c r="K109" s="35"/>
    </row>
    <row r="110" spans="4:11" x14ac:dyDescent="0.2">
      <c r="D110" s="33"/>
      <c r="E110" s="33"/>
      <c r="F110" s="33"/>
      <c r="G110" s="33"/>
      <c r="H110" s="33"/>
      <c r="I110" s="33"/>
      <c r="J110" s="33"/>
      <c r="K110" s="35"/>
    </row>
    <row r="111" spans="4:11" x14ac:dyDescent="0.2">
      <c r="D111" s="33"/>
      <c r="E111" s="33"/>
      <c r="F111" s="33"/>
      <c r="G111" s="33"/>
      <c r="H111" s="33"/>
      <c r="I111" s="33"/>
      <c r="J111" s="33"/>
      <c r="K111" s="35"/>
    </row>
    <row r="112" spans="4:11" x14ac:dyDescent="0.2">
      <c r="D112" s="33"/>
      <c r="E112" s="33"/>
      <c r="F112" s="33"/>
      <c r="G112" s="33"/>
      <c r="H112" s="33"/>
      <c r="I112" s="33"/>
      <c r="J112" s="33"/>
      <c r="K112" s="35"/>
    </row>
    <row r="113" spans="4:11" x14ac:dyDescent="0.2">
      <c r="D113" s="33"/>
      <c r="E113" s="33"/>
      <c r="F113" s="33"/>
      <c r="G113" s="33"/>
      <c r="H113" s="33"/>
      <c r="I113" s="33"/>
      <c r="J113" s="33"/>
      <c r="K113" s="35"/>
    </row>
    <row r="114" spans="4:11" x14ac:dyDescent="0.2">
      <c r="D114" s="33"/>
      <c r="E114" s="33"/>
      <c r="F114" s="33"/>
      <c r="G114" s="33"/>
      <c r="H114" s="33"/>
      <c r="I114" s="33"/>
      <c r="J114" s="33"/>
      <c r="K114" s="35"/>
    </row>
    <row r="115" spans="4:11" x14ac:dyDescent="0.2">
      <c r="D115" s="33"/>
      <c r="E115" s="33"/>
      <c r="F115" s="33"/>
      <c r="G115" s="33"/>
      <c r="H115" s="33"/>
      <c r="I115" s="33"/>
      <c r="J115" s="33"/>
      <c r="K115" s="35"/>
    </row>
    <row r="116" spans="4:11" x14ac:dyDescent="0.2">
      <c r="D116" s="33"/>
      <c r="E116" s="33"/>
      <c r="F116" s="33"/>
      <c r="G116" s="33"/>
      <c r="H116" s="33"/>
      <c r="I116" s="33"/>
      <c r="J116" s="33"/>
      <c r="K116" s="35"/>
    </row>
    <row r="117" spans="4:11" x14ac:dyDescent="0.2">
      <c r="D117" s="33"/>
      <c r="E117" s="33"/>
      <c r="F117" s="33"/>
      <c r="G117" s="33"/>
      <c r="H117" s="33"/>
      <c r="I117" s="33"/>
      <c r="J117" s="33"/>
      <c r="K117" s="35"/>
    </row>
    <row r="118" spans="4:11" x14ac:dyDescent="0.2">
      <c r="D118" s="33"/>
      <c r="E118" s="33"/>
      <c r="F118" s="33"/>
      <c r="G118" s="33"/>
      <c r="H118" s="33"/>
      <c r="I118" s="33"/>
      <c r="J118" s="33"/>
      <c r="K118" s="35"/>
    </row>
    <row r="119" spans="4:11" x14ac:dyDescent="0.2">
      <c r="D119" s="33"/>
      <c r="E119" s="33"/>
      <c r="F119" s="33"/>
      <c r="G119" s="33"/>
      <c r="H119" s="33"/>
      <c r="I119" s="33"/>
      <c r="J119" s="33"/>
      <c r="K119" s="35"/>
    </row>
    <row r="120" spans="4:11" x14ac:dyDescent="0.2">
      <c r="D120" s="33"/>
      <c r="E120" s="33"/>
      <c r="F120" s="33"/>
      <c r="G120" s="33"/>
      <c r="H120" s="33"/>
      <c r="I120" s="33"/>
      <c r="J120" s="33"/>
      <c r="K120" s="35"/>
    </row>
    <row r="121" spans="4:11" x14ac:dyDescent="0.2">
      <c r="D121" s="33"/>
      <c r="E121" s="33"/>
      <c r="F121" s="33"/>
      <c r="G121" s="33"/>
      <c r="H121" s="33"/>
      <c r="I121" s="33"/>
      <c r="J121" s="33"/>
      <c r="K121" s="35"/>
    </row>
    <row r="122" spans="4:11" x14ac:dyDescent="0.2">
      <c r="D122" s="33"/>
      <c r="E122" s="33"/>
      <c r="F122" s="33"/>
      <c r="G122" s="33"/>
      <c r="H122" s="33"/>
      <c r="I122" s="33"/>
      <c r="J122" s="33"/>
      <c r="K122" s="35"/>
    </row>
    <row r="123" spans="4:11" x14ac:dyDescent="0.2">
      <c r="D123" s="33"/>
      <c r="E123" s="33"/>
      <c r="F123" s="33"/>
      <c r="G123" s="33"/>
      <c r="H123" s="33"/>
      <c r="I123" s="33"/>
      <c r="J123" s="33"/>
      <c r="K123" s="35"/>
    </row>
    <row r="124" spans="4:11" x14ac:dyDescent="0.2">
      <c r="D124" s="33"/>
      <c r="E124" s="33"/>
      <c r="F124" s="33"/>
      <c r="G124" s="33"/>
      <c r="H124" s="33"/>
      <c r="I124" s="33"/>
      <c r="J124" s="33"/>
      <c r="K124" s="35"/>
    </row>
    <row r="125" spans="4:11" x14ac:dyDescent="0.2">
      <c r="D125" s="33"/>
      <c r="E125" s="33"/>
      <c r="F125" s="33"/>
      <c r="G125" s="33"/>
      <c r="H125" s="33"/>
      <c r="I125" s="33"/>
      <c r="J125" s="33"/>
      <c r="K125" s="35"/>
    </row>
    <row r="126" spans="4:11" x14ac:dyDescent="0.2">
      <c r="D126" s="33"/>
      <c r="E126" s="33"/>
      <c r="F126" s="33"/>
      <c r="G126" s="33"/>
      <c r="H126" s="33"/>
      <c r="I126" s="33"/>
      <c r="J126" s="33"/>
      <c r="K126" s="35"/>
    </row>
    <row r="127" spans="4:11" x14ac:dyDescent="0.2">
      <c r="D127" s="33"/>
      <c r="E127" s="33"/>
      <c r="F127" s="33"/>
      <c r="G127" s="33"/>
      <c r="H127" s="33"/>
      <c r="I127" s="33"/>
      <c r="J127" s="33"/>
      <c r="K127" s="35"/>
    </row>
    <row r="128" spans="4:11" x14ac:dyDescent="0.2">
      <c r="D128" s="33"/>
      <c r="E128" s="33"/>
      <c r="F128" s="33"/>
      <c r="G128" s="33"/>
      <c r="H128" s="33"/>
      <c r="I128" s="33"/>
      <c r="J128" s="33"/>
      <c r="K128" s="35"/>
    </row>
    <row r="129" spans="11:11" x14ac:dyDescent="0.2">
      <c r="K129" s="35"/>
    </row>
    <row r="130" spans="11:11" x14ac:dyDescent="0.2">
      <c r="K130" s="35"/>
    </row>
    <row r="131" spans="11:11" x14ac:dyDescent="0.2">
      <c r="K131" s="35"/>
    </row>
    <row r="132" spans="11:11" x14ac:dyDescent="0.2">
      <c r="K132" s="35"/>
    </row>
    <row r="133" spans="11:11" x14ac:dyDescent="0.2">
      <c r="K133" s="35"/>
    </row>
    <row r="134" spans="11:11" x14ac:dyDescent="0.2">
      <c r="K134" s="35"/>
    </row>
    <row r="135" spans="11:11" x14ac:dyDescent="0.2">
      <c r="K135" s="35"/>
    </row>
    <row r="136" spans="11:11" x14ac:dyDescent="0.2">
      <c r="K136" s="35"/>
    </row>
    <row r="137" spans="11:11" x14ac:dyDescent="0.2">
      <c r="K137" s="35"/>
    </row>
    <row r="138" spans="11:11" x14ac:dyDescent="0.2">
      <c r="K138" s="35"/>
    </row>
    <row r="139" spans="11:11" x14ac:dyDescent="0.2">
      <c r="K139" s="35"/>
    </row>
    <row r="140" spans="11:11" x14ac:dyDescent="0.2">
      <c r="K140" s="35"/>
    </row>
    <row r="141" spans="11:11" x14ac:dyDescent="0.2">
      <c r="K141" s="35"/>
    </row>
    <row r="142" spans="11:11" x14ac:dyDescent="0.2">
      <c r="K142" s="35"/>
    </row>
    <row r="143" spans="11:11" x14ac:dyDescent="0.2">
      <c r="K143" s="35"/>
    </row>
    <row r="144" spans="11:11" x14ac:dyDescent="0.2">
      <c r="K144" s="35"/>
    </row>
    <row r="145" spans="11:11" x14ac:dyDescent="0.2">
      <c r="K145" s="35"/>
    </row>
    <row r="146" spans="11:11" x14ac:dyDescent="0.2">
      <c r="K146" s="35"/>
    </row>
    <row r="147" spans="11:11" x14ac:dyDescent="0.2">
      <c r="K147" s="35"/>
    </row>
    <row r="148" spans="11:11" x14ac:dyDescent="0.2">
      <c r="K148" s="35"/>
    </row>
    <row r="149" spans="11:11" x14ac:dyDescent="0.2">
      <c r="K149" s="35"/>
    </row>
    <row r="150" spans="11:11" x14ac:dyDescent="0.2">
      <c r="K150" s="35"/>
    </row>
    <row r="151" spans="11:11" x14ac:dyDescent="0.2">
      <c r="K151" s="35"/>
    </row>
    <row r="152" spans="11:11" x14ac:dyDescent="0.2">
      <c r="K152" s="35"/>
    </row>
    <row r="153" spans="11:11" x14ac:dyDescent="0.2">
      <c r="K153" s="35"/>
    </row>
    <row r="154" spans="11:11" x14ac:dyDescent="0.2">
      <c r="K154" s="35"/>
    </row>
    <row r="155" spans="11:11" x14ac:dyDescent="0.2">
      <c r="K155" s="35"/>
    </row>
    <row r="156" spans="11:11" x14ac:dyDescent="0.2">
      <c r="K156" s="35"/>
    </row>
    <row r="157" spans="11:11" x14ac:dyDescent="0.2">
      <c r="K157" s="35"/>
    </row>
    <row r="158" spans="11:11" x14ac:dyDescent="0.2">
      <c r="K158" s="35"/>
    </row>
    <row r="159" spans="11:11" x14ac:dyDescent="0.2">
      <c r="K159" s="35"/>
    </row>
    <row r="160" spans="11:11" x14ac:dyDescent="0.2">
      <c r="K160" s="35"/>
    </row>
    <row r="161" spans="11:11" x14ac:dyDescent="0.2">
      <c r="K161" s="35"/>
    </row>
    <row r="162" spans="11:11" x14ac:dyDescent="0.2">
      <c r="K162" s="35"/>
    </row>
    <row r="163" spans="11:11" x14ac:dyDescent="0.2">
      <c r="K163" s="35"/>
    </row>
    <row r="164" spans="11:11" x14ac:dyDescent="0.2">
      <c r="K164" s="35"/>
    </row>
    <row r="165" spans="11:11" x14ac:dyDescent="0.2">
      <c r="K165" s="35"/>
    </row>
    <row r="166" spans="11:11" x14ac:dyDescent="0.2">
      <c r="K166" s="35"/>
    </row>
    <row r="167" spans="11:11" x14ac:dyDescent="0.2">
      <c r="K167" s="35"/>
    </row>
    <row r="168" spans="11:11" x14ac:dyDescent="0.2">
      <c r="K168" s="35"/>
    </row>
    <row r="169" spans="11:11" x14ac:dyDescent="0.2">
      <c r="K169" s="35"/>
    </row>
    <row r="170" spans="11:11" x14ac:dyDescent="0.2">
      <c r="K170" s="35"/>
    </row>
    <row r="171" spans="11:11" x14ac:dyDescent="0.2">
      <c r="K171" s="35"/>
    </row>
    <row r="172" spans="11:11" x14ac:dyDescent="0.2">
      <c r="K172" s="35"/>
    </row>
    <row r="173" spans="11:11" x14ac:dyDescent="0.2">
      <c r="K173" s="35"/>
    </row>
    <row r="174" spans="11:11" x14ac:dyDescent="0.2">
      <c r="K174" s="35"/>
    </row>
    <row r="175" spans="11:11" x14ac:dyDescent="0.2">
      <c r="K175" s="35"/>
    </row>
    <row r="176" spans="11:11" x14ac:dyDescent="0.2">
      <c r="K176" s="35"/>
    </row>
    <row r="177" spans="11:11" x14ac:dyDescent="0.2">
      <c r="K177" s="35"/>
    </row>
    <row r="178" spans="11:11" x14ac:dyDescent="0.2">
      <c r="K178" s="35"/>
    </row>
    <row r="179" spans="11:11" x14ac:dyDescent="0.2">
      <c r="K179" s="35"/>
    </row>
    <row r="180" spans="11:11" x14ac:dyDescent="0.2">
      <c r="K180" s="35"/>
    </row>
    <row r="181" spans="11:11" x14ac:dyDescent="0.2">
      <c r="K181" s="35"/>
    </row>
    <row r="182" spans="11:11" x14ac:dyDescent="0.2">
      <c r="K182" s="35"/>
    </row>
    <row r="183" spans="11:11" x14ac:dyDescent="0.2">
      <c r="K183" s="35"/>
    </row>
    <row r="184" spans="11:11" x14ac:dyDescent="0.2">
      <c r="K184" s="35"/>
    </row>
    <row r="185" spans="11:11" x14ac:dyDescent="0.2">
      <c r="K185" s="35"/>
    </row>
    <row r="186" spans="11:11" x14ac:dyDescent="0.2">
      <c r="K186" s="35"/>
    </row>
    <row r="187" spans="11:11" x14ac:dyDescent="0.2">
      <c r="K187" s="35"/>
    </row>
    <row r="188" spans="11:11" x14ac:dyDescent="0.2">
      <c r="K188" s="35"/>
    </row>
  </sheetData>
  <mergeCells count="12">
    <mergeCell ref="A60:B60"/>
    <mergeCell ref="A2:K2"/>
    <mergeCell ref="A3:K3"/>
    <mergeCell ref="A7:A8"/>
    <mergeCell ref="A4:K4"/>
    <mergeCell ref="A5:K5"/>
    <mergeCell ref="H7:H8"/>
    <mergeCell ref="K7:K8"/>
    <mergeCell ref="G7:G8"/>
    <mergeCell ref="B7:D7"/>
    <mergeCell ref="E7:F7"/>
    <mergeCell ref="I7:J8"/>
  </mergeCells>
  <phoneticPr fontId="3" type="noConversion"/>
  <pageMargins left="0.19685039370078741" right="7.874015748031496E-2" top="0.98425196850393704" bottom="0.78740157480314965" header="0.51181102362204722" footer="0.51181102362204722"/>
  <pageSetup scale="75" firstPageNumber="0" orientation="portrait" r:id="rId1"/>
  <headerFooter alignWithMargins="0"/>
  <ignoredErrors>
    <ignoredError sqref="D9 F36 D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>
    <tabColor theme="6" tint="0.39997558519241921"/>
  </sheetPr>
  <dimension ref="A1:U187"/>
  <sheetViews>
    <sheetView showGridLines="0" showZeros="0" topLeftCell="A2" workbookViewId="0">
      <selection activeCell="P17" sqref="P17"/>
    </sheetView>
  </sheetViews>
  <sheetFormatPr baseColWidth="10" defaultColWidth="11.42578125" defaultRowHeight="12.75" x14ac:dyDescent="0.2"/>
  <cols>
    <col min="1" max="1" width="4.85546875" style="32" customWidth="1"/>
    <col min="2" max="2" width="32.28515625" style="32" customWidth="1"/>
    <col min="3" max="3" width="11" style="32" customWidth="1"/>
    <col min="4" max="4" width="11.7109375" style="32" customWidth="1"/>
    <col min="5" max="5" width="10.85546875" style="32" customWidth="1"/>
    <col min="6" max="6" width="12.7109375" style="32" customWidth="1"/>
    <col min="7" max="7" width="12.140625" style="32" customWidth="1"/>
    <col min="8" max="8" width="12.85546875" style="32" customWidth="1"/>
    <col min="9" max="9" width="11.85546875" style="32" customWidth="1"/>
    <col min="10" max="10" width="10" style="32" customWidth="1"/>
    <col min="11" max="11" width="11.140625" style="32" hidden="1" customWidth="1"/>
    <col min="12" max="12" width="12.7109375" style="32" customWidth="1"/>
    <col min="13" max="13" width="14.85546875" customWidth="1"/>
    <col min="14" max="14" width="12.7109375" customWidth="1"/>
  </cols>
  <sheetData>
    <row r="1" spans="1:16" hidden="1" x14ac:dyDescent="0.2"/>
    <row r="2" spans="1:16" ht="15.75" x14ac:dyDescent="0.25">
      <c r="A2" s="654" t="s">
        <v>410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</row>
    <row r="3" spans="1:16" ht="15.75" x14ac:dyDescent="0.25">
      <c r="A3" s="654" t="s">
        <v>411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</row>
    <row r="4" spans="1:16" ht="15" x14ac:dyDescent="0.25">
      <c r="A4" s="655" t="s">
        <v>414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P4" t="s">
        <v>6</v>
      </c>
    </row>
    <row r="5" spans="1:16" ht="15" x14ac:dyDescent="0.25">
      <c r="A5" s="655" t="s">
        <v>565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</row>
    <row r="6" spans="1:16" ht="6.7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6" ht="0.75" customHeight="1" thickBo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6" ht="12.75" customHeight="1" x14ac:dyDescent="0.2">
      <c r="A8" s="668" t="s">
        <v>397</v>
      </c>
      <c r="B8" s="665" t="s">
        <v>0</v>
      </c>
      <c r="C8" s="656" t="s">
        <v>34</v>
      </c>
      <c r="D8" s="656"/>
      <c r="E8" s="656"/>
      <c r="F8" s="658" t="s">
        <v>96</v>
      </c>
      <c r="G8" s="658"/>
      <c r="H8" s="671" t="s">
        <v>544</v>
      </c>
      <c r="I8" s="658" t="s">
        <v>85</v>
      </c>
      <c r="J8" s="674" t="s">
        <v>319</v>
      </c>
      <c r="K8" s="675"/>
      <c r="L8" s="662" t="s">
        <v>399</v>
      </c>
    </row>
    <row r="9" spans="1:16" ht="4.5" customHeight="1" thickBot="1" x14ac:dyDescent="0.25">
      <c r="A9" s="669"/>
      <c r="B9" s="666"/>
      <c r="C9" s="657"/>
      <c r="D9" s="657"/>
      <c r="E9" s="657"/>
      <c r="F9" s="659"/>
      <c r="G9" s="659"/>
      <c r="H9" s="672"/>
      <c r="I9" s="660"/>
      <c r="J9" s="676"/>
      <c r="K9" s="677"/>
      <c r="L9" s="663"/>
    </row>
    <row r="10" spans="1:16" ht="23.25" customHeight="1" x14ac:dyDescent="0.2">
      <c r="A10" s="670"/>
      <c r="B10" s="667"/>
      <c r="C10" s="564" t="s">
        <v>98</v>
      </c>
      <c r="D10" s="564" t="s">
        <v>12</v>
      </c>
      <c r="E10" s="564" t="s">
        <v>2</v>
      </c>
      <c r="F10" s="565" t="s">
        <v>39</v>
      </c>
      <c r="G10" s="565" t="s">
        <v>44</v>
      </c>
      <c r="H10" s="673"/>
      <c r="I10" s="661"/>
      <c r="J10" s="678"/>
      <c r="K10" s="679"/>
      <c r="L10" s="664"/>
    </row>
    <row r="11" spans="1:16" ht="19.5" customHeight="1" x14ac:dyDescent="0.2">
      <c r="A11" s="126" t="s">
        <v>100</v>
      </c>
      <c r="B11" s="127" t="s">
        <v>101</v>
      </c>
      <c r="C11" s="128">
        <f>SUM(C12+C16+C20+C21+C22+C27+C29)</f>
        <v>125299729</v>
      </c>
      <c r="D11" s="128">
        <f>+D12+D16+D20+D21+D22+D29</f>
        <v>125169729</v>
      </c>
      <c r="E11" s="128">
        <f>SUM(E12+E16+E20+E21+E22+E27+E29)</f>
        <v>23452604</v>
      </c>
      <c r="F11" s="476">
        <f>+F12+F16+F20+F22+F29</f>
        <v>7461311.1000000006</v>
      </c>
      <c r="G11" s="476">
        <f>N11+F11</f>
        <v>14416490.93</v>
      </c>
      <c r="H11" s="463">
        <f>+H12+H16+H20+H22+H29</f>
        <v>12576467.84</v>
      </c>
      <c r="I11" s="128">
        <f>SUM(I12+I16+I20+I21+I22+I27+I29)</f>
        <v>13476355.85</v>
      </c>
      <c r="J11" s="128">
        <f t="shared" ref="J11:J33" si="0">+E11-G11</f>
        <v>9036113.0700000003</v>
      </c>
      <c r="K11" s="128">
        <f t="shared" ref="K11:K26" si="1">+D11-G11</f>
        <v>110753238.06999999</v>
      </c>
      <c r="L11" s="448">
        <f t="shared" ref="L11:L20" si="2">+G11*100/E11</f>
        <v>61.470747256893091</v>
      </c>
      <c r="N11" s="51">
        <v>6955179.8300000001</v>
      </c>
    </row>
    <row r="12" spans="1:16" ht="17.25" customHeight="1" x14ac:dyDescent="0.2">
      <c r="A12" s="89" t="s">
        <v>102</v>
      </c>
      <c r="B12" s="90" t="s">
        <v>103</v>
      </c>
      <c r="C12" s="91">
        <f>SUM(C13:C15)</f>
        <v>83395405</v>
      </c>
      <c r="D12" s="91">
        <f>+D13+D14+D15</f>
        <v>83147405</v>
      </c>
      <c r="E12" s="91">
        <f>SUM(E13:E15)</f>
        <v>14557014</v>
      </c>
      <c r="F12" s="477">
        <f>SUM(F13:F15)</f>
        <v>5355429.74</v>
      </c>
      <c r="G12" s="477">
        <f>SUM(G13:G15)</f>
        <v>10278797.700000001</v>
      </c>
      <c r="H12" s="91">
        <f>SUM(H13:H15)</f>
        <v>10280206.24</v>
      </c>
      <c r="I12" s="91">
        <f>SUM(I13:I15)</f>
        <v>10278797.700000001</v>
      </c>
      <c r="J12" s="91">
        <f t="shared" si="0"/>
        <v>4278216.2999999989</v>
      </c>
      <c r="K12" s="91">
        <f t="shared" si="1"/>
        <v>72868607.299999997</v>
      </c>
      <c r="L12" s="449">
        <f t="shared" si="2"/>
        <v>70.610619045911491</v>
      </c>
      <c r="N12" s="51">
        <v>4923367.96</v>
      </c>
    </row>
    <row r="13" spans="1:16" x14ac:dyDescent="0.2">
      <c r="A13" s="86" t="s">
        <v>104</v>
      </c>
      <c r="B13" s="87" t="s">
        <v>103</v>
      </c>
      <c r="C13" s="88">
        <v>71073045</v>
      </c>
      <c r="D13" s="88">
        <v>70825045</v>
      </c>
      <c r="E13" s="88">
        <v>11371186</v>
      </c>
      <c r="F13" s="478">
        <v>5057896.6900000004</v>
      </c>
      <c r="G13" s="478">
        <f>+N13+F13</f>
        <v>9854397.8300000001</v>
      </c>
      <c r="H13" s="88">
        <v>9855806.3699999992</v>
      </c>
      <c r="I13" s="88">
        <v>9854397.8300000001</v>
      </c>
      <c r="J13" s="88">
        <f t="shared" si="0"/>
        <v>1516788.17</v>
      </c>
      <c r="K13" s="88">
        <f t="shared" si="1"/>
        <v>60970647.170000002</v>
      </c>
      <c r="L13" s="450">
        <f t="shared" si="2"/>
        <v>86.661126025025013</v>
      </c>
      <c r="N13" s="51">
        <v>4796501.1399999997</v>
      </c>
      <c r="O13" t="s">
        <v>6</v>
      </c>
    </row>
    <row r="14" spans="1:16" x14ac:dyDescent="0.2">
      <c r="A14" s="86" t="s">
        <v>105</v>
      </c>
      <c r="B14" s="87" t="s">
        <v>106</v>
      </c>
      <c r="C14" s="88">
        <v>3944236</v>
      </c>
      <c r="D14" s="88">
        <v>3944236</v>
      </c>
      <c r="E14" s="88">
        <v>644283</v>
      </c>
      <c r="F14" s="478">
        <v>252744.01</v>
      </c>
      <c r="G14" s="478">
        <f t="shared" ref="G14:G15" si="3">+N14+F14</f>
        <v>364707.39</v>
      </c>
      <c r="H14" s="88">
        <v>364707.39</v>
      </c>
      <c r="I14" s="88">
        <v>364707.39</v>
      </c>
      <c r="J14" s="88">
        <f t="shared" si="0"/>
        <v>279575.61</v>
      </c>
      <c r="K14" s="88">
        <f t="shared" si="1"/>
        <v>3579528.61</v>
      </c>
      <c r="L14" s="450">
        <f t="shared" si="2"/>
        <v>56.606706990561598</v>
      </c>
      <c r="N14" s="51">
        <v>111963.38</v>
      </c>
    </row>
    <row r="15" spans="1:16" x14ac:dyDescent="0.2">
      <c r="A15" s="86" t="s">
        <v>107</v>
      </c>
      <c r="B15" s="87" t="s">
        <v>108</v>
      </c>
      <c r="C15" s="88">
        <v>8378124</v>
      </c>
      <c r="D15" s="88">
        <v>8378124</v>
      </c>
      <c r="E15" s="88">
        <v>2541545</v>
      </c>
      <c r="F15" s="478">
        <v>44789.04</v>
      </c>
      <c r="G15" s="478">
        <f t="shared" si="3"/>
        <v>59692.480000000003</v>
      </c>
      <c r="H15" s="88">
        <v>59692.480000000003</v>
      </c>
      <c r="I15" s="88">
        <v>59692.480000000003</v>
      </c>
      <c r="J15" s="88">
        <f t="shared" si="0"/>
        <v>2481852.52</v>
      </c>
      <c r="K15" s="88">
        <f t="shared" si="1"/>
        <v>8318431.5199999996</v>
      </c>
      <c r="L15" s="450">
        <f t="shared" si="2"/>
        <v>2.3486690182546441</v>
      </c>
      <c r="N15" s="51">
        <v>14903.44</v>
      </c>
    </row>
    <row r="16" spans="1:16" ht="15" customHeight="1" x14ac:dyDescent="0.2">
      <c r="A16" s="89" t="s">
        <v>109</v>
      </c>
      <c r="B16" s="90" t="s">
        <v>110</v>
      </c>
      <c r="C16" s="91">
        <f t="shared" ref="C16:I16" si="4">SUM(C17:C19)</f>
        <v>17439165</v>
      </c>
      <c r="D16" s="91">
        <f t="shared" si="4"/>
        <v>17439165</v>
      </c>
      <c r="E16" s="91">
        <f t="shared" si="4"/>
        <v>2632042</v>
      </c>
      <c r="F16" s="477">
        <f t="shared" si="4"/>
        <v>1134533.6600000001</v>
      </c>
      <c r="G16" s="477">
        <f t="shared" si="4"/>
        <v>2262111.6</v>
      </c>
      <c r="H16" s="91">
        <f t="shared" ref="H16" si="5">SUM(H17:H19)</f>
        <v>2262861.6</v>
      </c>
      <c r="I16" s="91">
        <f t="shared" si="4"/>
        <v>2262111.6</v>
      </c>
      <c r="J16" s="91">
        <f t="shared" si="0"/>
        <v>369930.39999999991</v>
      </c>
      <c r="K16" s="91">
        <f t="shared" si="1"/>
        <v>15177053.4</v>
      </c>
      <c r="L16" s="449">
        <f t="shared" si="2"/>
        <v>85.945117897054828</v>
      </c>
      <c r="N16" s="51">
        <v>1127577.94</v>
      </c>
    </row>
    <row r="17" spans="1:14" ht="13.9" customHeight="1" x14ac:dyDescent="0.2">
      <c r="A17" s="86" t="s">
        <v>111</v>
      </c>
      <c r="B17" s="87" t="s">
        <v>112</v>
      </c>
      <c r="C17" s="88">
        <v>223154</v>
      </c>
      <c r="D17" s="88">
        <v>223154</v>
      </c>
      <c r="E17" s="88">
        <v>17816</v>
      </c>
      <c r="F17" s="478">
        <v>8336.9599999999991</v>
      </c>
      <c r="G17" s="478">
        <f>+F17+N17</f>
        <v>13263.369999999999</v>
      </c>
      <c r="H17" s="88">
        <v>13263.37</v>
      </c>
      <c r="I17" s="88">
        <v>13263.37</v>
      </c>
      <c r="J17" s="88">
        <f t="shared" si="0"/>
        <v>4552.630000000001</v>
      </c>
      <c r="K17" s="88">
        <f t="shared" si="1"/>
        <v>209890.63</v>
      </c>
      <c r="L17" s="450">
        <f t="shared" si="2"/>
        <v>74.446396497530316</v>
      </c>
      <c r="N17" s="51">
        <v>4926.41</v>
      </c>
    </row>
    <row r="18" spans="1:14" ht="13.9" customHeight="1" x14ac:dyDescent="0.2">
      <c r="A18" s="166" t="s">
        <v>463</v>
      </c>
      <c r="B18" s="87" t="s">
        <v>113</v>
      </c>
      <c r="C18" s="88">
        <v>1488300</v>
      </c>
      <c r="D18" s="88">
        <v>1488300</v>
      </c>
      <c r="E18" s="88">
        <v>248050</v>
      </c>
      <c r="F18" s="479">
        <v>95814.16</v>
      </c>
      <c r="G18" s="478">
        <f>+F18+N18</f>
        <v>194644.98</v>
      </c>
      <c r="H18" s="88">
        <v>194644.98</v>
      </c>
      <c r="I18" s="88">
        <f>+G18+O18</f>
        <v>194644.98</v>
      </c>
      <c r="J18" s="88">
        <f t="shared" si="0"/>
        <v>53405.01999999999</v>
      </c>
      <c r="K18" s="88">
        <f t="shared" si="1"/>
        <v>1293655.02</v>
      </c>
      <c r="L18" s="450">
        <f t="shared" si="2"/>
        <v>78.470058455956462</v>
      </c>
      <c r="N18" s="51">
        <v>98830.82</v>
      </c>
    </row>
    <row r="19" spans="1:14" ht="15.6" customHeight="1" x14ac:dyDescent="0.2">
      <c r="A19" s="86" t="s">
        <v>114</v>
      </c>
      <c r="B19" s="87" t="s">
        <v>115</v>
      </c>
      <c r="C19" s="88">
        <v>15727711</v>
      </c>
      <c r="D19" s="88">
        <v>15727711</v>
      </c>
      <c r="E19" s="88">
        <v>2366176</v>
      </c>
      <c r="F19" s="479">
        <v>1030382.54</v>
      </c>
      <c r="G19" s="478">
        <f>+F19+N19</f>
        <v>2054203.25</v>
      </c>
      <c r="H19" s="88">
        <v>2054953.25</v>
      </c>
      <c r="I19" s="88">
        <v>2054203.25</v>
      </c>
      <c r="J19" s="88">
        <f t="shared" si="0"/>
        <v>311972.75</v>
      </c>
      <c r="K19" s="88">
        <f t="shared" si="1"/>
        <v>13673507.75</v>
      </c>
      <c r="L19" s="450">
        <f t="shared" si="2"/>
        <v>86.815319316906269</v>
      </c>
      <c r="N19" s="51">
        <v>1023820.71</v>
      </c>
    </row>
    <row r="20" spans="1:14" x14ac:dyDescent="0.2">
      <c r="A20" s="89" t="s">
        <v>116</v>
      </c>
      <c r="B20" s="90" t="s">
        <v>117</v>
      </c>
      <c r="C20" s="91">
        <v>228000</v>
      </c>
      <c r="D20" s="91">
        <v>228000</v>
      </c>
      <c r="E20" s="91">
        <v>38000</v>
      </c>
      <c r="F20" s="477">
        <v>16700</v>
      </c>
      <c r="G20" s="477">
        <f>+F20+N20</f>
        <v>33400</v>
      </c>
      <c r="H20" s="91">
        <v>33400</v>
      </c>
      <c r="I20" s="91">
        <f>+G20+O20</f>
        <v>33400</v>
      </c>
      <c r="J20" s="91">
        <f t="shared" si="0"/>
        <v>4600</v>
      </c>
      <c r="K20" s="91">
        <f t="shared" si="1"/>
        <v>194600</v>
      </c>
      <c r="L20" s="449">
        <f t="shared" si="2"/>
        <v>87.89473684210526</v>
      </c>
      <c r="N20" s="51">
        <v>16700</v>
      </c>
    </row>
    <row r="21" spans="1:14" x14ac:dyDescent="0.2">
      <c r="A21" s="89" t="s">
        <v>118</v>
      </c>
      <c r="B21" s="90" t="s">
        <v>119</v>
      </c>
      <c r="C21" s="91">
        <v>8407425</v>
      </c>
      <c r="D21" s="91">
        <v>8407425</v>
      </c>
      <c r="E21" s="91">
        <v>2802483</v>
      </c>
      <c r="F21" s="477">
        <v>0</v>
      </c>
      <c r="G21" s="477">
        <f>+F21+N21</f>
        <v>0</v>
      </c>
      <c r="H21" s="91"/>
      <c r="I21" s="91">
        <v>0</v>
      </c>
      <c r="J21" s="91">
        <f t="shared" si="0"/>
        <v>2802483</v>
      </c>
      <c r="K21" s="91">
        <f t="shared" si="1"/>
        <v>8407425</v>
      </c>
      <c r="L21" s="449" t="s">
        <v>6</v>
      </c>
      <c r="N21" s="51">
        <v>0</v>
      </c>
    </row>
    <row r="22" spans="1:14" ht="14.25" customHeight="1" x14ac:dyDescent="0.2">
      <c r="A22" s="89" t="s">
        <v>120</v>
      </c>
      <c r="B22" s="90" t="s">
        <v>121</v>
      </c>
      <c r="C22" s="91">
        <f t="shared" ref="C22:I22" si="6">SUM(C23:C26)</f>
        <v>15829734</v>
      </c>
      <c r="D22" s="91">
        <f t="shared" si="6"/>
        <v>15779734</v>
      </c>
      <c r="E22" s="91">
        <f t="shared" si="6"/>
        <v>3255065</v>
      </c>
      <c r="F22" s="477">
        <f t="shared" si="6"/>
        <v>953436.59</v>
      </c>
      <c r="G22" s="477">
        <f t="shared" si="6"/>
        <v>1840970.5199999998</v>
      </c>
      <c r="H22" s="91"/>
      <c r="I22" s="91">
        <f t="shared" si="6"/>
        <v>901002.54</v>
      </c>
      <c r="J22" s="91">
        <f t="shared" si="0"/>
        <v>1414094.4800000002</v>
      </c>
      <c r="K22" s="91">
        <f t="shared" si="1"/>
        <v>13938763.48</v>
      </c>
      <c r="L22" s="449">
        <f>+G22*100/E22</f>
        <v>56.557104696834003</v>
      </c>
      <c r="M22" s="7"/>
      <c r="N22" s="51">
        <v>887533.93</v>
      </c>
    </row>
    <row r="23" spans="1:14" ht="15" customHeight="1" x14ac:dyDescent="0.2">
      <c r="A23" s="86" t="s">
        <v>122</v>
      </c>
      <c r="B23" s="88" t="s">
        <v>123</v>
      </c>
      <c r="C23" s="88">
        <v>13304646</v>
      </c>
      <c r="D23" s="88">
        <v>13254646</v>
      </c>
      <c r="E23" s="88">
        <v>2793833</v>
      </c>
      <c r="F23" s="478">
        <v>798227.47</v>
      </c>
      <c r="G23" s="478">
        <f t="shared" ref="G23:G33" si="7">+N23+F23</f>
        <v>1541431.2</v>
      </c>
      <c r="H23" s="88"/>
      <c r="I23" s="88">
        <v>744361.86</v>
      </c>
      <c r="J23" s="88">
        <f t="shared" si="0"/>
        <v>1252401.8</v>
      </c>
      <c r="K23" s="88">
        <f t="shared" si="1"/>
        <v>11713214.800000001</v>
      </c>
      <c r="L23" s="450">
        <f>+G23*100/E23</f>
        <v>55.172632007711272</v>
      </c>
      <c r="N23" s="51">
        <v>743203.73</v>
      </c>
    </row>
    <row r="24" spans="1:14" ht="13.5" customHeight="1" x14ac:dyDescent="0.2">
      <c r="A24" s="86" t="s">
        <v>124</v>
      </c>
      <c r="B24" s="87" t="s">
        <v>125</v>
      </c>
      <c r="C24" s="88">
        <v>1515055</v>
      </c>
      <c r="D24" s="88">
        <v>1515055</v>
      </c>
      <c r="E24" s="88">
        <v>277010</v>
      </c>
      <c r="F24" s="478">
        <v>97352.25</v>
      </c>
      <c r="G24" s="478">
        <f t="shared" si="7"/>
        <v>188107.91999999998</v>
      </c>
      <c r="H24" s="88"/>
      <c r="I24" s="88">
        <v>90755.67</v>
      </c>
      <c r="J24" s="88">
        <f t="shared" si="0"/>
        <v>88902.080000000016</v>
      </c>
      <c r="K24" s="88">
        <f t="shared" si="1"/>
        <v>1326947.08</v>
      </c>
      <c r="L24" s="450">
        <f>+G24*100/E24</f>
        <v>67.906544890076177</v>
      </c>
      <c r="N24" s="51">
        <v>90755.67</v>
      </c>
    </row>
    <row r="25" spans="1:14" ht="13.5" customHeight="1" x14ac:dyDescent="0.2">
      <c r="A25" s="86" t="s">
        <v>126</v>
      </c>
      <c r="B25" s="87" t="s">
        <v>127</v>
      </c>
      <c r="C25" s="88">
        <v>707023</v>
      </c>
      <c r="D25" s="88">
        <v>707023</v>
      </c>
      <c r="E25" s="88">
        <v>129253</v>
      </c>
      <c r="F25" s="478">
        <v>45548.480000000003</v>
      </c>
      <c r="G25" s="478">
        <f t="shared" si="7"/>
        <v>88018.23000000001</v>
      </c>
      <c r="H25" s="88"/>
      <c r="I25" s="88">
        <v>42469.75</v>
      </c>
      <c r="J25" s="88">
        <v>42469.75</v>
      </c>
      <c r="K25" s="88">
        <f t="shared" si="1"/>
        <v>619004.77</v>
      </c>
      <c r="L25" s="450">
        <f>+G25*100/E25</f>
        <v>68.09763022908561</v>
      </c>
      <c r="N25" s="51">
        <v>42469.75</v>
      </c>
    </row>
    <row r="26" spans="1:14" ht="13.5" customHeight="1" x14ac:dyDescent="0.2">
      <c r="A26" s="86" t="s">
        <v>128</v>
      </c>
      <c r="B26" s="87" t="s">
        <v>129</v>
      </c>
      <c r="C26" s="88">
        <v>303010</v>
      </c>
      <c r="D26" s="88">
        <v>303010</v>
      </c>
      <c r="E26" s="88">
        <v>54969</v>
      </c>
      <c r="F26" s="478">
        <v>12308.39</v>
      </c>
      <c r="G26" s="478">
        <f t="shared" si="7"/>
        <v>23413.17</v>
      </c>
      <c r="H26" s="88"/>
      <c r="I26" s="88">
        <v>23415.26</v>
      </c>
      <c r="J26" s="88">
        <f t="shared" si="0"/>
        <v>31555.83</v>
      </c>
      <c r="K26" s="88">
        <f t="shared" si="1"/>
        <v>279596.83</v>
      </c>
      <c r="L26" s="450">
        <f>+G26*100/E26</f>
        <v>42.593407193145225</v>
      </c>
      <c r="N26" s="51">
        <v>11104.78</v>
      </c>
    </row>
    <row r="27" spans="1:14" ht="1.5" hidden="1" customHeight="1" x14ac:dyDescent="0.2">
      <c r="A27" s="89" t="s">
        <v>130</v>
      </c>
      <c r="B27" s="90" t="s">
        <v>131</v>
      </c>
      <c r="C27" s="91">
        <f>SUM(C28:C28)</f>
        <v>0</v>
      </c>
      <c r="D27" s="91" t="e">
        <f>SUM(D28:D28)</f>
        <v>#REF!</v>
      </c>
      <c r="E27" s="91">
        <v>0</v>
      </c>
      <c r="F27" s="91">
        <v>0</v>
      </c>
      <c r="G27" s="91">
        <f t="shared" si="7"/>
        <v>0</v>
      </c>
      <c r="H27" s="91"/>
      <c r="I27" s="91">
        <f>SUM(I28)</f>
        <v>0</v>
      </c>
      <c r="J27" s="91">
        <f t="shared" si="0"/>
        <v>0</v>
      </c>
      <c r="K27" s="91" t="e">
        <f>SUM(K28:K28)</f>
        <v>#REF!</v>
      </c>
      <c r="L27" s="450"/>
      <c r="N27" s="51">
        <v>0</v>
      </c>
    </row>
    <row r="28" spans="1:14" ht="9.75" hidden="1" customHeight="1" x14ac:dyDescent="0.2">
      <c r="A28" s="86" t="s">
        <v>384</v>
      </c>
      <c r="B28" s="87" t="s">
        <v>385</v>
      </c>
      <c r="C28" s="88">
        <v>0</v>
      </c>
      <c r="D28" s="88" t="e">
        <f>+C28+#REF!</f>
        <v>#REF!</v>
      </c>
      <c r="E28" s="88">
        <v>0</v>
      </c>
      <c r="F28" s="88">
        <v>0</v>
      </c>
      <c r="G28" s="88">
        <f t="shared" si="7"/>
        <v>0</v>
      </c>
      <c r="H28" s="88"/>
      <c r="I28" s="88">
        <v>0</v>
      </c>
      <c r="J28" s="88">
        <f t="shared" si="0"/>
        <v>0</v>
      </c>
      <c r="K28" s="88" t="e">
        <f t="shared" ref="K28:K33" si="8">+D28-G28</f>
        <v>#REF!</v>
      </c>
      <c r="L28" s="450"/>
      <c r="N28" s="51">
        <v>0</v>
      </c>
    </row>
    <row r="29" spans="1:14" ht="13.5" customHeight="1" x14ac:dyDescent="0.2">
      <c r="A29" s="89" t="s">
        <v>132</v>
      </c>
      <c r="B29" s="90" t="s">
        <v>133</v>
      </c>
      <c r="C29" s="88">
        <v>0</v>
      </c>
      <c r="D29" s="91">
        <f>SUM(D30:D35)</f>
        <v>168000</v>
      </c>
      <c r="E29" s="91">
        <f>SUM(E30:E35)</f>
        <v>168000</v>
      </c>
      <c r="F29" s="91">
        <f>SUM(F30:F35)</f>
        <v>1211.1099999999999</v>
      </c>
      <c r="G29" s="91">
        <f t="shared" si="7"/>
        <v>1211.1099999999999</v>
      </c>
      <c r="H29" s="91"/>
      <c r="I29" s="91">
        <f>SUM(I30:I35)</f>
        <v>1044.01</v>
      </c>
      <c r="J29" s="91">
        <f t="shared" si="0"/>
        <v>166788.89000000001</v>
      </c>
      <c r="K29" s="91">
        <f t="shared" si="8"/>
        <v>166788.89000000001</v>
      </c>
      <c r="L29" s="449"/>
      <c r="N29" s="51">
        <v>0</v>
      </c>
    </row>
    <row r="30" spans="1:14" ht="14.1" customHeight="1" x14ac:dyDescent="0.2">
      <c r="A30" s="86" t="s">
        <v>134</v>
      </c>
      <c r="B30" s="87" t="s">
        <v>135</v>
      </c>
      <c r="C30" s="88">
        <v>0</v>
      </c>
      <c r="D30" s="88">
        <v>96000</v>
      </c>
      <c r="E30" s="88">
        <v>96000</v>
      </c>
      <c r="F30" s="88"/>
      <c r="G30" s="88">
        <f t="shared" si="7"/>
        <v>0</v>
      </c>
      <c r="H30" s="88"/>
      <c r="I30" s="88"/>
      <c r="J30" s="88">
        <f t="shared" si="0"/>
        <v>96000</v>
      </c>
      <c r="K30" s="88">
        <f t="shared" si="8"/>
        <v>96000</v>
      </c>
      <c r="L30" s="450"/>
      <c r="N30" s="51">
        <v>0</v>
      </c>
    </row>
    <row r="31" spans="1:14" ht="14.1" customHeight="1" x14ac:dyDescent="0.2">
      <c r="A31" s="86" t="s">
        <v>136</v>
      </c>
      <c r="B31" s="87" t="s">
        <v>435</v>
      </c>
      <c r="C31" s="88">
        <v>0</v>
      </c>
      <c r="D31" s="88">
        <v>12000</v>
      </c>
      <c r="E31" s="88">
        <v>12000</v>
      </c>
      <c r="F31" s="88"/>
      <c r="G31" s="88">
        <f t="shared" si="7"/>
        <v>0</v>
      </c>
      <c r="H31" s="88"/>
      <c r="I31" s="88"/>
      <c r="J31" s="88">
        <f t="shared" si="0"/>
        <v>12000</v>
      </c>
      <c r="K31" s="88">
        <f t="shared" si="8"/>
        <v>12000</v>
      </c>
      <c r="L31" s="450"/>
      <c r="N31" s="51">
        <v>0</v>
      </c>
    </row>
    <row r="32" spans="1:14" ht="14.1" customHeight="1" x14ac:dyDescent="0.2">
      <c r="A32" s="86" t="s">
        <v>362</v>
      </c>
      <c r="B32" s="87" t="s">
        <v>363</v>
      </c>
      <c r="C32" s="88">
        <v>0</v>
      </c>
      <c r="D32" s="88">
        <v>5000</v>
      </c>
      <c r="E32" s="88">
        <v>5000</v>
      </c>
      <c r="F32" s="88"/>
      <c r="G32" s="88">
        <f t="shared" si="7"/>
        <v>0</v>
      </c>
      <c r="H32" s="88"/>
      <c r="I32" s="88"/>
      <c r="J32" s="88">
        <f t="shared" si="0"/>
        <v>5000</v>
      </c>
      <c r="K32" s="88">
        <f t="shared" si="8"/>
        <v>5000</v>
      </c>
      <c r="L32" s="450"/>
      <c r="N32" s="51">
        <v>0</v>
      </c>
    </row>
    <row r="33" spans="1:14" ht="12.75" customHeight="1" x14ac:dyDescent="0.2">
      <c r="A33" s="86" t="s">
        <v>349</v>
      </c>
      <c r="B33" s="87" t="s">
        <v>350</v>
      </c>
      <c r="C33" s="88">
        <v>0</v>
      </c>
      <c r="D33" s="88">
        <v>5000</v>
      </c>
      <c r="E33" s="88">
        <v>5000</v>
      </c>
      <c r="F33" s="88"/>
      <c r="G33" s="88">
        <f t="shared" si="7"/>
        <v>0</v>
      </c>
      <c r="H33" s="88"/>
      <c r="I33" s="88"/>
      <c r="J33" s="88">
        <f t="shared" si="0"/>
        <v>5000</v>
      </c>
      <c r="K33" s="88">
        <f t="shared" si="8"/>
        <v>5000</v>
      </c>
      <c r="L33" s="450"/>
      <c r="N33" s="51">
        <v>0</v>
      </c>
    </row>
    <row r="34" spans="1:14" ht="13.5" hidden="1" customHeight="1" x14ac:dyDescent="0.2">
      <c r="A34" s="86" t="s">
        <v>557</v>
      </c>
      <c r="B34" s="87" t="s">
        <v>511</v>
      </c>
      <c r="C34" s="88">
        <v>0</v>
      </c>
      <c r="D34" s="88"/>
      <c r="E34" s="88"/>
      <c r="F34" s="88"/>
      <c r="G34" s="88"/>
      <c r="H34" s="88"/>
      <c r="I34" s="88"/>
      <c r="J34" s="88"/>
      <c r="K34" s="88"/>
      <c r="L34" s="450"/>
      <c r="N34" s="51"/>
    </row>
    <row r="35" spans="1:14" ht="14.1" customHeight="1" x14ac:dyDescent="0.2">
      <c r="A35" s="86" t="s">
        <v>340</v>
      </c>
      <c r="B35" s="87" t="s">
        <v>510</v>
      </c>
      <c r="C35" s="88">
        <v>0</v>
      </c>
      <c r="D35" s="88">
        <v>50000</v>
      </c>
      <c r="E35" s="88">
        <v>50000</v>
      </c>
      <c r="F35" s="88">
        <v>1211.1099999999999</v>
      </c>
      <c r="G35" s="88">
        <f>+N35+F35</f>
        <v>1211.1099999999999</v>
      </c>
      <c r="H35" s="88"/>
      <c r="I35" s="92">
        <v>1044.01</v>
      </c>
      <c r="J35" s="88">
        <f>+E35-G35</f>
        <v>48788.89</v>
      </c>
      <c r="K35" s="88">
        <f>+D35-G35</f>
        <v>48788.89</v>
      </c>
      <c r="L35" s="450"/>
      <c r="N35" s="51">
        <v>0</v>
      </c>
    </row>
    <row r="36" spans="1:14" ht="5.25" customHeight="1" x14ac:dyDescent="0.2">
      <c r="A36" s="86"/>
      <c r="B36" s="87"/>
      <c r="C36" s="88"/>
      <c r="D36" s="88"/>
      <c r="E36" s="88"/>
      <c r="F36" s="88">
        <v>0</v>
      </c>
      <c r="G36" s="88"/>
      <c r="H36" s="88"/>
      <c r="I36" s="88"/>
      <c r="J36" s="88"/>
      <c r="K36" s="88"/>
      <c r="L36" s="450"/>
      <c r="N36" s="51"/>
    </row>
    <row r="37" spans="1:14" ht="20.25" customHeight="1" x14ac:dyDescent="0.2">
      <c r="A37" s="129" t="s">
        <v>137</v>
      </c>
      <c r="B37" s="135" t="s">
        <v>138</v>
      </c>
      <c r="C37" s="136">
        <f>C38+C45+C54++C55+C58+C67+C73+C76+C62+C83</f>
        <v>7951962</v>
      </c>
      <c r="D37" s="136">
        <f>D38+D45+D54++D55+D58+D67+D73+D76+D62+D83</f>
        <v>7538462</v>
      </c>
      <c r="E37" s="136">
        <f>E38+E45+E54++E55+E58+E67+E73+E76+E62+E83</f>
        <v>3157668</v>
      </c>
      <c r="F37" s="136">
        <f>F38+F45+F54++F55+F58+F67+F73+F76+F62+F83</f>
        <v>431912.35000000003</v>
      </c>
      <c r="G37" s="136">
        <f>N37+F37</f>
        <v>471498.96</v>
      </c>
      <c r="H37" s="136">
        <f t="shared" ref="H37" si="9">H38+H45+H54++H55+H58+H67+H73+H76+H62+H83</f>
        <v>269355.27</v>
      </c>
      <c r="I37" s="136">
        <f>I38+I45+I54++I55+I58+I67+I73+I76+I62+I83</f>
        <v>217202.97</v>
      </c>
      <c r="J37" s="136">
        <f>J38+J45+J54++J55+J58+J67+J73+J76+J62+J83</f>
        <v>2686169.04</v>
      </c>
      <c r="K37" s="136">
        <f>K38+K45+K54++K55+K58+K67+K73+K76+K62+K83</f>
        <v>7066963.040000001</v>
      </c>
      <c r="L37" s="451">
        <f>+G37*100/E37</f>
        <v>14.931872508446107</v>
      </c>
      <c r="N37" s="51">
        <v>39586.610000000008</v>
      </c>
    </row>
    <row r="38" spans="1:14" ht="15.75" customHeight="1" x14ac:dyDescent="0.2">
      <c r="A38" s="89">
        <v>100</v>
      </c>
      <c r="B38" s="90" t="s">
        <v>139</v>
      </c>
      <c r="C38" s="91">
        <f>SUM(C39:C44)</f>
        <v>151437</v>
      </c>
      <c r="D38" s="91">
        <f>SUM(D39:D44)</f>
        <v>147337</v>
      </c>
      <c r="E38" s="91">
        <f>SUM(E39:E44)</f>
        <v>76937</v>
      </c>
      <c r="F38" s="91">
        <f>SUM(F39:F44)</f>
        <v>15721.84</v>
      </c>
      <c r="G38" s="91">
        <f t="shared" ref="G38:G44" si="10">+N38+F38</f>
        <v>15848.1</v>
      </c>
      <c r="H38" s="91">
        <f>SUM(H39:H44)</f>
        <v>126.26</v>
      </c>
      <c r="I38" s="91">
        <f>SUM(I39:I44)</f>
        <v>0</v>
      </c>
      <c r="J38" s="91">
        <f t="shared" ref="J38:J52" si="11">+E38-G38</f>
        <v>61088.9</v>
      </c>
      <c r="K38" s="91">
        <f t="shared" ref="K38:K51" si="12">+D38-G38</f>
        <v>131488.9</v>
      </c>
      <c r="L38" s="450">
        <f>+G38*100/E38</f>
        <v>20.598801616907341</v>
      </c>
      <c r="N38" s="51">
        <v>126.26</v>
      </c>
    </row>
    <row r="39" spans="1:14" ht="15" customHeight="1" x14ac:dyDescent="0.2">
      <c r="A39" s="93" t="s">
        <v>140</v>
      </c>
      <c r="B39" s="88" t="s">
        <v>141</v>
      </c>
      <c r="C39" s="88">
        <v>3000</v>
      </c>
      <c r="D39" s="88">
        <v>3000</v>
      </c>
      <c r="E39" s="88">
        <v>3000</v>
      </c>
      <c r="F39" s="88">
        <v>0</v>
      </c>
      <c r="G39" s="88">
        <f t="shared" si="10"/>
        <v>0</v>
      </c>
      <c r="H39" s="88"/>
      <c r="I39" s="88">
        <v>0</v>
      </c>
      <c r="J39" s="88">
        <f t="shared" si="11"/>
        <v>3000</v>
      </c>
      <c r="K39" s="88">
        <f t="shared" si="12"/>
        <v>3000</v>
      </c>
      <c r="L39" s="450">
        <f>+G39*100/E39</f>
        <v>0</v>
      </c>
      <c r="N39" s="51">
        <v>0</v>
      </c>
    </row>
    <row r="40" spans="1:14" ht="13.5" customHeight="1" x14ac:dyDescent="0.2">
      <c r="A40" s="86" t="s">
        <v>142</v>
      </c>
      <c r="B40" s="87" t="s">
        <v>143</v>
      </c>
      <c r="C40" s="88">
        <v>2000</v>
      </c>
      <c r="D40" s="88">
        <v>10000</v>
      </c>
      <c r="E40" s="88">
        <v>10000</v>
      </c>
      <c r="F40" s="88"/>
      <c r="G40" s="88">
        <f t="shared" si="10"/>
        <v>0</v>
      </c>
      <c r="H40" s="88"/>
      <c r="I40" s="88"/>
      <c r="J40" s="88">
        <f t="shared" si="11"/>
        <v>10000</v>
      </c>
      <c r="K40" s="88">
        <f t="shared" si="12"/>
        <v>10000</v>
      </c>
      <c r="L40" s="450">
        <f>+G40*100/E40</f>
        <v>0</v>
      </c>
      <c r="N40" s="51">
        <v>0</v>
      </c>
    </row>
    <row r="41" spans="1:14" ht="11.25" customHeight="1" x14ac:dyDescent="0.2">
      <c r="A41" s="86" t="s">
        <v>144</v>
      </c>
      <c r="B41" s="87" t="s">
        <v>145</v>
      </c>
      <c r="C41" s="88">
        <v>79362</v>
      </c>
      <c r="D41" s="88">
        <v>65362</v>
      </c>
      <c r="E41" s="88">
        <v>20362</v>
      </c>
      <c r="F41" s="88">
        <v>3900</v>
      </c>
      <c r="G41" s="88">
        <f t="shared" si="10"/>
        <v>3900</v>
      </c>
      <c r="H41" s="88"/>
      <c r="I41" s="88">
        <v>0</v>
      </c>
      <c r="J41" s="88">
        <f t="shared" si="11"/>
        <v>16462</v>
      </c>
      <c r="K41" s="88">
        <f t="shared" si="12"/>
        <v>61462</v>
      </c>
      <c r="L41" s="450">
        <f>+G41*100/E41</f>
        <v>19.153324820744523</v>
      </c>
      <c r="N41" s="51">
        <v>0</v>
      </c>
    </row>
    <row r="42" spans="1:14" ht="15" customHeight="1" x14ac:dyDescent="0.2">
      <c r="A42" s="86" t="s">
        <v>146</v>
      </c>
      <c r="B42" s="87" t="s">
        <v>147</v>
      </c>
      <c r="C42" s="88">
        <v>7450</v>
      </c>
      <c r="D42" s="88">
        <v>2450</v>
      </c>
      <c r="E42" s="88">
        <v>2450</v>
      </c>
      <c r="F42" s="88">
        <v>0</v>
      </c>
      <c r="G42" s="88">
        <f t="shared" si="10"/>
        <v>0</v>
      </c>
      <c r="H42" s="88"/>
      <c r="I42" s="88">
        <v>0</v>
      </c>
      <c r="J42" s="88">
        <f t="shared" si="11"/>
        <v>2450</v>
      </c>
      <c r="K42" s="88">
        <f t="shared" si="12"/>
        <v>2450</v>
      </c>
      <c r="L42" s="450"/>
      <c r="N42" s="51">
        <v>0</v>
      </c>
    </row>
    <row r="43" spans="1:14" ht="15" customHeight="1" x14ac:dyDescent="0.2">
      <c r="A43" s="86" t="s">
        <v>148</v>
      </c>
      <c r="B43" s="87" t="s">
        <v>149</v>
      </c>
      <c r="C43" s="88">
        <v>12400</v>
      </c>
      <c r="D43" s="88">
        <f>+C43</f>
        <v>12400</v>
      </c>
      <c r="E43" s="88">
        <v>11000</v>
      </c>
      <c r="F43" s="88">
        <v>0</v>
      </c>
      <c r="G43" s="88">
        <f t="shared" si="10"/>
        <v>0</v>
      </c>
      <c r="H43" s="88"/>
      <c r="I43" s="88">
        <v>0</v>
      </c>
      <c r="J43" s="88">
        <f t="shared" si="11"/>
        <v>11000</v>
      </c>
      <c r="K43" s="88">
        <f t="shared" si="12"/>
        <v>12400</v>
      </c>
      <c r="L43" s="450"/>
      <c r="N43" s="51">
        <v>0</v>
      </c>
    </row>
    <row r="44" spans="1:14" ht="15.6" customHeight="1" x14ac:dyDescent="0.2">
      <c r="A44" s="86" t="s">
        <v>150</v>
      </c>
      <c r="B44" s="87" t="s">
        <v>151</v>
      </c>
      <c r="C44" s="88">
        <v>47225</v>
      </c>
      <c r="D44" s="88">
        <v>54125</v>
      </c>
      <c r="E44" s="88">
        <v>30125</v>
      </c>
      <c r="F44" s="88">
        <v>11821.84</v>
      </c>
      <c r="G44" s="88">
        <f t="shared" si="10"/>
        <v>11948.1</v>
      </c>
      <c r="H44" s="88">
        <v>126.26</v>
      </c>
      <c r="I44" s="88">
        <v>0</v>
      </c>
      <c r="J44" s="88">
        <f t="shared" si="11"/>
        <v>18176.900000000001</v>
      </c>
      <c r="K44" s="88">
        <f t="shared" si="12"/>
        <v>42176.9</v>
      </c>
      <c r="L44" s="450">
        <f t="shared" ref="L44:L51" si="13">+G44*100/E44</f>
        <v>39.661742738589211</v>
      </c>
      <c r="N44" s="51">
        <v>126.26</v>
      </c>
    </row>
    <row r="45" spans="1:14" x14ac:dyDescent="0.2">
      <c r="A45" s="94" t="s">
        <v>152</v>
      </c>
      <c r="B45" s="91" t="s">
        <v>153</v>
      </c>
      <c r="C45" s="91">
        <f>SUM(C46:C53)</f>
        <v>3352943</v>
      </c>
      <c r="D45" s="91">
        <f>SUM(D46:D53)</f>
        <v>3611443</v>
      </c>
      <c r="E45" s="91">
        <f>SUM(E46:E53)</f>
        <v>1014633</v>
      </c>
      <c r="F45" s="91">
        <f>SUM(F46:F52)</f>
        <v>299201.42</v>
      </c>
      <c r="G45" s="91">
        <f>N45+F45</f>
        <v>302705.5</v>
      </c>
      <c r="H45" s="91">
        <f t="shared" ref="H45" si="14">SUM(H46:H53)</f>
        <v>224148.22</v>
      </c>
      <c r="I45" s="91">
        <f t="shared" ref="I45" si="15">SUM(I46:I53)</f>
        <v>177262.92</v>
      </c>
      <c r="J45" s="91">
        <f t="shared" si="11"/>
        <v>711927.5</v>
      </c>
      <c r="K45" s="91">
        <f t="shared" si="12"/>
        <v>3308737.5</v>
      </c>
      <c r="L45" s="449">
        <f t="shared" si="13"/>
        <v>29.833989235516686</v>
      </c>
      <c r="N45" s="51">
        <v>3504.08</v>
      </c>
    </row>
    <row r="46" spans="1:14" ht="12" customHeight="1" x14ac:dyDescent="0.2">
      <c r="A46" s="93" t="s">
        <v>154</v>
      </c>
      <c r="B46" s="88" t="s">
        <v>155</v>
      </c>
      <c r="C46" s="88">
        <v>109200</v>
      </c>
      <c r="D46" s="88">
        <v>109200</v>
      </c>
      <c r="E46" s="88">
        <v>20100</v>
      </c>
      <c r="F46" s="88">
        <v>9777.26</v>
      </c>
      <c r="G46" s="88">
        <f t="shared" ref="G46:G52" si="16">+N46+F46</f>
        <v>9777.26</v>
      </c>
      <c r="H46" s="88">
        <v>9777.26</v>
      </c>
      <c r="I46" s="88">
        <v>0</v>
      </c>
      <c r="J46" s="88">
        <f t="shared" si="11"/>
        <v>10322.74</v>
      </c>
      <c r="K46" s="88">
        <f t="shared" si="12"/>
        <v>99422.74</v>
      </c>
      <c r="L46" s="450">
        <f t="shared" si="13"/>
        <v>48.643084577114429</v>
      </c>
      <c r="N46" s="51">
        <v>0</v>
      </c>
    </row>
    <row r="47" spans="1:14" ht="14.25" customHeight="1" x14ac:dyDescent="0.2">
      <c r="A47" s="86" t="s">
        <v>156</v>
      </c>
      <c r="B47" s="87" t="s">
        <v>157</v>
      </c>
      <c r="C47" s="88">
        <v>43100</v>
      </c>
      <c r="D47" s="88">
        <v>51600</v>
      </c>
      <c r="E47" s="88">
        <v>17400</v>
      </c>
      <c r="F47" s="88">
        <v>0</v>
      </c>
      <c r="G47" s="88">
        <f t="shared" si="16"/>
        <v>0</v>
      </c>
      <c r="H47" s="88"/>
      <c r="I47" s="88">
        <v>0</v>
      </c>
      <c r="J47" s="88">
        <f t="shared" si="11"/>
        <v>17400</v>
      </c>
      <c r="K47" s="88">
        <f t="shared" si="12"/>
        <v>51600</v>
      </c>
      <c r="L47" s="450">
        <f t="shared" si="13"/>
        <v>0</v>
      </c>
      <c r="N47" s="51">
        <v>0</v>
      </c>
    </row>
    <row r="48" spans="1:14" ht="13.5" customHeight="1" x14ac:dyDescent="0.2">
      <c r="A48" s="86" t="s">
        <v>158</v>
      </c>
      <c r="B48" s="87" t="s">
        <v>159</v>
      </c>
      <c r="C48" s="88">
        <v>4500</v>
      </c>
      <c r="D48" s="88">
        <v>4500</v>
      </c>
      <c r="E48" s="88">
        <v>4500</v>
      </c>
      <c r="F48" s="88">
        <v>0</v>
      </c>
      <c r="G48" s="88">
        <f t="shared" si="16"/>
        <v>50</v>
      </c>
      <c r="H48" s="88">
        <v>50</v>
      </c>
      <c r="I48" s="88">
        <v>0</v>
      </c>
      <c r="J48" s="88">
        <f t="shared" si="11"/>
        <v>4450</v>
      </c>
      <c r="K48" s="88">
        <f t="shared" si="12"/>
        <v>4450</v>
      </c>
      <c r="L48" s="450">
        <f t="shared" si="13"/>
        <v>1.1111111111111112</v>
      </c>
      <c r="N48" s="51">
        <v>50</v>
      </c>
    </row>
    <row r="49" spans="1:21" ht="13.5" customHeight="1" x14ac:dyDescent="0.2">
      <c r="A49" s="86" t="s">
        <v>160</v>
      </c>
      <c r="B49" s="87" t="s">
        <v>161</v>
      </c>
      <c r="C49" s="88">
        <v>2717526</v>
      </c>
      <c r="D49" s="88">
        <v>2717526</v>
      </c>
      <c r="E49" s="88">
        <v>494121</v>
      </c>
      <c r="F49" s="88">
        <v>214320.96</v>
      </c>
      <c r="G49" s="88">
        <f t="shared" si="16"/>
        <v>214320.96</v>
      </c>
      <c r="H49" s="88">
        <v>214320.96</v>
      </c>
      <c r="I49" s="88">
        <v>177262.92</v>
      </c>
      <c r="J49" s="88">
        <f t="shared" si="11"/>
        <v>279800.04000000004</v>
      </c>
      <c r="K49" s="88">
        <f t="shared" si="12"/>
        <v>2503205.04</v>
      </c>
      <c r="L49" s="450">
        <f t="shared" si="13"/>
        <v>43.374185675168633</v>
      </c>
      <c r="N49" s="51">
        <v>0</v>
      </c>
    </row>
    <row r="50" spans="1:21" ht="15" customHeight="1" x14ac:dyDescent="0.2">
      <c r="A50" s="86" t="s">
        <v>162</v>
      </c>
      <c r="B50" s="87" t="s">
        <v>163</v>
      </c>
      <c r="C50" s="88">
        <v>243600</v>
      </c>
      <c r="D50" s="88">
        <v>243600</v>
      </c>
      <c r="E50" s="88">
        <v>44295</v>
      </c>
      <c r="F50" s="88">
        <v>0</v>
      </c>
      <c r="G50" s="88">
        <f t="shared" si="16"/>
        <v>0</v>
      </c>
      <c r="H50" s="88"/>
      <c r="I50" s="88">
        <v>0</v>
      </c>
      <c r="J50" s="88">
        <f t="shared" si="11"/>
        <v>44295</v>
      </c>
      <c r="K50" s="88">
        <f t="shared" si="12"/>
        <v>243600</v>
      </c>
      <c r="L50" s="450">
        <f t="shared" si="13"/>
        <v>0</v>
      </c>
      <c r="N50" s="51">
        <v>0</v>
      </c>
    </row>
    <row r="51" spans="1:21" ht="13.15" customHeight="1" x14ac:dyDescent="0.2">
      <c r="A51" s="86">
        <v>116</v>
      </c>
      <c r="B51" s="87" t="s">
        <v>429</v>
      </c>
      <c r="C51" s="88">
        <v>204417</v>
      </c>
      <c r="D51" s="88">
        <v>454417</v>
      </c>
      <c r="E51" s="88">
        <v>413617</v>
      </c>
      <c r="F51" s="88">
        <v>75103.199999999997</v>
      </c>
      <c r="G51" s="88">
        <f t="shared" si="16"/>
        <v>78557.279999999999</v>
      </c>
      <c r="H51" s="88"/>
      <c r="I51" s="88">
        <v>0</v>
      </c>
      <c r="J51" s="88">
        <f t="shared" si="11"/>
        <v>335059.71999999997</v>
      </c>
      <c r="K51" s="88">
        <f t="shared" si="12"/>
        <v>375859.72</v>
      </c>
      <c r="L51" s="450">
        <f t="shared" si="13"/>
        <v>18.992759001685133</v>
      </c>
      <c r="N51" s="51">
        <v>3454.08</v>
      </c>
    </row>
    <row r="52" spans="1:21" ht="13.5" customHeight="1" x14ac:dyDescent="0.2">
      <c r="A52" s="86">
        <v>117</v>
      </c>
      <c r="B52" s="87" t="s">
        <v>436</v>
      </c>
      <c r="C52" s="88">
        <v>30000</v>
      </c>
      <c r="D52" s="88">
        <v>30000</v>
      </c>
      <c r="E52" s="88">
        <v>20000</v>
      </c>
      <c r="F52" s="88">
        <v>0</v>
      </c>
      <c r="G52" s="88">
        <f t="shared" si="16"/>
        <v>0</v>
      </c>
      <c r="H52" s="88"/>
      <c r="I52" s="88"/>
      <c r="J52" s="88">
        <f t="shared" si="11"/>
        <v>20000</v>
      </c>
      <c r="K52" s="88"/>
      <c r="L52" s="450" t="s">
        <v>6</v>
      </c>
      <c r="N52" s="51">
        <v>0</v>
      </c>
    </row>
    <row r="53" spans="1:21" ht="13.5" customHeight="1" x14ac:dyDescent="0.2">
      <c r="A53" s="86">
        <v>119</v>
      </c>
      <c r="B53" s="87" t="s">
        <v>515</v>
      </c>
      <c r="C53" s="88">
        <v>600</v>
      </c>
      <c r="D53" s="88">
        <v>600</v>
      </c>
      <c r="E53" s="88">
        <v>600</v>
      </c>
      <c r="F53" s="88"/>
      <c r="G53" s="88"/>
      <c r="H53" s="88"/>
      <c r="I53" s="88"/>
      <c r="J53" s="88"/>
      <c r="K53" s="88"/>
      <c r="L53" s="450"/>
      <c r="N53" s="51"/>
    </row>
    <row r="54" spans="1:21" ht="12.75" customHeight="1" x14ac:dyDescent="0.2">
      <c r="A54" s="89">
        <v>120</v>
      </c>
      <c r="B54" s="91" t="s">
        <v>165</v>
      </c>
      <c r="C54" s="91">
        <v>87500</v>
      </c>
      <c r="D54" s="91">
        <v>27900</v>
      </c>
      <c r="E54" s="91">
        <v>27900</v>
      </c>
      <c r="F54" s="91">
        <v>1500</v>
      </c>
      <c r="G54" s="91">
        <f t="shared" ref="G54:G63" si="17">+N54+F54</f>
        <v>1774.73</v>
      </c>
      <c r="H54" s="91">
        <v>274.73</v>
      </c>
      <c r="I54" s="91">
        <v>0</v>
      </c>
      <c r="J54" s="91">
        <f t="shared" ref="J54:J64" si="18">+E54-G54</f>
        <v>26125.27</v>
      </c>
      <c r="K54" s="91">
        <f t="shared" ref="K54:K67" si="19">+D54-G54</f>
        <v>26125.27</v>
      </c>
      <c r="L54" s="449">
        <f t="shared" ref="L54:L63" si="20">+G54*100/E54</f>
        <v>6.3610394265232975</v>
      </c>
      <c r="M54" s="7"/>
      <c r="N54" s="51">
        <v>274.73</v>
      </c>
      <c r="U54">
        <f ca="1">U54</f>
        <v>0</v>
      </c>
    </row>
    <row r="55" spans="1:21" ht="13.5" customHeight="1" x14ac:dyDescent="0.2">
      <c r="A55" s="94" t="s">
        <v>166</v>
      </c>
      <c r="B55" s="91" t="s">
        <v>167</v>
      </c>
      <c r="C55" s="91">
        <f>SUM(C56:C57)</f>
        <v>163284</v>
      </c>
      <c r="D55" s="91">
        <f>SUM(D56:D57)</f>
        <v>82184</v>
      </c>
      <c r="E55" s="91">
        <f>SUM(E56:E57)</f>
        <v>60460</v>
      </c>
      <c r="F55" s="91">
        <f>F56</f>
        <v>2696.4</v>
      </c>
      <c r="G55" s="91">
        <f t="shared" si="17"/>
        <v>3023.82</v>
      </c>
      <c r="H55" s="91">
        <f>+H56</f>
        <v>370.22</v>
      </c>
      <c r="I55" s="91">
        <f>SUM(I56:I57)</f>
        <v>0</v>
      </c>
      <c r="J55" s="91">
        <f t="shared" si="18"/>
        <v>57436.18</v>
      </c>
      <c r="K55" s="91">
        <f t="shared" si="19"/>
        <v>79160.179999999993</v>
      </c>
      <c r="L55" s="449">
        <f t="shared" si="20"/>
        <v>5.0013562686073438</v>
      </c>
      <c r="M55" s="7"/>
      <c r="N55" s="51">
        <v>327.42</v>
      </c>
    </row>
    <row r="56" spans="1:21" ht="14.25" customHeight="1" x14ac:dyDescent="0.2">
      <c r="A56" s="86" t="s">
        <v>168</v>
      </c>
      <c r="B56" s="88" t="s">
        <v>169</v>
      </c>
      <c r="C56" s="88">
        <v>81769</v>
      </c>
      <c r="D56" s="88">
        <v>51669</v>
      </c>
      <c r="E56" s="88">
        <v>29945</v>
      </c>
      <c r="F56" s="88">
        <v>2696.4</v>
      </c>
      <c r="G56" s="88">
        <f t="shared" si="17"/>
        <v>3023.82</v>
      </c>
      <c r="H56" s="88">
        <v>370.22</v>
      </c>
      <c r="I56" s="88">
        <v>0</v>
      </c>
      <c r="J56" s="88">
        <f t="shared" si="18"/>
        <v>26921.18</v>
      </c>
      <c r="K56" s="88">
        <f t="shared" si="19"/>
        <v>48645.18</v>
      </c>
      <c r="L56" s="450">
        <f t="shared" si="20"/>
        <v>10.097912840207046</v>
      </c>
      <c r="M56" s="7"/>
      <c r="N56" s="51">
        <v>327.42</v>
      </c>
    </row>
    <row r="57" spans="1:21" ht="15" customHeight="1" x14ac:dyDescent="0.2">
      <c r="A57" s="86" t="s">
        <v>341</v>
      </c>
      <c r="B57" s="88" t="s">
        <v>342</v>
      </c>
      <c r="C57" s="88">
        <v>81515</v>
      </c>
      <c r="D57" s="88">
        <v>30515</v>
      </c>
      <c r="E57" s="88">
        <v>30515</v>
      </c>
      <c r="F57" s="88">
        <v>0</v>
      </c>
      <c r="G57" s="88">
        <f t="shared" si="17"/>
        <v>0</v>
      </c>
      <c r="H57" s="88"/>
      <c r="I57" s="88">
        <v>0</v>
      </c>
      <c r="J57" s="88">
        <f t="shared" si="18"/>
        <v>30515</v>
      </c>
      <c r="K57" s="88">
        <f t="shared" si="19"/>
        <v>30515</v>
      </c>
      <c r="L57" s="450">
        <f t="shared" si="20"/>
        <v>0</v>
      </c>
      <c r="M57" s="7"/>
      <c r="N57" s="51">
        <v>0</v>
      </c>
    </row>
    <row r="58" spans="1:21" x14ac:dyDescent="0.2">
      <c r="A58" s="94" t="s">
        <v>170</v>
      </c>
      <c r="B58" s="91" t="s">
        <v>171</v>
      </c>
      <c r="C58" s="91">
        <f>SUM(C59:C61)</f>
        <v>981486</v>
      </c>
      <c r="D58" s="91">
        <f>SUM(D59:D61)</f>
        <v>666486</v>
      </c>
      <c r="E58" s="91">
        <f>SUM(E59:E61)</f>
        <v>274262</v>
      </c>
      <c r="F58" s="91">
        <f>SUM(F59:F61)</f>
        <v>24664</v>
      </c>
      <c r="G58" s="91">
        <f t="shared" si="17"/>
        <v>35484</v>
      </c>
      <c r="H58" s="91">
        <f>SUM(H59:H61)</f>
        <v>35484</v>
      </c>
      <c r="I58" s="91">
        <f>SUM(I59:I61)</f>
        <v>33670</v>
      </c>
      <c r="J58" s="91">
        <f t="shared" si="18"/>
        <v>238778</v>
      </c>
      <c r="K58" s="91">
        <f t="shared" si="19"/>
        <v>631002</v>
      </c>
      <c r="L58" s="449">
        <f t="shared" si="20"/>
        <v>12.937993597363105</v>
      </c>
      <c r="M58" s="7"/>
      <c r="N58" s="51">
        <v>10820</v>
      </c>
    </row>
    <row r="59" spans="1:21" ht="15.75" customHeight="1" x14ac:dyDescent="0.2">
      <c r="A59" s="93" t="s">
        <v>172</v>
      </c>
      <c r="B59" s="88" t="s">
        <v>173</v>
      </c>
      <c r="C59" s="88">
        <v>621226</v>
      </c>
      <c r="D59" s="88">
        <v>448226</v>
      </c>
      <c r="E59" s="88">
        <v>156696</v>
      </c>
      <c r="F59" s="88">
        <v>24648</v>
      </c>
      <c r="G59" s="88">
        <f t="shared" si="17"/>
        <v>35468</v>
      </c>
      <c r="H59" s="88">
        <v>35468</v>
      </c>
      <c r="I59" s="88">
        <v>33670</v>
      </c>
      <c r="J59" s="88">
        <f t="shared" si="18"/>
        <v>121228</v>
      </c>
      <c r="K59" s="88">
        <f t="shared" si="19"/>
        <v>412758</v>
      </c>
      <c r="L59" s="450">
        <f>+G59*100/E59</f>
        <v>22.634910910297645</v>
      </c>
      <c r="N59" s="51">
        <v>10820</v>
      </c>
    </row>
    <row r="60" spans="1:21" ht="13.5" customHeight="1" x14ac:dyDescent="0.2">
      <c r="A60" s="86" t="s">
        <v>174</v>
      </c>
      <c r="B60" s="87" t="s">
        <v>175</v>
      </c>
      <c r="C60" s="88">
        <v>227583</v>
      </c>
      <c r="D60" s="88">
        <v>110583</v>
      </c>
      <c r="E60" s="88">
        <v>52566</v>
      </c>
      <c r="F60" s="88">
        <v>0</v>
      </c>
      <c r="G60" s="88">
        <f t="shared" si="17"/>
        <v>0</v>
      </c>
      <c r="H60" s="88"/>
      <c r="I60" s="88">
        <v>0</v>
      </c>
      <c r="J60" s="88">
        <f t="shared" si="18"/>
        <v>52566</v>
      </c>
      <c r="K60" s="88">
        <f t="shared" si="19"/>
        <v>110583</v>
      </c>
      <c r="L60" s="450">
        <f t="shared" si="20"/>
        <v>0</v>
      </c>
      <c r="N60" s="51">
        <v>0</v>
      </c>
    </row>
    <row r="61" spans="1:21" ht="12" customHeight="1" x14ac:dyDescent="0.2">
      <c r="A61" s="86">
        <v>143</v>
      </c>
      <c r="B61" s="87" t="s">
        <v>176</v>
      </c>
      <c r="C61" s="88">
        <v>132677</v>
      </c>
      <c r="D61" s="88">
        <v>107677</v>
      </c>
      <c r="E61" s="88">
        <v>65000</v>
      </c>
      <c r="F61" s="88">
        <v>16</v>
      </c>
      <c r="G61" s="88">
        <f t="shared" si="17"/>
        <v>16</v>
      </c>
      <c r="H61" s="88">
        <v>16</v>
      </c>
      <c r="I61" s="88">
        <v>0</v>
      </c>
      <c r="J61" s="88">
        <f t="shared" si="18"/>
        <v>64984</v>
      </c>
      <c r="K61" s="88">
        <f t="shared" si="19"/>
        <v>107661</v>
      </c>
      <c r="L61" s="450">
        <f t="shared" si="20"/>
        <v>2.4615384615384615E-2</v>
      </c>
      <c r="N61" s="51">
        <v>0</v>
      </c>
    </row>
    <row r="62" spans="1:21" x14ac:dyDescent="0.2">
      <c r="A62" s="94" t="s">
        <v>177</v>
      </c>
      <c r="B62" s="91" t="s">
        <v>178</v>
      </c>
      <c r="C62" s="91">
        <f>SUM(C63:C65)</f>
        <v>448811</v>
      </c>
      <c r="D62" s="91">
        <f>SUM(D63:D66)</f>
        <v>389811</v>
      </c>
      <c r="E62" s="91">
        <f>+E63+E64+E65+E66</f>
        <v>174380</v>
      </c>
      <c r="F62" s="91">
        <f>SUM(F63:F66)</f>
        <v>4465.4799999999996</v>
      </c>
      <c r="G62" s="91">
        <f t="shared" si="17"/>
        <v>6992.1299999999992</v>
      </c>
      <c r="H62" s="91">
        <f>+H63+H64+H65+H66</f>
        <v>5363.19</v>
      </c>
      <c r="I62" s="91">
        <f>SUM(I63:I66)</f>
        <v>4410.6099999999997</v>
      </c>
      <c r="J62" s="91">
        <f t="shared" si="18"/>
        <v>167387.87</v>
      </c>
      <c r="K62" s="91">
        <f t="shared" si="19"/>
        <v>382818.87</v>
      </c>
      <c r="L62" s="449">
        <f t="shared" si="20"/>
        <v>4.0097086821883234</v>
      </c>
      <c r="M62" s="7"/>
      <c r="N62" s="51">
        <v>2526.65</v>
      </c>
    </row>
    <row r="63" spans="1:21" ht="15" customHeight="1" x14ac:dyDescent="0.2">
      <c r="A63" s="93" t="s">
        <v>179</v>
      </c>
      <c r="B63" s="88" t="s">
        <v>173</v>
      </c>
      <c r="C63" s="88">
        <v>251809</v>
      </c>
      <c r="D63" s="88">
        <v>199309</v>
      </c>
      <c r="E63" s="88">
        <v>93700</v>
      </c>
      <c r="F63" s="88">
        <v>3919.82</v>
      </c>
      <c r="G63" s="88">
        <f t="shared" si="17"/>
        <v>6446.47</v>
      </c>
      <c r="H63" s="88">
        <v>5269.53</v>
      </c>
      <c r="I63" s="88">
        <v>4385.6099999999997</v>
      </c>
      <c r="J63" s="88">
        <f t="shared" si="18"/>
        <v>87253.53</v>
      </c>
      <c r="K63" s="93">
        <f t="shared" si="19"/>
        <v>192862.53</v>
      </c>
      <c r="L63" s="450">
        <f t="shared" si="20"/>
        <v>6.8799039487726787</v>
      </c>
      <c r="N63" s="51">
        <v>2526.65</v>
      </c>
    </row>
    <row r="64" spans="1:21" ht="12.75" customHeight="1" x14ac:dyDescent="0.2">
      <c r="A64" s="86" t="s">
        <v>180</v>
      </c>
      <c r="B64" s="87" t="s">
        <v>175</v>
      </c>
      <c r="C64" s="88">
        <v>158402</v>
      </c>
      <c r="D64" s="88">
        <v>153402</v>
      </c>
      <c r="E64" s="88">
        <v>53400</v>
      </c>
      <c r="F64" s="88">
        <v>427</v>
      </c>
      <c r="G64" s="88">
        <v>0</v>
      </c>
      <c r="H64" s="88"/>
      <c r="I64" s="88">
        <v>0</v>
      </c>
      <c r="J64" s="88">
        <f t="shared" si="18"/>
        <v>53400</v>
      </c>
      <c r="K64" s="93">
        <f t="shared" si="19"/>
        <v>153402</v>
      </c>
      <c r="L64" s="450"/>
      <c r="N64" s="51">
        <v>0</v>
      </c>
    </row>
    <row r="65" spans="1:14" ht="12.75" customHeight="1" x14ac:dyDescent="0.2">
      <c r="A65" s="86">
        <v>153</v>
      </c>
      <c r="B65" s="87" t="s">
        <v>181</v>
      </c>
      <c r="C65" s="88">
        <v>38600</v>
      </c>
      <c r="D65" s="88">
        <v>31600</v>
      </c>
      <c r="E65" s="88">
        <v>21780</v>
      </c>
      <c r="F65" s="88">
        <v>25.16</v>
      </c>
      <c r="G65" s="88">
        <f>+N65+F65</f>
        <v>25.16</v>
      </c>
      <c r="H65" s="475">
        <v>25.16</v>
      </c>
      <c r="I65" s="88">
        <v>0</v>
      </c>
      <c r="J65" s="125" t="s">
        <v>507</v>
      </c>
      <c r="K65" s="472">
        <f>+D65-G65</f>
        <v>31574.84</v>
      </c>
      <c r="L65" s="473"/>
      <c r="N65" s="51">
        <v>0</v>
      </c>
    </row>
    <row r="66" spans="1:14" ht="14.1" customHeight="1" x14ac:dyDescent="0.2">
      <c r="A66" s="86">
        <v>154</v>
      </c>
      <c r="B66" s="87" t="s">
        <v>389</v>
      </c>
      <c r="C66" s="88"/>
      <c r="D66" s="88">
        <v>5500</v>
      </c>
      <c r="E66" s="88">
        <v>5500</v>
      </c>
      <c r="F66" s="88">
        <v>93.5</v>
      </c>
      <c r="G66" s="88">
        <f>+N66+F66</f>
        <v>93.5</v>
      </c>
      <c r="H66" s="88">
        <v>68.5</v>
      </c>
      <c r="I66" s="88">
        <v>25</v>
      </c>
      <c r="J66" s="88">
        <f>+E66-G66</f>
        <v>5406.5</v>
      </c>
      <c r="K66" s="93">
        <f t="shared" si="19"/>
        <v>5406.5</v>
      </c>
      <c r="L66" s="450"/>
      <c r="N66" s="51">
        <v>0</v>
      </c>
    </row>
    <row r="67" spans="1:14" ht="15.75" customHeight="1" x14ac:dyDescent="0.2">
      <c r="A67" s="94" t="s">
        <v>182</v>
      </c>
      <c r="B67" s="91" t="s">
        <v>183</v>
      </c>
      <c r="C67" s="91">
        <f>SUM(C68:C72)</f>
        <v>1451047</v>
      </c>
      <c r="D67" s="91">
        <f>SUM(D68:D72)</f>
        <v>1452047</v>
      </c>
      <c r="E67" s="91">
        <f>SUM(E68:E72)</f>
        <v>714025</v>
      </c>
      <c r="F67" s="91">
        <f>+F68+F69+F70+F72+F71</f>
        <v>47556.790000000008</v>
      </c>
      <c r="G67" s="91">
        <f>+N67+F67</f>
        <v>52402.160000000011</v>
      </c>
      <c r="H67" s="91">
        <f>+H68+H69+H70+H72+H71</f>
        <v>2186.9299999999998</v>
      </c>
      <c r="I67" s="91">
        <f>+I68+I69+I70+I72+I71</f>
        <v>1411.53</v>
      </c>
      <c r="J67" s="91">
        <f>+E67-G67</f>
        <v>661622.84</v>
      </c>
      <c r="K67" s="94">
        <f t="shared" si="19"/>
        <v>1399644.84</v>
      </c>
      <c r="L67" s="449">
        <f>+G67*100/E67</f>
        <v>7.3389811281117625</v>
      </c>
      <c r="N67" s="51">
        <v>4845.37</v>
      </c>
    </row>
    <row r="68" spans="1:14" ht="0.75" customHeight="1" x14ac:dyDescent="0.2">
      <c r="A68" s="86">
        <v>162</v>
      </c>
      <c r="B68" s="88" t="s">
        <v>508</v>
      </c>
      <c r="C68" s="88">
        <v>0</v>
      </c>
      <c r="D68" s="88">
        <v>0</v>
      </c>
      <c r="E68" s="88">
        <v>0</v>
      </c>
      <c r="F68" s="88"/>
      <c r="G68" s="88"/>
      <c r="H68" s="88"/>
      <c r="I68" s="88"/>
      <c r="J68" s="88"/>
      <c r="K68" s="94"/>
      <c r="L68" s="449"/>
      <c r="N68" s="51"/>
    </row>
    <row r="69" spans="1:14" ht="13.5" customHeight="1" x14ac:dyDescent="0.2">
      <c r="A69" s="93" t="s">
        <v>328</v>
      </c>
      <c r="B69" s="88" t="s">
        <v>329</v>
      </c>
      <c r="C69" s="88">
        <v>3400</v>
      </c>
      <c r="D69" s="88">
        <v>3400</v>
      </c>
      <c r="E69" s="88">
        <v>3400</v>
      </c>
      <c r="F69" s="88"/>
      <c r="G69" s="88">
        <f>+N69+F69</f>
        <v>0</v>
      </c>
      <c r="H69" s="88"/>
      <c r="I69" s="88"/>
      <c r="J69" s="88">
        <f>+E69-G69</f>
        <v>3400</v>
      </c>
      <c r="K69" s="93">
        <f>+D69-G69</f>
        <v>3400</v>
      </c>
      <c r="L69" s="450" t="s">
        <v>6</v>
      </c>
      <c r="N69" s="51">
        <v>0</v>
      </c>
    </row>
    <row r="70" spans="1:14" ht="13.5" customHeight="1" x14ac:dyDescent="0.2">
      <c r="A70" s="93" t="s">
        <v>184</v>
      </c>
      <c r="B70" s="88" t="s">
        <v>185</v>
      </c>
      <c r="C70" s="88">
        <v>106950</v>
      </c>
      <c r="D70" s="88">
        <v>256950</v>
      </c>
      <c r="E70" s="88">
        <v>256950</v>
      </c>
      <c r="F70" s="88">
        <v>17576.86</v>
      </c>
      <c r="G70" s="88">
        <f>+N70+F70</f>
        <v>17576.86</v>
      </c>
      <c r="H70" s="88"/>
      <c r="I70" s="88">
        <v>0</v>
      </c>
      <c r="J70" s="88">
        <f>+E70-G70</f>
        <v>239373.14</v>
      </c>
      <c r="K70" s="93">
        <f>+D70-G70</f>
        <v>239373.14</v>
      </c>
      <c r="L70" s="450">
        <f>+G70*100/E70</f>
        <v>6.8405759875462149</v>
      </c>
      <c r="N70" s="51">
        <v>0</v>
      </c>
    </row>
    <row r="71" spans="1:14" ht="15" customHeight="1" x14ac:dyDescent="0.2">
      <c r="A71" s="86">
        <v>165</v>
      </c>
      <c r="B71" s="88" t="s">
        <v>186</v>
      </c>
      <c r="C71" s="88">
        <v>737884</v>
      </c>
      <c r="D71" s="88">
        <v>645884</v>
      </c>
      <c r="E71" s="88">
        <v>308375</v>
      </c>
      <c r="F71" s="88">
        <v>5172.8</v>
      </c>
      <c r="G71" s="88">
        <f>+N71+F71</f>
        <v>7427.79</v>
      </c>
      <c r="H71" s="88">
        <v>474.44</v>
      </c>
      <c r="I71" s="88">
        <v>0</v>
      </c>
      <c r="J71" s="88">
        <f>+E71-G71</f>
        <v>300947.21000000002</v>
      </c>
      <c r="K71" s="93">
        <f>+D71-G71</f>
        <v>638456.21</v>
      </c>
      <c r="L71" s="450">
        <f>+G71*100/E71</f>
        <v>2.4086874746655855</v>
      </c>
      <c r="N71" s="51">
        <v>2254.9899999999998</v>
      </c>
    </row>
    <row r="72" spans="1:14" ht="12.75" customHeight="1" x14ac:dyDescent="0.2">
      <c r="A72" s="86" t="s">
        <v>187</v>
      </c>
      <c r="B72" s="87" t="s">
        <v>188</v>
      </c>
      <c r="C72" s="88">
        <v>602813</v>
      </c>
      <c r="D72" s="88">
        <v>545813</v>
      </c>
      <c r="E72" s="88">
        <v>145300</v>
      </c>
      <c r="F72" s="88">
        <v>24807.13</v>
      </c>
      <c r="G72" s="88">
        <f>+N72+F72</f>
        <v>27397.510000000002</v>
      </c>
      <c r="H72" s="88">
        <v>1712.49</v>
      </c>
      <c r="I72" s="88">
        <v>1411.53</v>
      </c>
      <c r="J72" s="88">
        <f>+E72-G72</f>
        <v>117902.48999999999</v>
      </c>
      <c r="K72" s="88">
        <f>+D72-G72</f>
        <v>518415.49</v>
      </c>
      <c r="L72" s="450">
        <f>+G72*100/E72</f>
        <v>18.85582243633861</v>
      </c>
      <c r="N72" s="51">
        <v>2590.38</v>
      </c>
    </row>
    <row r="73" spans="1:14" x14ac:dyDescent="0.2">
      <c r="A73" s="95">
        <v>170</v>
      </c>
      <c r="B73" s="104" t="s">
        <v>356</v>
      </c>
      <c r="C73" s="91">
        <f>SUM(C74:C75)</f>
        <v>305833</v>
      </c>
      <c r="D73" s="91">
        <f>SUM(D74:D75)</f>
        <v>305833</v>
      </c>
      <c r="E73" s="91">
        <f>SUM(E74:E75)</f>
        <v>105159</v>
      </c>
      <c r="F73" s="91">
        <f>SUM(F75:F75)</f>
        <v>5017</v>
      </c>
      <c r="G73" s="91">
        <f>+N73+F73</f>
        <v>9866.76</v>
      </c>
      <c r="H73" s="91"/>
      <c r="I73" s="91"/>
      <c r="J73" s="91">
        <f>+E73-G73</f>
        <v>95292.24</v>
      </c>
      <c r="K73" s="91">
        <f>+D73-G73</f>
        <v>295966.24</v>
      </c>
      <c r="L73" s="449">
        <f>+G73*100/E73</f>
        <v>9.3827061877728006</v>
      </c>
      <c r="N73" s="51">
        <v>4849.76</v>
      </c>
    </row>
    <row r="74" spans="1:14" x14ac:dyDescent="0.2">
      <c r="A74" s="480">
        <v>171</v>
      </c>
      <c r="B74" s="481" t="s">
        <v>516</v>
      </c>
      <c r="C74" s="88">
        <v>137125</v>
      </c>
      <c r="D74" s="88">
        <v>137125</v>
      </c>
      <c r="E74" s="88">
        <v>77125</v>
      </c>
      <c r="F74" s="91"/>
      <c r="G74" s="91"/>
      <c r="H74" s="91"/>
      <c r="I74" s="91"/>
      <c r="J74" s="91"/>
      <c r="K74" s="91"/>
      <c r="L74" s="449"/>
      <c r="N74" s="51"/>
    </row>
    <row r="75" spans="1:14" ht="15" customHeight="1" x14ac:dyDescent="0.2">
      <c r="A75" s="86" t="s">
        <v>189</v>
      </c>
      <c r="B75" s="87" t="s">
        <v>190</v>
      </c>
      <c r="C75" s="88">
        <v>168708</v>
      </c>
      <c r="D75" s="88">
        <v>168708</v>
      </c>
      <c r="E75" s="88">
        <v>28034</v>
      </c>
      <c r="F75" s="88">
        <v>5017</v>
      </c>
      <c r="G75" s="88">
        <f t="shared" ref="G75:G82" si="21">+N75+F75</f>
        <v>9866.76</v>
      </c>
      <c r="H75" s="88"/>
      <c r="I75" s="88">
        <v>0</v>
      </c>
      <c r="J75" s="88">
        <f t="shared" ref="J75:J83" si="22">+E75-G75</f>
        <v>18167.239999999998</v>
      </c>
      <c r="K75" s="88">
        <f t="shared" ref="K75:K83" si="23">+D75-G75</f>
        <v>158841.24</v>
      </c>
      <c r="L75" s="450">
        <f>+G75*100/E75</f>
        <v>35.195690946707572</v>
      </c>
      <c r="N75" s="51">
        <v>4849.76</v>
      </c>
    </row>
    <row r="76" spans="1:14" x14ac:dyDescent="0.2">
      <c r="A76" s="94" t="s">
        <v>191</v>
      </c>
      <c r="B76" s="91" t="s">
        <v>192</v>
      </c>
      <c r="C76" s="91">
        <f>SUM(C77:C82)</f>
        <v>1009621</v>
      </c>
      <c r="D76" s="91">
        <f>SUM(D77:D82)</f>
        <v>820121</v>
      </c>
      <c r="E76" s="91">
        <f>SUM(E77:E82)</f>
        <v>674612</v>
      </c>
      <c r="F76" s="91">
        <f>SUM(F77:F82)</f>
        <v>30752.26</v>
      </c>
      <c r="G76" s="91">
        <f t="shared" si="21"/>
        <v>43064.6</v>
      </c>
      <c r="H76" s="91">
        <f t="shared" ref="H76" si="24">SUM(H77:H82)</f>
        <v>1064.56</v>
      </c>
      <c r="I76" s="91">
        <f t="shared" ref="I76" si="25">SUM(I77:I82)</f>
        <v>133.75</v>
      </c>
      <c r="J76" s="91">
        <f t="shared" si="22"/>
        <v>631547.4</v>
      </c>
      <c r="K76" s="91">
        <f t="shared" si="23"/>
        <v>777056.4</v>
      </c>
      <c r="L76" s="449">
        <f>+G76*100/E76</f>
        <v>6.3836101344180065</v>
      </c>
      <c r="M76" s="7"/>
      <c r="N76" s="51">
        <v>12312.34</v>
      </c>
    </row>
    <row r="77" spans="1:14" ht="14.25" customHeight="1" x14ac:dyDescent="0.2">
      <c r="A77" s="86">
        <v>181</v>
      </c>
      <c r="B77" s="88" t="s">
        <v>193</v>
      </c>
      <c r="C77" s="88">
        <v>150000</v>
      </c>
      <c r="D77" s="88">
        <v>127000</v>
      </c>
      <c r="E77" s="88">
        <v>102736</v>
      </c>
      <c r="F77" s="88">
        <v>0</v>
      </c>
      <c r="G77" s="88">
        <f t="shared" si="21"/>
        <v>0</v>
      </c>
      <c r="H77" s="88"/>
      <c r="I77" s="88">
        <v>0</v>
      </c>
      <c r="J77" s="88">
        <f t="shared" si="22"/>
        <v>102736</v>
      </c>
      <c r="K77" s="88">
        <f t="shared" si="23"/>
        <v>127000</v>
      </c>
      <c r="L77" s="450" t="s">
        <v>6</v>
      </c>
      <c r="N77" s="51">
        <v>0</v>
      </c>
    </row>
    <row r="78" spans="1:14" ht="14.25" customHeight="1" x14ac:dyDescent="0.2">
      <c r="A78" s="93" t="s">
        <v>194</v>
      </c>
      <c r="B78" s="88" t="s">
        <v>343</v>
      </c>
      <c r="C78" s="88">
        <v>370682</v>
      </c>
      <c r="D78" s="88">
        <v>251182</v>
      </c>
      <c r="E78" s="88">
        <v>241182</v>
      </c>
      <c r="F78" s="88">
        <v>11736.56</v>
      </c>
      <c r="G78" s="88">
        <f t="shared" si="21"/>
        <v>17925.29</v>
      </c>
      <c r="H78" s="88">
        <v>1016.41</v>
      </c>
      <c r="I78" s="88">
        <v>133.75</v>
      </c>
      <c r="J78" s="88">
        <f t="shared" si="22"/>
        <v>223256.71</v>
      </c>
      <c r="K78" s="88">
        <f t="shared" si="23"/>
        <v>233256.71</v>
      </c>
      <c r="L78" s="450">
        <f>+G78*100/E78</f>
        <v>7.4322669187584482</v>
      </c>
      <c r="N78" s="51">
        <v>6188.73</v>
      </c>
    </row>
    <row r="79" spans="1:14" ht="12.75" customHeight="1" x14ac:dyDescent="0.2">
      <c r="A79" s="86">
        <v>183</v>
      </c>
      <c r="B79" s="88" t="s">
        <v>344</v>
      </c>
      <c r="C79" s="88">
        <v>25883</v>
      </c>
      <c r="D79" s="88">
        <v>20883</v>
      </c>
      <c r="E79" s="88">
        <v>20883</v>
      </c>
      <c r="F79" s="88">
        <v>0</v>
      </c>
      <c r="G79" s="88">
        <f t="shared" si="21"/>
        <v>0</v>
      </c>
      <c r="H79" s="88"/>
      <c r="I79" s="88">
        <v>0</v>
      </c>
      <c r="J79" s="88">
        <f t="shared" si="22"/>
        <v>20883</v>
      </c>
      <c r="K79" s="88">
        <f t="shared" si="23"/>
        <v>20883</v>
      </c>
      <c r="L79" s="450"/>
      <c r="N79" s="51">
        <v>0</v>
      </c>
    </row>
    <row r="80" spans="1:14" ht="12" customHeight="1" x14ac:dyDescent="0.2">
      <c r="A80" s="86">
        <v>184</v>
      </c>
      <c r="B80" s="88" t="s">
        <v>345</v>
      </c>
      <c r="C80" s="88">
        <v>58665</v>
      </c>
      <c r="D80" s="88">
        <v>28165</v>
      </c>
      <c r="E80" s="88">
        <v>23165</v>
      </c>
      <c r="F80" s="88">
        <v>0</v>
      </c>
      <c r="G80" s="88">
        <f t="shared" si="21"/>
        <v>0</v>
      </c>
      <c r="H80" s="88"/>
      <c r="I80" s="88">
        <v>0</v>
      </c>
      <c r="J80" s="88">
        <f t="shared" si="22"/>
        <v>23165</v>
      </c>
      <c r="K80" s="88">
        <f t="shared" si="23"/>
        <v>28165</v>
      </c>
      <c r="L80" s="450"/>
      <c r="N80" s="51">
        <v>0</v>
      </c>
    </row>
    <row r="81" spans="1:14" ht="12.75" customHeight="1" x14ac:dyDescent="0.2">
      <c r="A81" s="86">
        <v>185</v>
      </c>
      <c r="B81" s="88" t="s">
        <v>352</v>
      </c>
      <c r="C81" s="88">
        <v>24831</v>
      </c>
      <c r="D81" s="88">
        <v>24831</v>
      </c>
      <c r="E81" s="88">
        <v>24831</v>
      </c>
      <c r="F81" s="88">
        <v>8856.93</v>
      </c>
      <c r="G81" s="88">
        <v>9739.68</v>
      </c>
      <c r="H81" s="88"/>
      <c r="I81" s="88">
        <v>0</v>
      </c>
      <c r="J81" s="88">
        <f t="shared" si="22"/>
        <v>15091.32</v>
      </c>
      <c r="K81" s="88">
        <f t="shared" si="23"/>
        <v>15091.32</v>
      </c>
      <c r="L81" s="450"/>
      <c r="N81" s="51">
        <v>882.75</v>
      </c>
    </row>
    <row r="82" spans="1:14" ht="13.5" customHeight="1" x14ac:dyDescent="0.2">
      <c r="A82" s="86">
        <v>189</v>
      </c>
      <c r="B82" s="87" t="s">
        <v>195</v>
      </c>
      <c r="C82" s="88">
        <v>379560</v>
      </c>
      <c r="D82" s="88">
        <v>368060</v>
      </c>
      <c r="E82" s="88">
        <v>261815</v>
      </c>
      <c r="F82" s="88">
        <v>10158.77</v>
      </c>
      <c r="G82" s="88">
        <f t="shared" si="21"/>
        <v>15399.630000000001</v>
      </c>
      <c r="H82" s="88">
        <v>48.15</v>
      </c>
      <c r="I82" s="88">
        <v>0</v>
      </c>
      <c r="J82" s="88">
        <f t="shared" si="22"/>
        <v>246415.37</v>
      </c>
      <c r="K82" s="88">
        <f t="shared" si="23"/>
        <v>352660.37</v>
      </c>
      <c r="L82" s="450"/>
      <c r="N82" s="51">
        <v>5240.8599999999997</v>
      </c>
    </row>
    <row r="83" spans="1:14" ht="13.5" customHeight="1" x14ac:dyDescent="0.2">
      <c r="A83" s="96">
        <v>190</v>
      </c>
      <c r="B83" s="90" t="s">
        <v>407</v>
      </c>
      <c r="C83" s="91">
        <f>+C85+C89</f>
        <v>0</v>
      </c>
      <c r="D83" s="91">
        <f>SUM(D84:D92)</f>
        <v>35300</v>
      </c>
      <c r="E83" s="91">
        <f>SUM(E84:E92)</f>
        <v>35300</v>
      </c>
      <c r="F83" s="91">
        <f>SUM(F84:F93)</f>
        <v>337.15999999999997</v>
      </c>
      <c r="G83" s="91">
        <f>N83+F83</f>
        <v>337.15999999999997</v>
      </c>
      <c r="H83" s="91">
        <f>SUM(H84:H92)</f>
        <v>337.15999999999997</v>
      </c>
      <c r="I83" s="91">
        <f>SUM(I84:I92)</f>
        <v>314.15999999999997</v>
      </c>
      <c r="J83" s="91">
        <f t="shared" si="22"/>
        <v>34962.839999999997</v>
      </c>
      <c r="K83" s="91">
        <f t="shared" si="23"/>
        <v>34962.839999999997</v>
      </c>
      <c r="L83" s="449">
        <f>+G83*100/E83</f>
        <v>0.95512747875354109</v>
      </c>
      <c r="N83" s="51">
        <v>0</v>
      </c>
    </row>
    <row r="84" spans="1:14" ht="13.5" customHeight="1" x14ac:dyDescent="0.2">
      <c r="A84" s="97">
        <v>191</v>
      </c>
      <c r="B84" s="87" t="s">
        <v>416</v>
      </c>
      <c r="C84" s="91"/>
      <c r="D84" s="88">
        <f>SUM(C84:C84)</f>
        <v>0</v>
      </c>
      <c r="E84" s="88">
        <v>0</v>
      </c>
      <c r="F84" s="91">
        <v>0</v>
      </c>
      <c r="G84" s="88">
        <f>+N84+F84</f>
        <v>0</v>
      </c>
      <c r="H84" s="88"/>
      <c r="I84" s="88"/>
      <c r="J84" s="91"/>
      <c r="K84" s="91"/>
      <c r="L84" s="450"/>
      <c r="N84" s="51">
        <v>0</v>
      </c>
    </row>
    <row r="85" spans="1:14" ht="12.75" customHeight="1" x14ac:dyDescent="0.2">
      <c r="A85" s="97">
        <v>192</v>
      </c>
      <c r="B85" s="87" t="s">
        <v>408</v>
      </c>
      <c r="C85" s="88"/>
      <c r="D85" s="88">
        <v>6200</v>
      </c>
      <c r="E85" s="88">
        <v>6200</v>
      </c>
      <c r="F85" s="88"/>
      <c r="G85" s="88"/>
      <c r="H85" s="88"/>
      <c r="I85" s="88"/>
      <c r="J85" s="88">
        <f>+E85-G85</f>
        <v>6200</v>
      </c>
      <c r="K85" s="88">
        <f>+D85-G85</f>
        <v>6200</v>
      </c>
      <c r="L85" s="450">
        <f>+G85*100/E85</f>
        <v>0</v>
      </c>
      <c r="N85" s="51"/>
    </row>
    <row r="86" spans="1:14" ht="13.5" hidden="1" customHeight="1" x14ac:dyDescent="0.2">
      <c r="A86" s="97">
        <v>193</v>
      </c>
      <c r="B86" s="87" t="s">
        <v>417</v>
      </c>
      <c r="C86" s="88"/>
      <c r="D86" s="88"/>
      <c r="E86" s="88">
        <v>0</v>
      </c>
      <c r="F86" s="88"/>
      <c r="G86" s="88"/>
      <c r="H86" s="88"/>
      <c r="I86" s="88"/>
      <c r="J86" s="88">
        <f>+E86-G86</f>
        <v>0</v>
      </c>
      <c r="K86" s="88">
        <f>+D86-G86</f>
        <v>0</v>
      </c>
      <c r="L86" s="450" t="s">
        <v>6</v>
      </c>
      <c r="N86" s="51"/>
    </row>
    <row r="87" spans="1:14" ht="13.5" customHeight="1" x14ac:dyDescent="0.2">
      <c r="A87" s="97">
        <v>194</v>
      </c>
      <c r="B87" s="87" t="s">
        <v>558</v>
      </c>
      <c r="C87" s="88"/>
      <c r="D87" s="88">
        <v>100</v>
      </c>
      <c r="E87" s="88">
        <v>100</v>
      </c>
      <c r="F87" s="88"/>
      <c r="G87" s="88"/>
      <c r="H87" s="88"/>
      <c r="I87" s="88"/>
      <c r="J87" s="88">
        <f>+E87-G87</f>
        <v>100</v>
      </c>
      <c r="K87" s="88"/>
      <c r="L87" s="450"/>
      <c r="N87" s="51"/>
    </row>
    <row r="88" spans="1:14" ht="13.5" customHeight="1" x14ac:dyDescent="0.2">
      <c r="A88" s="97">
        <v>195</v>
      </c>
      <c r="B88" s="87" t="s">
        <v>418</v>
      </c>
      <c r="C88" s="88"/>
      <c r="D88" s="88">
        <v>4000</v>
      </c>
      <c r="E88" s="88">
        <v>4000</v>
      </c>
      <c r="F88" s="88">
        <v>128</v>
      </c>
      <c r="G88" s="88">
        <f t="shared" ref="G88:G89" si="26">N88+F88</f>
        <v>128</v>
      </c>
      <c r="H88" s="88">
        <v>128</v>
      </c>
      <c r="I88" s="88">
        <v>128</v>
      </c>
      <c r="J88" s="88"/>
      <c r="K88" s="88"/>
      <c r="L88" s="450">
        <f>+G88*100/E88</f>
        <v>3.2</v>
      </c>
      <c r="N88" s="51"/>
    </row>
    <row r="89" spans="1:14" ht="13.5" customHeight="1" x14ac:dyDescent="0.2">
      <c r="A89" s="97">
        <v>196</v>
      </c>
      <c r="B89" s="87" t="s">
        <v>409</v>
      </c>
      <c r="C89" s="88"/>
      <c r="D89" s="88">
        <v>4000</v>
      </c>
      <c r="E89" s="88">
        <v>4000</v>
      </c>
      <c r="F89" s="88">
        <v>189.16</v>
      </c>
      <c r="G89" s="88">
        <f t="shared" si="26"/>
        <v>189.16</v>
      </c>
      <c r="H89" s="88">
        <v>189.16</v>
      </c>
      <c r="I89" s="88">
        <v>186.16</v>
      </c>
      <c r="J89" s="88">
        <f>+E89-G89</f>
        <v>3810.84</v>
      </c>
      <c r="K89" s="88">
        <f>+D89-G89</f>
        <v>3810.84</v>
      </c>
      <c r="L89" s="450">
        <f>+G89*100/E89</f>
        <v>4.7290000000000001</v>
      </c>
      <c r="N89" s="51"/>
    </row>
    <row r="90" spans="1:14" ht="13.5" customHeight="1" x14ac:dyDescent="0.2">
      <c r="A90" s="97">
        <v>197</v>
      </c>
      <c r="B90" s="87" t="s">
        <v>419</v>
      </c>
      <c r="C90" s="88"/>
      <c r="D90" s="88">
        <v>15000</v>
      </c>
      <c r="E90" s="88">
        <v>15000</v>
      </c>
      <c r="F90" s="88">
        <v>20</v>
      </c>
      <c r="G90" s="88">
        <f>N90+F90</f>
        <v>20</v>
      </c>
      <c r="H90" s="88">
        <v>20</v>
      </c>
      <c r="I90" s="88"/>
      <c r="J90" s="88">
        <f>+E90-G90</f>
        <v>14980</v>
      </c>
      <c r="K90" s="88">
        <f>+D90-G90</f>
        <v>14980</v>
      </c>
      <c r="L90" s="450"/>
      <c r="N90" s="51">
        <v>0</v>
      </c>
    </row>
    <row r="91" spans="1:14" ht="0.75" customHeight="1" x14ac:dyDescent="0.2">
      <c r="A91" s="97">
        <v>198</v>
      </c>
      <c r="B91" s="87" t="s">
        <v>417</v>
      </c>
      <c r="C91" s="100"/>
      <c r="D91" s="88"/>
      <c r="E91" s="88"/>
      <c r="F91" s="88"/>
      <c r="G91" s="88"/>
      <c r="H91" s="88"/>
      <c r="I91" s="88"/>
      <c r="J91" s="88">
        <f>+E91-G91</f>
        <v>0</v>
      </c>
      <c r="K91" s="88"/>
      <c r="L91" s="450"/>
      <c r="N91" s="51"/>
    </row>
    <row r="92" spans="1:14" ht="13.5" customHeight="1" x14ac:dyDescent="0.2">
      <c r="A92" s="98">
        <v>199</v>
      </c>
      <c r="B92" s="105" t="s">
        <v>420</v>
      </c>
      <c r="C92" s="106"/>
      <c r="D92" s="88">
        <v>6000</v>
      </c>
      <c r="E92" s="88">
        <v>6000</v>
      </c>
      <c r="F92" s="88"/>
      <c r="G92" s="88">
        <f>N92+F92</f>
        <v>0</v>
      </c>
      <c r="H92" s="88"/>
      <c r="I92" s="88" t="s">
        <v>6</v>
      </c>
      <c r="J92" s="88">
        <f>+E92-G92</f>
        <v>6000</v>
      </c>
      <c r="K92" s="88">
        <f>+D92-G92</f>
        <v>6000</v>
      </c>
      <c r="L92" s="450"/>
      <c r="N92" s="51">
        <v>0</v>
      </c>
    </row>
    <row r="93" spans="1:14" ht="15" customHeight="1" thickBot="1" x14ac:dyDescent="0.25">
      <c r="A93" s="97"/>
      <c r="B93" s="107"/>
      <c r="C93" s="108"/>
      <c r="D93" s="108"/>
      <c r="E93" s="108"/>
      <c r="F93" s="108"/>
      <c r="G93" s="108"/>
      <c r="H93" s="108"/>
      <c r="I93" s="108"/>
      <c r="J93" s="108"/>
      <c r="K93" s="108"/>
      <c r="L93" s="450"/>
      <c r="N93" s="51"/>
    </row>
    <row r="94" spans="1:14" ht="15.75" customHeight="1" thickBot="1" x14ac:dyDescent="0.25">
      <c r="A94" s="130" t="s">
        <v>197</v>
      </c>
      <c r="B94" s="130" t="s">
        <v>198</v>
      </c>
      <c r="C94" s="131">
        <f>+C95+C98+C104+C110+C114+C120+C128+C134+C143+C144</f>
        <v>3342561</v>
      </c>
      <c r="D94" s="131">
        <f>+D95+D98+D104+D110+D114+D120+D128+D134+D143+D144</f>
        <v>3748061</v>
      </c>
      <c r="E94" s="131">
        <f>+E95+E98+E104+E110+E114+E120+E128+E134+E143+E144</f>
        <v>2908787</v>
      </c>
      <c r="F94" s="132">
        <f>+F95+F98+F104+F110+F114+F120+F128+F134+F143+F144</f>
        <v>355516.75999999995</v>
      </c>
      <c r="G94" s="132">
        <f>N94+F94</f>
        <v>475667.25999999995</v>
      </c>
      <c r="H94" s="131">
        <f>+H95+H98+H104+H110+H114+H120+H128+H134+H143+H144</f>
        <v>59050.91</v>
      </c>
      <c r="I94" s="131">
        <f>+I95+I98+I104+I110+I114+I120+I128+I134+I143+I144</f>
        <v>16725</v>
      </c>
      <c r="J94" s="133">
        <f>+E94-G94+1</f>
        <v>2433120.7400000002</v>
      </c>
      <c r="K94" s="131">
        <f t="shared" ref="K94:K125" si="27">+D94-G94</f>
        <v>3272393.74</v>
      </c>
      <c r="L94" s="452">
        <f t="shared" ref="L94:L114" si="28">+G94*100/E94</f>
        <v>16.352770415984391</v>
      </c>
      <c r="N94" s="51">
        <v>120150.5</v>
      </c>
    </row>
    <row r="95" spans="1:14" ht="16.5" customHeight="1" x14ac:dyDescent="0.2">
      <c r="A95" s="99" t="s">
        <v>199</v>
      </c>
      <c r="B95" s="137" t="s">
        <v>200</v>
      </c>
      <c r="C95" s="138">
        <f>SUM(C96:C97)</f>
        <v>185018</v>
      </c>
      <c r="D95" s="138">
        <f>SUM(D96:D97)</f>
        <v>162018</v>
      </c>
      <c r="E95" s="138">
        <f>SUM(E96:E97)</f>
        <v>101430</v>
      </c>
      <c r="F95" s="109">
        <f>SUM(F96:F97)</f>
        <v>2457.0299999999997</v>
      </c>
      <c r="G95" s="110">
        <f>N95+F95</f>
        <v>3200.5299999999997</v>
      </c>
      <c r="H95" s="138">
        <f t="shared" ref="H95" si="29">SUM(H96:H97)</f>
        <v>1880.04</v>
      </c>
      <c r="I95" s="138">
        <f t="shared" ref="I95" si="30">SUM(I96:I97)</f>
        <v>817.67</v>
      </c>
      <c r="J95" s="110">
        <f t="shared" ref="J95:J102" si="31">+E95-G95</f>
        <v>98229.47</v>
      </c>
      <c r="K95" s="138">
        <f t="shared" si="27"/>
        <v>158817.47</v>
      </c>
      <c r="L95" s="453">
        <f t="shared" si="28"/>
        <v>3.1554076703145024</v>
      </c>
      <c r="N95" s="51">
        <v>743.5</v>
      </c>
    </row>
    <row r="96" spans="1:14" ht="13.5" customHeight="1" x14ac:dyDescent="0.2">
      <c r="A96" s="100" t="s">
        <v>201</v>
      </c>
      <c r="B96" s="113" t="s">
        <v>202</v>
      </c>
      <c r="C96" s="113">
        <v>168849</v>
      </c>
      <c r="D96" s="113">
        <v>144849</v>
      </c>
      <c r="E96" s="139">
        <v>84261</v>
      </c>
      <c r="F96" s="111">
        <v>844.75</v>
      </c>
      <c r="G96" s="88">
        <f t="shared" ref="G96:G127" si="32">+N96+F96</f>
        <v>844.75</v>
      </c>
      <c r="H96" s="88">
        <v>683.5</v>
      </c>
      <c r="I96" s="113">
        <v>805.75</v>
      </c>
      <c r="J96" s="88">
        <f t="shared" si="31"/>
        <v>83416.25</v>
      </c>
      <c r="K96" s="113">
        <f t="shared" si="27"/>
        <v>144004.25</v>
      </c>
      <c r="L96" s="454">
        <f t="shared" si="28"/>
        <v>1.0025397277506793</v>
      </c>
      <c r="N96" s="51">
        <v>0</v>
      </c>
    </row>
    <row r="97" spans="1:14" ht="13.5" customHeight="1" x14ac:dyDescent="0.2">
      <c r="A97" s="97" t="s">
        <v>203</v>
      </c>
      <c r="B97" s="140" t="s">
        <v>204</v>
      </c>
      <c r="C97" s="113">
        <v>16169</v>
      </c>
      <c r="D97" s="113">
        <v>17169</v>
      </c>
      <c r="E97" s="100">
        <v>17169</v>
      </c>
      <c r="F97" s="111">
        <v>1612.28</v>
      </c>
      <c r="G97" s="88">
        <f t="shared" si="32"/>
        <v>2355.7799999999997</v>
      </c>
      <c r="H97" s="88">
        <v>1196.54</v>
      </c>
      <c r="I97" s="113">
        <v>11.92</v>
      </c>
      <c r="J97" s="88">
        <f t="shared" si="31"/>
        <v>14813.220000000001</v>
      </c>
      <c r="K97" s="113">
        <f t="shared" si="27"/>
        <v>14813.220000000001</v>
      </c>
      <c r="L97" s="454">
        <f t="shared" si="28"/>
        <v>13.721125283941987</v>
      </c>
      <c r="N97" s="51">
        <v>743.5</v>
      </c>
    </row>
    <row r="98" spans="1:14" x14ac:dyDescent="0.2">
      <c r="A98" s="101" t="s">
        <v>205</v>
      </c>
      <c r="B98" s="124" t="s">
        <v>206</v>
      </c>
      <c r="C98" s="124">
        <f>SUM(C99:C103)</f>
        <v>196410</v>
      </c>
      <c r="D98" s="124">
        <f>SUM(D99:D103)</f>
        <v>242510</v>
      </c>
      <c r="E98" s="112">
        <f>SUM(E99:E103)</f>
        <v>201725</v>
      </c>
      <c r="F98" s="112">
        <f>SUM(F99:F103)</f>
        <v>5102.84</v>
      </c>
      <c r="G98" s="91">
        <f t="shared" si="32"/>
        <v>5520.14</v>
      </c>
      <c r="H98" s="112">
        <f>SUM(H99:H103)</f>
        <v>2263.1000000000004</v>
      </c>
      <c r="I98" s="112">
        <f t="shared" ref="I98" si="33">SUM(I99:I103)</f>
        <v>0</v>
      </c>
      <c r="J98" s="91">
        <f t="shared" si="31"/>
        <v>196204.86</v>
      </c>
      <c r="K98" s="124">
        <f t="shared" si="27"/>
        <v>236989.86</v>
      </c>
      <c r="L98" s="454">
        <f t="shared" si="28"/>
        <v>2.7364679638121205</v>
      </c>
      <c r="N98" s="51">
        <v>417.3</v>
      </c>
    </row>
    <row r="99" spans="1:14" ht="12" customHeight="1" x14ac:dyDescent="0.2">
      <c r="A99" s="100" t="s">
        <v>207</v>
      </c>
      <c r="B99" s="113" t="s">
        <v>208</v>
      </c>
      <c r="C99" s="113">
        <v>32960</v>
      </c>
      <c r="D99" s="113">
        <v>38660</v>
      </c>
      <c r="E99" s="100">
        <v>37660</v>
      </c>
      <c r="F99" s="111">
        <v>1324.44</v>
      </c>
      <c r="G99" s="88">
        <f t="shared" si="32"/>
        <v>1324.44</v>
      </c>
      <c r="H99" s="88">
        <v>1324.44</v>
      </c>
      <c r="I99" s="113">
        <v>0</v>
      </c>
      <c r="J99" s="88">
        <f t="shared" si="31"/>
        <v>36335.56</v>
      </c>
      <c r="K99" s="113">
        <f t="shared" si="27"/>
        <v>37335.56</v>
      </c>
      <c r="L99" s="454">
        <f t="shared" si="28"/>
        <v>3.5168348380244292</v>
      </c>
      <c r="N99" s="51">
        <v>0</v>
      </c>
    </row>
    <row r="100" spans="1:14" ht="12" customHeight="1" x14ac:dyDescent="0.2">
      <c r="A100" s="97" t="s">
        <v>209</v>
      </c>
      <c r="B100" s="140" t="s">
        <v>210</v>
      </c>
      <c r="C100" s="113">
        <v>37749</v>
      </c>
      <c r="D100" s="113">
        <v>37749</v>
      </c>
      <c r="E100" s="100">
        <v>24782</v>
      </c>
      <c r="F100" s="111">
        <v>144.29</v>
      </c>
      <c r="G100" s="88">
        <f t="shared" si="32"/>
        <v>144.29</v>
      </c>
      <c r="H100" s="88">
        <v>144.29</v>
      </c>
      <c r="I100" s="113">
        <v>0</v>
      </c>
      <c r="J100" s="88">
        <f t="shared" si="31"/>
        <v>24637.71</v>
      </c>
      <c r="K100" s="113">
        <f t="shared" si="27"/>
        <v>37604.71</v>
      </c>
      <c r="L100" s="454">
        <f t="shared" si="28"/>
        <v>0.58223710757808089</v>
      </c>
      <c r="N100" s="51">
        <v>0</v>
      </c>
    </row>
    <row r="101" spans="1:14" ht="12" customHeight="1" x14ac:dyDescent="0.2">
      <c r="A101" s="97" t="s">
        <v>211</v>
      </c>
      <c r="B101" s="140" t="s">
        <v>212</v>
      </c>
      <c r="C101" s="113">
        <v>40776</v>
      </c>
      <c r="D101" s="113">
        <v>35776</v>
      </c>
      <c r="E101" s="100">
        <v>28551</v>
      </c>
      <c r="F101" s="111"/>
      <c r="G101" s="88">
        <f t="shared" si="32"/>
        <v>417.3</v>
      </c>
      <c r="H101" s="88">
        <v>417.3</v>
      </c>
      <c r="I101" s="113">
        <v>0</v>
      </c>
      <c r="J101" s="88">
        <f t="shared" si="31"/>
        <v>28133.7</v>
      </c>
      <c r="K101" s="113">
        <f t="shared" si="27"/>
        <v>35358.699999999997</v>
      </c>
      <c r="L101" s="454">
        <f t="shared" si="28"/>
        <v>1.4615950404539246</v>
      </c>
      <c r="N101" s="51">
        <v>417.3</v>
      </c>
    </row>
    <row r="102" spans="1:14" ht="13.5" customHeight="1" x14ac:dyDescent="0.2">
      <c r="A102" s="97" t="s">
        <v>213</v>
      </c>
      <c r="B102" s="140" t="s">
        <v>214</v>
      </c>
      <c r="C102" s="113">
        <v>81833</v>
      </c>
      <c r="D102" s="113">
        <v>126833</v>
      </c>
      <c r="E102" s="100">
        <v>107240</v>
      </c>
      <c r="F102" s="111">
        <v>3621.27</v>
      </c>
      <c r="G102" s="88">
        <f t="shared" si="32"/>
        <v>3621.27</v>
      </c>
      <c r="H102" s="88">
        <v>364.23</v>
      </c>
      <c r="I102" s="113">
        <v>0</v>
      </c>
      <c r="J102" s="88">
        <f t="shared" si="31"/>
        <v>103618.73</v>
      </c>
      <c r="K102" s="113">
        <f t="shared" si="27"/>
        <v>123211.73</v>
      </c>
      <c r="L102" s="454">
        <f t="shared" si="28"/>
        <v>3.3767903767251024</v>
      </c>
      <c r="N102" s="51">
        <v>0</v>
      </c>
    </row>
    <row r="103" spans="1:14" ht="13.5" customHeight="1" x14ac:dyDescent="0.2">
      <c r="A103" s="97" t="s">
        <v>215</v>
      </c>
      <c r="B103" s="140" t="s">
        <v>216</v>
      </c>
      <c r="C103" s="88">
        <v>3092</v>
      </c>
      <c r="D103" s="88">
        <v>3492</v>
      </c>
      <c r="E103" s="100">
        <v>3492</v>
      </c>
      <c r="F103" s="111">
        <v>12.84</v>
      </c>
      <c r="G103" s="88">
        <f t="shared" si="32"/>
        <v>12.84</v>
      </c>
      <c r="H103" s="88">
        <v>12.84</v>
      </c>
      <c r="I103" s="113" t="s">
        <v>6</v>
      </c>
      <c r="J103" s="88" t="s">
        <v>6</v>
      </c>
      <c r="K103" s="113">
        <f t="shared" si="27"/>
        <v>3479.16</v>
      </c>
      <c r="L103" s="454">
        <f t="shared" si="28"/>
        <v>0.36769759450171824</v>
      </c>
      <c r="N103" s="51">
        <v>0</v>
      </c>
    </row>
    <row r="104" spans="1:14" ht="20.25" customHeight="1" x14ac:dyDescent="0.2">
      <c r="A104" s="102" t="s">
        <v>217</v>
      </c>
      <c r="B104" s="138" t="s">
        <v>218</v>
      </c>
      <c r="C104" s="138">
        <f>SUM(C105:C109)</f>
        <v>661282</v>
      </c>
      <c r="D104" s="138">
        <f>SUM(D105:D109)</f>
        <v>598582</v>
      </c>
      <c r="E104" s="109">
        <f>SUM(E105:E109)</f>
        <v>583735</v>
      </c>
      <c r="F104" s="109">
        <f>SUM(F105:F109)</f>
        <v>192394.25</v>
      </c>
      <c r="G104" s="109">
        <f t="shared" si="32"/>
        <v>242771.74</v>
      </c>
      <c r="H104" s="109">
        <f t="shared" ref="H104" si="34">SUM(H105:H109)</f>
        <v>698.31</v>
      </c>
      <c r="I104" s="109">
        <f t="shared" ref="I104" si="35">SUM(I105:I109)</f>
        <v>555.62</v>
      </c>
      <c r="J104" s="110">
        <f>+E104-G104</f>
        <v>340963.26</v>
      </c>
      <c r="K104" s="138">
        <f t="shared" si="27"/>
        <v>355810.26</v>
      </c>
      <c r="L104" s="454">
        <f t="shared" si="28"/>
        <v>41.589375315853943</v>
      </c>
      <c r="M104" s="7"/>
      <c r="N104" s="51">
        <v>50377.49</v>
      </c>
    </row>
    <row r="105" spans="1:14" ht="12" customHeight="1" x14ac:dyDescent="0.2">
      <c r="A105" s="100" t="s">
        <v>219</v>
      </c>
      <c r="B105" s="113" t="s">
        <v>220</v>
      </c>
      <c r="C105" s="113">
        <v>359850</v>
      </c>
      <c r="D105" s="113">
        <v>359850</v>
      </c>
      <c r="E105" s="100">
        <v>359850</v>
      </c>
      <c r="F105" s="111">
        <v>144000</v>
      </c>
      <c r="G105" s="88">
        <f t="shared" si="32"/>
        <v>183868</v>
      </c>
      <c r="H105" s="88"/>
      <c r="I105" s="113">
        <v>0</v>
      </c>
      <c r="J105" s="88">
        <f>+E105-G105</f>
        <v>175982</v>
      </c>
      <c r="K105" s="113">
        <f t="shared" si="27"/>
        <v>175982</v>
      </c>
      <c r="L105" s="454">
        <f t="shared" si="28"/>
        <v>51.095734333750173</v>
      </c>
      <c r="N105" s="51">
        <v>39868</v>
      </c>
    </row>
    <row r="106" spans="1:14" ht="12" customHeight="1" x14ac:dyDescent="0.2">
      <c r="A106" s="97">
        <v>222</v>
      </c>
      <c r="B106" s="113" t="s">
        <v>330</v>
      </c>
      <c r="C106" s="113">
        <v>71432</v>
      </c>
      <c r="D106" s="113">
        <v>83432</v>
      </c>
      <c r="E106" s="139">
        <v>83432</v>
      </c>
      <c r="F106" s="111">
        <v>10935.48</v>
      </c>
      <c r="G106" s="88">
        <f t="shared" si="32"/>
        <v>11284.619999999999</v>
      </c>
      <c r="H106" s="88">
        <v>349.14</v>
      </c>
      <c r="I106" s="113">
        <v>349.14</v>
      </c>
      <c r="J106" s="88">
        <v>11127.96</v>
      </c>
      <c r="K106" s="113">
        <f t="shared" si="27"/>
        <v>72147.38</v>
      </c>
      <c r="L106" s="454">
        <f t="shared" si="28"/>
        <v>13.525529772749065</v>
      </c>
      <c r="N106" s="51">
        <v>349.14</v>
      </c>
    </row>
    <row r="107" spans="1:14" ht="16.149999999999999" customHeight="1" x14ac:dyDescent="0.2">
      <c r="A107" s="97" t="s">
        <v>221</v>
      </c>
      <c r="B107" s="140" t="s">
        <v>222</v>
      </c>
      <c r="C107" s="113">
        <v>150000</v>
      </c>
      <c r="D107" s="113">
        <v>92300</v>
      </c>
      <c r="E107" s="100">
        <v>92300</v>
      </c>
      <c r="F107" s="111">
        <v>34430</v>
      </c>
      <c r="G107" s="88">
        <f t="shared" si="32"/>
        <v>44558.75</v>
      </c>
      <c r="H107" s="88"/>
      <c r="I107" s="113">
        <v>0</v>
      </c>
      <c r="J107" s="88">
        <f t="shared" ref="J107:J125" si="36">+E107-G107</f>
        <v>47741.25</v>
      </c>
      <c r="K107" s="113">
        <f t="shared" si="27"/>
        <v>47741.25</v>
      </c>
      <c r="L107" s="454">
        <f t="shared" si="28"/>
        <v>48.276002166847235</v>
      </c>
      <c r="N107" s="51">
        <v>10128.75</v>
      </c>
    </row>
    <row r="108" spans="1:14" ht="14.25" customHeight="1" x14ac:dyDescent="0.2">
      <c r="A108" s="97" t="s">
        <v>223</v>
      </c>
      <c r="B108" s="140" t="s">
        <v>224</v>
      </c>
      <c r="C108" s="113">
        <v>50000</v>
      </c>
      <c r="D108" s="113">
        <v>43000</v>
      </c>
      <c r="E108" s="100">
        <v>28153</v>
      </c>
      <c r="F108" s="111">
        <v>2878.77</v>
      </c>
      <c r="G108" s="88">
        <f t="shared" si="32"/>
        <v>2910.37</v>
      </c>
      <c r="H108" s="88">
        <v>338.18</v>
      </c>
      <c r="I108" s="113">
        <v>206.48</v>
      </c>
      <c r="J108" s="88">
        <f t="shared" si="36"/>
        <v>25242.63</v>
      </c>
      <c r="K108" s="113">
        <f t="shared" si="27"/>
        <v>40089.629999999997</v>
      </c>
      <c r="L108" s="454">
        <f t="shared" si="28"/>
        <v>10.337690477036196</v>
      </c>
      <c r="N108" s="51">
        <v>31.6</v>
      </c>
    </row>
    <row r="109" spans="1:14" ht="14.45" customHeight="1" x14ac:dyDescent="0.2">
      <c r="A109" s="97">
        <v>229</v>
      </c>
      <c r="B109" s="140" t="s">
        <v>225</v>
      </c>
      <c r="C109" s="113">
        <v>30000</v>
      </c>
      <c r="D109" s="113">
        <v>20000</v>
      </c>
      <c r="E109" s="100">
        <v>20000</v>
      </c>
      <c r="F109" s="111">
        <v>150</v>
      </c>
      <c r="G109" s="88">
        <f t="shared" si="32"/>
        <v>150</v>
      </c>
      <c r="H109" s="88">
        <v>10.99</v>
      </c>
      <c r="I109" s="113">
        <v>0</v>
      </c>
      <c r="J109" s="88">
        <f t="shared" si="36"/>
        <v>19850</v>
      </c>
      <c r="K109" s="113">
        <f t="shared" si="27"/>
        <v>19850</v>
      </c>
      <c r="L109" s="454">
        <f t="shared" si="28"/>
        <v>0.75</v>
      </c>
      <c r="N109" s="51">
        <v>0</v>
      </c>
    </row>
    <row r="110" spans="1:14" ht="16.5" customHeight="1" x14ac:dyDescent="0.2">
      <c r="A110" s="102" t="s">
        <v>226</v>
      </c>
      <c r="B110" s="138" t="s">
        <v>227</v>
      </c>
      <c r="C110" s="138">
        <f>SUM(C111:C113)</f>
        <v>249812</v>
      </c>
      <c r="D110" s="138">
        <f>SUM(D111:D113)</f>
        <v>237812</v>
      </c>
      <c r="E110" s="109">
        <f>SUM(E111:E113)</f>
        <v>157430</v>
      </c>
      <c r="F110" s="109">
        <f>SUM(F111:F113)</f>
        <v>13052.34</v>
      </c>
      <c r="G110" s="91">
        <f t="shared" si="32"/>
        <v>13216.91</v>
      </c>
      <c r="H110" s="109">
        <f t="shared" ref="H110" si="37">SUM(H111:H113)</f>
        <v>2730.03</v>
      </c>
      <c r="I110" s="109">
        <f t="shared" ref="I110" si="38">SUM(I111:I113)</f>
        <v>2474.85</v>
      </c>
      <c r="J110" s="110">
        <f t="shared" si="36"/>
        <v>144213.09</v>
      </c>
      <c r="K110" s="138">
        <f t="shared" si="27"/>
        <v>224595.09</v>
      </c>
      <c r="L110" s="453">
        <f t="shared" si="28"/>
        <v>8.3954201867496661</v>
      </c>
      <c r="N110" s="51">
        <v>164.57</v>
      </c>
    </row>
    <row r="111" spans="1:14" ht="12.75" customHeight="1" x14ac:dyDescent="0.2">
      <c r="A111" s="100" t="s">
        <v>228</v>
      </c>
      <c r="B111" s="113" t="s">
        <v>229</v>
      </c>
      <c r="C111" s="113">
        <v>47890</v>
      </c>
      <c r="D111" s="113">
        <v>42890</v>
      </c>
      <c r="E111" s="100">
        <v>42890</v>
      </c>
      <c r="F111" s="111">
        <v>6445.34</v>
      </c>
      <c r="G111" s="88">
        <f t="shared" si="32"/>
        <v>6445.34</v>
      </c>
      <c r="H111" s="88">
        <v>4.8</v>
      </c>
      <c r="I111" s="113">
        <v>0</v>
      </c>
      <c r="J111" s="88">
        <f t="shared" si="36"/>
        <v>36444.660000000003</v>
      </c>
      <c r="K111" s="113">
        <f t="shared" si="27"/>
        <v>36444.660000000003</v>
      </c>
      <c r="L111" s="454">
        <f t="shared" si="28"/>
        <v>15.027605502448123</v>
      </c>
      <c r="N111" s="51">
        <v>0</v>
      </c>
    </row>
    <row r="112" spans="1:14" ht="12.75" customHeight="1" x14ac:dyDescent="0.2">
      <c r="A112" s="97" t="s">
        <v>230</v>
      </c>
      <c r="B112" s="140" t="s">
        <v>231</v>
      </c>
      <c r="C112" s="113">
        <v>137050</v>
      </c>
      <c r="D112" s="113">
        <v>137050</v>
      </c>
      <c r="E112" s="100">
        <v>89553</v>
      </c>
      <c r="F112" s="111">
        <v>6533.18</v>
      </c>
      <c r="G112" s="88">
        <f t="shared" si="32"/>
        <v>6590.75</v>
      </c>
      <c r="H112" s="88">
        <v>2576.5100000000002</v>
      </c>
      <c r="I112" s="113">
        <v>2457.1999999999998</v>
      </c>
      <c r="J112" s="88">
        <f t="shared" si="36"/>
        <v>82962.25</v>
      </c>
      <c r="K112" s="113">
        <f t="shared" si="27"/>
        <v>130459.25</v>
      </c>
      <c r="L112" s="454">
        <f t="shared" si="28"/>
        <v>7.359608276662982</v>
      </c>
      <c r="N112" s="51">
        <v>57.57</v>
      </c>
    </row>
    <row r="113" spans="1:14" ht="15" customHeight="1" x14ac:dyDescent="0.2">
      <c r="A113" s="97" t="s">
        <v>232</v>
      </c>
      <c r="B113" s="140" t="s">
        <v>233</v>
      </c>
      <c r="C113" s="113">
        <v>64872</v>
      </c>
      <c r="D113" s="113">
        <v>57872</v>
      </c>
      <c r="E113" s="100">
        <v>24987</v>
      </c>
      <c r="F113" s="111">
        <v>73.819999999999993</v>
      </c>
      <c r="G113" s="88">
        <f t="shared" si="32"/>
        <v>180.82</v>
      </c>
      <c r="H113" s="88">
        <v>148.72</v>
      </c>
      <c r="I113" s="113">
        <v>17.649999999999999</v>
      </c>
      <c r="J113" s="88">
        <f t="shared" si="36"/>
        <v>24806.18</v>
      </c>
      <c r="K113" s="113">
        <f t="shared" si="27"/>
        <v>57691.18</v>
      </c>
      <c r="L113" s="454">
        <f t="shared" si="28"/>
        <v>0.72365630127666392</v>
      </c>
      <c r="N113" s="51">
        <v>107</v>
      </c>
    </row>
    <row r="114" spans="1:14" ht="15" customHeight="1" x14ac:dyDescent="0.2">
      <c r="A114" s="102" t="s">
        <v>234</v>
      </c>
      <c r="B114" s="138" t="s">
        <v>235</v>
      </c>
      <c r="C114" s="138">
        <f>SUM(C115:C119)</f>
        <v>258848</v>
      </c>
      <c r="D114" s="138">
        <f>SUM(D115:D119)</f>
        <v>250648</v>
      </c>
      <c r="E114" s="109">
        <f>SUM(E115:E119)</f>
        <v>180430</v>
      </c>
      <c r="F114" s="109">
        <f>SUM(F115:F119)</f>
        <v>3703.05</v>
      </c>
      <c r="G114" s="110">
        <f t="shared" si="32"/>
        <v>4286.2</v>
      </c>
      <c r="H114" s="138">
        <f t="shared" ref="H114" si="39">SUM(H115:H119)</f>
        <v>969.63</v>
      </c>
      <c r="I114" s="138">
        <f t="shared" ref="I114" si="40">SUM(I115:I119)</f>
        <v>440.68</v>
      </c>
      <c r="J114" s="110">
        <f t="shared" si="36"/>
        <v>176143.8</v>
      </c>
      <c r="K114" s="138">
        <f t="shared" si="27"/>
        <v>246361.8</v>
      </c>
      <c r="L114" s="453">
        <f t="shared" si="28"/>
        <v>2.3755473036634704</v>
      </c>
      <c r="N114" s="51">
        <v>583.15</v>
      </c>
    </row>
    <row r="115" spans="1:14" ht="15.75" customHeight="1" x14ac:dyDescent="0.2">
      <c r="A115" s="97" t="s">
        <v>236</v>
      </c>
      <c r="B115" s="113" t="s">
        <v>237</v>
      </c>
      <c r="C115" s="113">
        <v>3167</v>
      </c>
      <c r="D115" s="113">
        <v>3167</v>
      </c>
      <c r="E115" s="100">
        <v>3167</v>
      </c>
      <c r="F115" s="111">
        <v>0</v>
      </c>
      <c r="G115" s="88">
        <f t="shared" si="32"/>
        <v>0</v>
      </c>
      <c r="H115" s="88"/>
      <c r="I115" s="113">
        <v>0</v>
      </c>
      <c r="J115" s="88">
        <f t="shared" si="36"/>
        <v>3167</v>
      </c>
      <c r="K115" s="113">
        <f t="shared" si="27"/>
        <v>3167</v>
      </c>
      <c r="L115" s="454" t="s">
        <v>6</v>
      </c>
      <c r="N115" s="51">
        <v>0</v>
      </c>
    </row>
    <row r="116" spans="1:14" ht="14.25" customHeight="1" x14ac:dyDescent="0.2">
      <c r="A116" s="97" t="s">
        <v>238</v>
      </c>
      <c r="B116" s="140" t="s">
        <v>239</v>
      </c>
      <c r="C116" s="113">
        <v>15000</v>
      </c>
      <c r="D116" s="113">
        <v>11000</v>
      </c>
      <c r="E116" s="100">
        <v>10440</v>
      </c>
      <c r="F116" s="111">
        <v>231.12</v>
      </c>
      <c r="G116" s="88">
        <f t="shared" si="32"/>
        <v>231.12</v>
      </c>
      <c r="H116" s="88">
        <v>6.42</v>
      </c>
      <c r="I116" s="113">
        <v>0</v>
      </c>
      <c r="J116" s="88">
        <f t="shared" si="36"/>
        <v>10208.879999999999</v>
      </c>
      <c r="K116" s="113">
        <f t="shared" si="27"/>
        <v>10768.88</v>
      </c>
      <c r="L116" s="454">
        <v>0</v>
      </c>
      <c r="N116" s="51">
        <v>0</v>
      </c>
    </row>
    <row r="117" spans="1:14" ht="17.25" customHeight="1" x14ac:dyDescent="0.2">
      <c r="A117" s="97" t="s">
        <v>240</v>
      </c>
      <c r="B117" s="140" t="s">
        <v>241</v>
      </c>
      <c r="C117" s="113">
        <v>91798</v>
      </c>
      <c r="D117" s="113">
        <v>97598</v>
      </c>
      <c r="E117" s="100">
        <v>75585</v>
      </c>
      <c r="F117" s="111">
        <v>2633.78</v>
      </c>
      <c r="G117" s="88">
        <f t="shared" si="32"/>
        <v>2965.23</v>
      </c>
      <c r="H117" s="88">
        <v>422.91</v>
      </c>
      <c r="I117" s="113">
        <v>242.62</v>
      </c>
      <c r="J117" s="88">
        <f t="shared" si="36"/>
        <v>72619.77</v>
      </c>
      <c r="K117" s="113">
        <f t="shared" si="27"/>
        <v>94632.77</v>
      </c>
      <c r="L117" s="454">
        <f>+G117*100/E117</f>
        <v>3.9230402857709863</v>
      </c>
      <c r="N117" s="51">
        <v>331.45</v>
      </c>
    </row>
    <row r="118" spans="1:14" ht="16.5" customHeight="1" x14ac:dyDescent="0.2">
      <c r="A118" s="97" t="s">
        <v>242</v>
      </c>
      <c r="B118" s="140" t="s">
        <v>243</v>
      </c>
      <c r="C118" s="113">
        <v>27414</v>
      </c>
      <c r="D118" s="113">
        <v>27414</v>
      </c>
      <c r="E118" s="100">
        <v>21393</v>
      </c>
      <c r="F118" s="111">
        <v>0</v>
      </c>
      <c r="G118" s="88">
        <f t="shared" si="32"/>
        <v>0</v>
      </c>
      <c r="H118" s="88"/>
      <c r="I118" s="113">
        <v>0</v>
      </c>
      <c r="J118" s="88">
        <f t="shared" si="36"/>
        <v>21393</v>
      </c>
      <c r="K118" s="113">
        <f t="shared" si="27"/>
        <v>27414</v>
      </c>
      <c r="L118" s="454" t="s">
        <v>6</v>
      </c>
      <c r="N118" s="51">
        <v>0</v>
      </c>
    </row>
    <row r="119" spans="1:14" ht="16.5" customHeight="1" x14ac:dyDescent="0.2">
      <c r="A119" s="97" t="s">
        <v>244</v>
      </c>
      <c r="B119" s="140" t="s">
        <v>245</v>
      </c>
      <c r="C119" s="113">
        <v>121469</v>
      </c>
      <c r="D119" s="113">
        <v>111469</v>
      </c>
      <c r="E119" s="139">
        <v>69845</v>
      </c>
      <c r="F119" s="111">
        <v>838.15</v>
      </c>
      <c r="G119" s="88">
        <f t="shared" si="32"/>
        <v>1089.8499999999999</v>
      </c>
      <c r="H119" s="88">
        <v>540.29999999999995</v>
      </c>
      <c r="I119" s="113">
        <v>198.06</v>
      </c>
      <c r="J119" s="88">
        <f t="shared" si="36"/>
        <v>68755.149999999994</v>
      </c>
      <c r="K119" s="113">
        <f t="shared" si="27"/>
        <v>110379.15</v>
      </c>
      <c r="L119" s="454">
        <f t="shared" ref="L119:L128" si="41">+G119*100/E119</f>
        <v>1.5603837067792967</v>
      </c>
      <c r="N119" s="51">
        <v>251.7</v>
      </c>
    </row>
    <row r="120" spans="1:14" ht="20.25" customHeight="1" x14ac:dyDescent="0.2">
      <c r="A120" s="102" t="s">
        <v>246</v>
      </c>
      <c r="B120" s="138" t="s">
        <v>247</v>
      </c>
      <c r="C120" s="138">
        <f>SUM(C121:C127)</f>
        <v>277892</v>
      </c>
      <c r="D120" s="138">
        <f>SUM(D121:D127)</f>
        <v>479792</v>
      </c>
      <c r="E120" s="109">
        <f>SUM(E121:E127)</f>
        <v>407584</v>
      </c>
      <c r="F120" s="109">
        <f>SUM(F121:F127)</f>
        <v>9963.07</v>
      </c>
      <c r="G120" s="138">
        <f t="shared" si="32"/>
        <v>17775.310000000001</v>
      </c>
      <c r="H120" s="109">
        <f t="shared" ref="H120" si="42">SUM(H121:H127)</f>
        <v>9591.64</v>
      </c>
      <c r="I120" s="109">
        <f t="shared" ref="I120" si="43">SUM(I121:I127)</f>
        <v>8672.1999999999989</v>
      </c>
      <c r="J120" s="110">
        <f t="shared" si="36"/>
        <v>389808.69</v>
      </c>
      <c r="K120" s="138">
        <f t="shared" si="27"/>
        <v>462016.69</v>
      </c>
      <c r="L120" s="453">
        <f t="shared" si="41"/>
        <v>4.3611402802857819</v>
      </c>
      <c r="N120" s="51">
        <v>7812.2400000000007</v>
      </c>
    </row>
    <row r="121" spans="1:14" ht="14.25" customHeight="1" x14ac:dyDescent="0.2">
      <c r="A121" s="97" t="s">
        <v>248</v>
      </c>
      <c r="B121" s="140" t="s">
        <v>249</v>
      </c>
      <c r="C121" s="113">
        <v>23493</v>
      </c>
      <c r="D121" s="113">
        <v>28493</v>
      </c>
      <c r="E121" s="139">
        <v>28493</v>
      </c>
      <c r="F121" s="111">
        <v>83.27</v>
      </c>
      <c r="G121" s="88">
        <f t="shared" si="32"/>
        <v>83.27</v>
      </c>
      <c r="H121" s="88">
        <v>83.27</v>
      </c>
      <c r="I121" s="113">
        <v>46.35</v>
      </c>
      <c r="J121" s="88">
        <f t="shared" si="36"/>
        <v>28409.73</v>
      </c>
      <c r="K121" s="113">
        <f t="shared" si="27"/>
        <v>28409.73</v>
      </c>
      <c r="L121" s="454">
        <f t="shared" si="41"/>
        <v>0.29224721861509845</v>
      </c>
      <c r="N121" s="51">
        <v>0</v>
      </c>
    </row>
    <row r="122" spans="1:14" ht="16.5" customHeight="1" x14ac:dyDescent="0.2">
      <c r="A122" s="97" t="s">
        <v>250</v>
      </c>
      <c r="B122" s="140" t="s">
        <v>251</v>
      </c>
      <c r="C122" s="113">
        <v>31236</v>
      </c>
      <c r="D122" s="113">
        <v>28236</v>
      </c>
      <c r="E122" s="139">
        <v>21476</v>
      </c>
      <c r="F122" s="111">
        <v>107.91</v>
      </c>
      <c r="G122" s="88">
        <f t="shared" si="32"/>
        <v>107.91</v>
      </c>
      <c r="H122" s="88">
        <v>107.91</v>
      </c>
      <c r="I122" s="113">
        <v>0</v>
      </c>
      <c r="J122" s="88">
        <f t="shared" si="36"/>
        <v>21368.09</v>
      </c>
      <c r="K122" s="113">
        <f t="shared" si="27"/>
        <v>28128.09</v>
      </c>
      <c r="L122" s="454">
        <f t="shared" si="41"/>
        <v>0.50246787111193891</v>
      </c>
      <c r="N122" s="51">
        <v>0</v>
      </c>
    </row>
    <row r="123" spans="1:14" ht="12.75" customHeight="1" x14ac:dyDescent="0.2">
      <c r="A123" s="97">
        <v>254</v>
      </c>
      <c r="B123" s="140" t="s">
        <v>252</v>
      </c>
      <c r="C123" s="113">
        <v>42838</v>
      </c>
      <c r="D123" s="113">
        <v>81338</v>
      </c>
      <c r="E123" s="113">
        <v>58738</v>
      </c>
      <c r="F123" s="139">
        <v>1846.77</v>
      </c>
      <c r="G123" s="88">
        <f t="shared" si="32"/>
        <v>2039.1599999999999</v>
      </c>
      <c r="H123" s="88">
        <v>216.95</v>
      </c>
      <c r="I123" s="113">
        <v>117.7</v>
      </c>
      <c r="J123" s="88">
        <f t="shared" si="36"/>
        <v>56698.84</v>
      </c>
      <c r="K123" s="113">
        <f t="shared" si="27"/>
        <v>79298.84</v>
      </c>
      <c r="L123" s="454">
        <f t="shared" si="41"/>
        <v>3.4716197350948277</v>
      </c>
      <c r="N123" s="51">
        <v>192.39</v>
      </c>
    </row>
    <row r="124" spans="1:14" ht="18" customHeight="1" x14ac:dyDescent="0.2">
      <c r="A124" s="97" t="s">
        <v>253</v>
      </c>
      <c r="B124" s="140" t="s">
        <v>254</v>
      </c>
      <c r="C124" s="113">
        <v>60539</v>
      </c>
      <c r="D124" s="113">
        <v>130539</v>
      </c>
      <c r="E124" s="113">
        <v>130539</v>
      </c>
      <c r="F124" s="100">
        <v>5713.68</v>
      </c>
      <c r="G124" s="88">
        <f t="shared" si="32"/>
        <v>5721.92</v>
      </c>
      <c r="H124" s="88">
        <v>924.7</v>
      </c>
      <c r="I124" s="113">
        <v>806.43</v>
      </c>
      <c r="J124" s="88">
        <f t="shared" si="36"/>
        <v>124817.08</v>
      </c>
      <c r="K124" s="113">
        <f t="shared" si="27"/>
        <v>124817.08</v>
      </c>
      <c r="L124" s="454">
        <f t="shared" si="41"/>
        <v>4.383303074177066</v>
      </c>
      <c r="N124" s="51">
        <v>8.24</v>
      </c>
    </row>
    <row r="125" spans="1:14" ht="17.25" customHeight="1" x14ac:dyDescent="0.2">
      <c r="A125" s="97" t="s">
        <v>255</v>
      </c>
      <c r="B125" s="140" t="s">
        <v>256</v>
      </c>
      <c r="C125" s="113">
        <v>63786</v>
      </c>
      <c r="D125" s="113">
        <v>88786</v>
      </c>
      <c r="E125" s="113">
        <v>72484</v>
      </c>
      <c r="F125" s="100">
        <v>603.79999999999995</v>
      </c>
      <c r="G125" s="88">
        <f t="shared" si="32"/>
        <v>8026.9800000000005</v>
      </c>
      <c r="H125" s="88">
        <v>7846.58</v>
      </c>
      <c r="I125" s="113">
        <v>7670.4</v>
      </c>
      <c r="J125" s="88">
        <f t="shared" si="36"/>
        <v>64457.02</v>
      </c>
      <c r="K125" s="113">
        <f t="shared" si="27"/>
        <v>80759.02</v>
      </c>
      <c r="L125" s="454">
        <f t="shared" si="41"/>
        <v>11.074140499972408</v>
      </c>
      <c r="N125" s="51">
        <v>7423.18</v>
      </c>
    </row>
    <row r="126" spans="1:14" ht="17.25" customHeight="1" x14ac:dyDescent="0.2">
      <c r="A126" s="97">
        <v>257</v>
      </c>
      <c r="B126" s="140" t="s">
        <v>257</v>
      </c>
      <c r="C126" s="113">
        <v>50835</v>
      </c>
      <c r="D126" s="113">
        <v>40835</v>
      </c>
      <c r="E126" s="113">
        <v>14289</v>
      </c>
      <c r="F126" s="100">
        <v>0</v>
      </c>
      <c r="G126" s="88">
        <f t="shared" si="32"/>
        <v>0</v>
      </c>
      <c r="H126" s="88"/>
      <c r="I126" s="113">
        <v>0</v>
      </c>
      <c r="J126" s="88">
        <v>0</v>
      </c>
      <c r="K126" s="113">
        <f t="shared" ref="K126:K153" si="44">+D126-G126</f>
        <v>40835</v>
      </c>
      <c r="L126" s="454">
        <f t="shared" si="41"/>
        <v>0</v>
      </c>
      <c r="N126" s="51">
        <v>0</v>
      </c>
    </row>
    <row r="127" spans="1:14" ht="17.25" customHeight="1" x14ac:dyDescent="0.2">
      <c r="A127" s="97" t="s">
        <v>258</v>
      </c>
      <c r="B127" s="140" t="s">
        <v>259</v>
      </c>
      <c r="C127" s="113">
        <v>5165</v>
      </c>
      <c r="D127" s="113">
        <v>81565</v>
      </c>
      <c r="E127" s="113">
        <v>81565</v>
      </c>
      <c r="F127" s="113">
        <v>1607.64</v>
      </c>
      <c r="G127" s="88">
        <f t="shared" si="32"/>
        <v>1796.0700000000002</v>
      </c>
      <c r="H127" s="88">
        <v>412.23</v>
      </c>
      <c r="I127" s="113">
        <v>31.32</v>
      </c>
      <c r="J127" s="88">
        <f t="shared" ref="J127:J153" si="45">+E127-G127</f>
        <v>79768.929999999993</v>
      </c>
      <c r="K127" s="113">
        <f t="shared" si="44"/>
        <v>79768.929999999993</v>
      </c>
      <c r="L127" s="454">
        <f t="shared" si="41"/>
        <v>2.2020106663397292</v>
      </c>
      <c r="N127" s="51">
        <v>188.43</v>
      </c>
    </row>
    <row r="128" spans="1:14" ht="15" customHeight="1" x14ac:dyDescent="0.2">
      <c r="A128" s="102" t="s">
        <v>260</v>
      </c>
      <c r="B128" s="138" t="s">
        <v>261</v>
      </c>
      <c r="C128" s="138">
        <f>SUM(C129:C133)</f>
        <v>475695</v>
      </c>
      <c r="D128" s="138">
        <f>SUM(D129:D133)</f>
        <v>547595</v>
      </c>
      <c r="E128" s="114">
        <f>SUM(E129:E133)</f>
        <v>358388</v>
      </c>
      <c r="F128" s="115">
        <f>SUM(F129:F133)</f>
        <v>26841.000000000004</v>
      </c>
      <c r="G128" s="91">
        <f t="shared" ref="G128:G144" si="46">+N128+F128</f>
        <v>30064.090000000004</v>
      </c>
      <c r="H128" s="114">
        <f t="shared" ref="H128" si="47">SUM(H129:H133)</f>
        <v>15460.589999999998</v>
      </c>
      <c r="I128" s="114">
        <f t="shared" ref="I128" si="48">SUM(I129:I133)</f>
        <v>1903.09</v>
      </c>
      <c r="J128" s="110">
        <f t="shared" si="45"/>
        <v>328323.90999999997</v>
      </c>
      <c r="K128" s="138">
        <f t="shared" si="44"/>
        <v>517530.91</v>
      </c>
      <c r="L128" s="453">
        <f t="shared" si="41"/>
        <v>8.3886988403629594</v>
      </c>
      <c r="N128" s="51">
        <v>3223.09</v>
      </c>
    </row>
    <row r="129" spans="1:14" ht="13.5" customHeight="1" x14ac:dyDescent="0.2">
      <c r="A129" s="97">
        <v>261</v>
      </c>
      <c r="B129" s="113" t="s">
        <v>262</v>
      </c>
      <c r="C129" s="113">
        <v>21865</v>
      </c>
      <c r="D129" s="113">
        <v>81865</v>
      </c>
      <c r="E129" s="116">
        <v>74214</v>
      </c>
      <c r="F129" s="117">
        <v>0</v>
      </c>
      <c r="G129" s="88">
        <f t="shared" si="46"/>
        <v>0</v>
      </c>
      <c r="H129" s="88"/>
      <c r="I129" s="113">
        <v>0</v>
      </c>
      <c r="J129" s="88">
        <f t="shared" si="45"/>
        <v>74214</v>
      </c>
      <c r="K129" s="113">
        <f t="shared" si="44"/>
        <v>81865</v>
      </c>
      <c r="L129" s="454"/>
      <c r="N129" s="51">
        <v>0</v>
      </c>
    </row>
    <row r="130" spans="1:14" ht="13.5" customHeight="1" x14ac:dyDescent="0.2">
      <c r="A130" s="97" t="s">
        <v>263</v>
      </c>
      <c r="B130" s="140" t="s">
        <v>512</v>
      </c>
      <c r="C130" s="113">
        <v>169987</v>
      </c>
      <c r="D130" s="113">
        <v>222087</v>
      </c>
      <c r="E130" s="116">
        <v>101017</v>
      </c>
      <c r="F130" s="117">
        <v>15419.45</v>
      </c>
      <c r="G130" s="88">
        <f t="shared" si="46"/>
        <v>15450.91</v>
      </c>
      <c r="H130" s="88">
        <v>7324.99</v>
      </c>
      <c r="I130" s="113">
        <v>128.72999999999999</v>
      </c>
      <c r="J130" s="88">
        <f t="shared" si="45"/>
        <v>85566.09</v>
      </c>
      <c r="K130" s="113">
        <f t="shared" si="44"/>
        <v>206636.09</v>
      </c>
      <c r="L130" s="454">
        <f t="shared" ref="L130:L139" si="49">+G130*100/E130</f>
        <v>15.295356227169684</v>
      </c>
      <c r="N130" s="51">
        <v>31.46</v>
      </c>
    </row>
    <row r="131" spans="1:14" ht="17.25" customHeight="1" x14ac:dyDescent="0.2">
      <c r="A131" s="97">
        <v>263</v>
      </c>
      <c r="B131" s="140" t="s">
        <v>364</v>
      </c>
      <c r="C131" s="113">
        <v>28862</v>
      </c>
      <c r="D131" s="113">
        <v>28862</v>
      </c>
      <c r="E131" s="116">
        <v>18562</v>
      </c>
      <c r="F131" s="117">
        <v>3349.16</v>
      </c>
      <c r="G131" s="88">
        <f t="shared" si="46"/>
        <v>3765.93</v>
      </c>
      <c r="H131" s="88">
        <v>572.51</v>
      </c>
      <c r="I131" s="113">
        <v>16.05</v>
      </c>
      <c r="J131" s="88">
        <f t="shared" si="45"/>
        <v>14796.07</v>
      </c>
      <c r="K131" s="113">
        <f t="shared" si="44"/>
        <v>25096.07</v>
      </c>
      <c r="L131" s="454">
        <f t="shared" si="49"/>
        <v>20.288384872319792</v>
      </c>
      <c r="N131" s="51">
        <v>416.77</v>
      </c>
    </row>
    <row r="132" spans="1:14" ht="17.25" customHeight="1" x14ac:dyDescent="0.2">
      <c r="A132" s="97" t="s">
        <v>264</v>
      </c>
      <c r="B132" s="142" t="s">
        <v>391</v>
      </c>
      <c r="C132" s="143">
        <v>156163</v>
      </c>
      <c r="D132" s="143">
        <v>115963</v>
      </c>
      <c r="E132" s="116">
        <v>102755</v>
      </c>
      <c r="F132" s="117">
        <v>6156.26</v>
      </c>
      <c r="G132" s="88">
        <f t="shared" si="46"/>
        <v>7352.42</v>
      </c>
      <c r="H132" s="88">
        <v>4735.9399999999996</v>
      </c>
      <c r="I132" s="113">
        <v>0</v>
      </c>
      <c r="J132" s="88">
        <f t="shared" si="45"/>
        <v>95402.58</v>
      </c>
      <c r="K132" s="113">
        <f t="shared" si="44"/>
        <v>108610.58</v>
      </c>
      <c r="L132" s="454">
        <f t="shared" si="49"/>
        <v>7.1552917132986229</v>
      </c>
      <c r="N132" s="51">
        <v>1196.1600000000001</v>
      </c>
    </row>
    <row r="133" spans="1:14" ht="15.75" customHeight="1" x14ac:dyDescent="0.2">
      <c r="A133" s="97" t="s">
        <v>265</v>
      </c>
      <c r="B133" s="142" t="s">
        <v>266</v>
      </c>
      <c r="C133" s="143">
        <v>98818</v>
      </c>
      <c r="D133" s="143">
        <v>98818</v>
      </c>
      <c r="E133" s="116">
        <v>61840</v>
      </c>
      <c r="F133" s="117">
        <v>1916.13</v>
      </c>
      <c r="G133" s="88">
        <f>+N133+F133</f>
        <v>3494.83</v>
      </c>
      <c r="H133" s="88">
        <v>2827.15</v>
      </c>
      <c r="I133" s="113">
        <v>1758.31</v>
      </c>
      <c r="J133" s="88">
        <f t="shared" si="45"/>
        <v>58345.17</v>
      </c>
      <c r="K133" s="113">
        <f t="shared" si="44"/>
        <v>95323.17</v>
      </c>
      <c r="L133" s="454">
        <f t="shared" si="49"/>
        <v>5.6514068564036224</v>
      </c>
      <c r="N133" s="51">
        <v>1578.7</v>
      </c>
    </row>
    <row r="134" spans="1:14" ht="20.25" customHeight="1" x14ac:dyDescent="0.2">
      <c r="A134" s="102" t="s">
        <v>267</v>
      </c>
      <c r="B134" s="144" t="s">
        <v>268</v>
      </c>
      <c r="C134" s="145">
        <f>SUM(C135:C142)</f>
        <v>829295</v>
      </c>
      <c r="D134" s="145">
        <f>SUM(D135:D142)</f>
        <v>731395</v>
      </c>
      <c r="E134" s="114">
        <f>SUM(E135:E142)</f>
        <v>438752</v>
      </c>
      <c r="F134" s="114">
        <f>SUM(F135:F142)</f>
        <v>69864.25</v>
      </c>
      <c r="G134" s="110">
        <f t="shared" si="46"/>
        <v>125619.41</v>
      </c>
      <c r="H134" s="114">
        <f>SUM(H135:H142)</f>
        <v>19810.66</v>
      </c>
      <c r="I134" s="141">
        <f>SUM(I135:I142)</f>
        <v>1467.87</v>
      </c>
      <c r="J134" s="110">
        <f t="shared" si="45"/>
        <v>313132.58999999997</v>
      </c>
      <c r="K134" s="138">
        <f t="shared" si="44"/>
        <v>605775.59</v>
      </c>
      <c r="L134" s="453">
        <f t="shared" si="49"/>
        <v>28.631074046386114</v>
      </c>
      <c r="M134" s="7"/>
      <c r="N134" s="51">
        <v>55755.16</v>
      </c>
    </row>
    <row r="135" spans="1:14" ht="12.75" customHeight="1" x14ac:dyDescent="0.2">
      <c r="A135" s="97" t="s">
        <v>269</v>
      </c>
      <c r="B135" s="142" t="s">
        <v>270</v>
      </c>
      <c r="C135" s="143">
        <v>24712</v>
      </c>
      <c r="D135" s="143">
        <v>24712</v>
      </c>
      <c r="E135" s="116">
        <v>22812</v>
      </c>
      <c r="F135" s="117">
        <v>2042.41</v>
      </c>
      <c r="G135" s="88">
        <f t="shared" si="46"/>
        <v>2042.41</v>
      </c>
      <c r="H135" s="88">
        <v>31.02</v>
      </c>
      <c r="I135" s="113">
        <v>0</v>
      </c>
      <c r="J135" s="88">
        <f t="shared" si="45"/>
        <v>20769.59</v>
      </c>
      <c r="K135" s="113">
        <f t="shared" si="44"/>
        <v>22669.59</v>
      </c>
      <c r="L135" s="454">
        <f t="shared" si="49"/>
        <v>8.9532263720848668</v>
      </c>
      <c r="N135" s="51">
        <v>0</v>
      </c>
    </row>
    <row r="136" spans="1:14" ht="16.5" customHeight="1" x14ac:dyDescent="0.2">
      <c r="A136" s="97" t="s">
        <v>271</v>
      </c>
      <c r="B136" s="140" t="s">
        <v>272</v>
      </c>
      <c r="C136" s="113">
        <v>88222</v>
      </c>
      <c r="D136" s="113">
        <v>77222</v>
      </c>
      <c r="E136" s="116">
        <v>29211</v>
      </c>
      <c r="F136" s="117">
        <v>4416.43</v>
      </c>
      <c r="G136" s="88">
        <f t="shared" si="46"/>
        <v>4857.08</v>
      </c>
      <c r="H136" s="88">
        <v>194.31</v>
      </c>
      <c r="I136" s="113">
        <v>58.85</v>
      </c>
      <c r="J136" s="88">
        <f t="shared" si="45"/>
        <v>24353.919999999998</v>
      </c>
      <c r="K136" s="113">
        <f t="shared" si="44"/>
        <v>72364.92</v>
      </c>
      <c r="L136" s="454">
        <f t="shared" si="49"/>
        <v>16.627571805141898</v>
      </c>
      <c r="N136" s="51">
        <v>440.65</v>
      </c>
    </row>
    <row r="137" spans="1:14" ht="13.5" customHeight="1" x14ac:dyDescent="0.2">
      <c r="A137" s="97" t="s">
        <v>273</v>
      </c>
      <c r="B137" s="140" t="s">
        <v>274</v>
      </c>
      <c r="C137" s="113">
        <v>79068</v>
      </c>
      <c r="D137" s="113">
        <v>79068</v>
      </c>
      <c r="E137" s="116">
        <v>43300</v>
      </c>
      <c r="F137" s="117">
        <v>6413.82</v>
      </c>
      <c r="G137" s="88">
        <f t="shared" si="46"/>
        <v>6509.36</v>
      </c>
      <c r="H137" s="88">
        <v>5525.32</v>
      </c>
      <c r="I137" s="113">
        <v>152.75</v>
      </c>
      <c r="J137" s="88">
        <f t="shared" si="45"/>
        <v>36790.639999999999</v>
      </c>
      <c r="K137" s="113">
        <f t="shared" si="44"/>
        <v>72558.64</v>
      </c>
      <c r="L137" s="454">
        <f t="shared" si="49"/>
        <v>15.033163972286374</v>
      </c>
      <c r="N137" s="51">
        <v>95.54</v>
      </c>
    </row>
    <row r="138" spans="1:14" ht="16.5" customHeight="1" x14ac:dyDescent="0.2">
      <c r="A138" s="97" t="s">
        <v>275</v>
      </c>
      <c r="B138" s="140" t="s">
        <v>276</v>
      </c>
      <c r="C138" s="113">
        <v>180216</v>
      </c>
      <c r="D138" s="113">
        <v>128316</v>
      </c>
      <c r="E138" s="116">
        <v>73341</v>
      </c>
      <c r="F138" s="117">
        <v>6909.42</v>
      </c>
      <c r="G138" s="88">
        <f t="shared" si="46"/>
        <v>6956.91</v>
      </c>
      <c r="H138" s="88">
        <v>1076.96</v>
      </c>
      <c r="I138" s="113">
        <v>47.9</v>
      </c>
      <c r="J138" s="88">
        <f t="shared" si="45"/>
        <v>66384.09</v>
      </c>
      <c r="K138" s="113">
        <f t="shared" si="44"/>
        <v>121359.09</v>
      </c>
      <c r="L138" s="454">
        <f t="shared" si="49"/>
        <v>9.4857037673334155</v>
      </c>
      <c r="N138" s="51">
        <v>47.49</v>
      </c>
    </row>
    <row r="139" spans="1:14" ht="12.75" customHeight="1" x14ac:dyDescent="0.2">
      <c r="A139" s="97" t="s">
        <v>277</v>
      </c>
      <c r="B139" s="140" t="s">
        <v>278</v>
      </c>
      <c r="C139" s="113">
        <v>320615</v>
      </c>
      <c r="D139" s="113">
        <v>300615</v>
      </c>
      <c r="E139" s="116">
        <v>188298</v>
      </c>
      <c r="F139" s="117">
        <v>27893.31</v>
      </c>
      <c r="G139" s="88">
        <f t="shared" si="46"/>
        <v>82972.31</v>
      </c>
      <c r="H139" s="88">
        <v>7685.82</v>
      </c>
      <c r="I139" s="113">
        <v>229.34</v>
      </c>
      <c r="J139" s="88">
        <f t="shared" si="45"/>
        <v>105325.69</v>
      </c>
      <c r="K139" s="113">
        <f t="shared" si="44"/>
        <v>217642.69</v>
      </c>
      <c r="L139" s="454">
        <f t="shared" si="49"/>
        <v>44.064360747326049</v>
      </c>
      <c r="N139" s="51">
        <v>55079</v>
      </c>
    </row>
    <row r="140" spans="1:14" ht="15" customHeight="1" x14ac:dyDescent="0.2">
      <c r="A140" s="97">
        <v>277</v>
      </c>
      <c r="B140" s="140" t="s">
        <v>279</v>
      </c>
      <c r="C140" s="113">
        <v>13843</v>
      </c>
      <c r="D140" s="113">
        <v>8843</v>
      </c>
      <c r="E140" s="116">
        <v>8843</v>
      </c>
      <c r="F140" s="117">
        <v>0</v>
      </c>
      <c r="G140" s="88">
        <f t="shared" si="46"/>
        <v>0</v>
      </c>
      <c r="H140" s="88"/>
      <c r="I140" s="113">
        <v>0</v>
      </c>
      <c r="J140" s="88">
        <f t="shared" si="45"/>
        <v>8843</v>
      </c>
      <c r="K140" s="113">
        <f t="shared" si="44"/>
        <v>8843</v>
      </c>
      <c r="L140" s="454"/>
      <c r="N140" s="51">
        <v>0</v>
      </c>
    </row>
    <row r="141" spans="1:14" ht="15" customHeight="1" x14ac:dyDescent="0.2">
      <c r="A141" s="97">
        <v>278</v>
      </c>
      <c r="B141" s="140" t="s">
        <v>280</v>
      </c>
      <c r="C141" s="113">
        <v>14300</v>
      </c>
      <c r="D141" s="113">
        <v>9300</v>
      </c>
      <c r="E141" s="116">
        <v>9300</v>
      </c>
      <c r="F141" s="117"/>
      <c r="G141" s="88">
        <f t="shared" si="46"/>
        <v>0</v>
      </c>
      <c r="H141" s="88"/>
      <c r="I141" s="113">
        <v>0</v>
      </c>
      <c r="J141" s="88">
        <f t="shared" si="45"/>
        <v>9300</v>
      </c>
      <c r="K141" s="113">
        <f t="shared" si="44"/>
        <v>9300</v>
      </c>
      <c r="L141" s="454"/>
      <c r="N141" s="51">
        <v>0</v>
      </c>
    </row>
    <row r="142" spans="1:14" ht="15" customHeight="1" x14ac:dyDescent="0.2">
      <c r="A142" s="97" t="s">
        <v>281</v>
      </c>
      <c r="B142" s="140" t="s">
        <v>282</v>
      </c>
      <c r="C142" s="113">
        <v>108319</v>
      </c>
      <c r="D142" s="113">
        <v>103319</v>
      </c>
      <c r="E142" s="116">
        <v>63647</v>
      </c>
      <c r="F142" s="117">
        <v>22188.86</v>
      </c>
      <c r="G142" s="88">
        <f t="shared" si="46"/>
        <v>22281.34</v>
      </c>
      <c r="H142" s="88">
        <v>5297.23</v>
      </c>
      <c r="I142" s="113">
        <v>979.03</v>
      </c>
      <c r="J142" s="88">
        <f t="shared" si="45"/>
        <v>41365.660000000003</v>
      </c>
      <c r="K142" s="113">
        <f t="shared" si="44"/>
        <v>81037.66</v>
      </c>
      <c r="L142" s="454">
        <f t="shared" ref="L142:L153" si="50">+G142*100/E142</f>
        <v>35.007683001555456</v>
      </c>
      <c r="N142" s="51">
        <v>92.48</v>
      </c>
    </row>
    <row r="143" spans="1:14" ht="15" customHeight="1" x14ac:dyDescent="0.2">
      <c r="A143" s="102" t="s">
        <v>283</v>
      </c>
      <c r="B143" s="138" t="s">
        <v>284</v>
      </c>
      <c r="C143" s="138">
        <v>208309</v>
      </c>
      <c r="D143" s="141">
        <f>+C143</f>
        <v>208309</v>
      </c>
      <c r="E143" s="118">
        <v>189913</v>
      </c>
      <c r="F143" s="114">
        <v>32080.43</v>
      </c>
      <c r="G143" s="91">
        <f t="shared" si="46"/>
        <v>33154.43</v>
      </c>
      <c r="H143" s="110">
        <v>5588.41</v>
      </c>
      <c r="I143" s="138">
        <v>383.02</v>
      </c>
      <c r="J143" s="110">
        <f t="shared" si="45"/>
        <v>156758.57</v>
      </c>
      <c r="K143" s="138">
        <f t="shared" si="44"/>
        <v>175154.57</v>
      </c>
      <c r="L143" s="453">
        <f t="shared" si="50"/>
        <v>17.457693786102059</v>
      </c>
      <c r="N143" s="51">
        <v>1074</v>
      </c>
    </row>
    <row r="144" spans="1:14" ht="15" customHeight="1" x14ac:dyDescent="0.2">
      <c r="A144" s="96">
        <v>290</v>
      </c>
      <c r="B144" s="119" t="s">
        <v>285</v>
      </c>
      <c r="C144" s="119">
        <f>SUM(C145:C152)</f>
        <v>0</v>
      </c>
      <c r="D144" s="119">
        <f>SUM(D145:D153)</f>
        <v>289400</v>
      </c>
      <c r="E144" s="119">
        <f>SUM(E145:E153)</f>
        <v>289400</v>
      </c>
      <c r="F144" s="119">
        <f>SUM(F145:F153)</f>
        <v>58.5</v>
      </c>
      <c r="G144" s="91">
        <f t="shared" si="46"/>
        <v>58.5</v>
      </c>
      <c r="H144" s="110">
        <f>+H145</f>
        <v>58.5</v>
      </c>
      <c r="I144" s="119">
        <f>SUM(I145:I153)</f>
        <v>10</v>
      </c>
      <c r="J144" s="91">
        <f t="shared" si="45"/>
        <v>289341.5</v>
      </c>
      <c r="K144" s="119">
        <f t="shared" si="44"/>
        <v>289341.5</v>
      </c>
      <c r="L144" s="453">
        <f t="shared" si="50"/>
        <v>2.0214236351071183E-2</v>
      </c>
      <c r="N144" s="51">
        <v>0</v>
      </c>
    </row>
    <row r="145" spans="1:14" ht="15" customHeight="1" x14ac:dyDescent="0.2">
      <c r="A145" s="97">
        <v>291</v>
      </c>
      <c r="B145" s="120" t="s">
        <v>286</v>
      </c>
      <c r="C145" s="119"/>
      <c r="D145" s="121">
        <v>4000</v>
      </c>
      <c r="E145" s="121">
        <v>4000</v>
      </c>
      <c r="F145" s="121">
        <v>58.5</v>
      </c>
      <c r="G145" s="121">
        <f>+N144+F145</f>
        <v>58.5</v>
      </c>
      <c r="H145" s="88">
        <v>58.5</v>
      </c>
      <c r="I145" s="121">
        <v>10</v>
      </c>
      <c r="J145" s="88">
        <f t="shared" si="45"/>
        <v>3941.5</v>
      </c>
      <c r="K145" s="121">
        <f t="shared" si="44"/>
        <v>3941.5</v>
      </c>
      <c r="L145" s="454">
        <f t="shared" si="50"/>
        <v>1.4624999999999999</v>
      </c>
      <c r="N145" s="51"/>
    </row>
    <row r="146" spans="1:14" ht="15" customHeight="1" x14ac:dyDescent="0.2">
      <c r="A146" s="98">
        <v>292</v>
      </c>
      <c r="B146" s="120" t="s">
        <v>373</v>
      </c>
      <c r="C146" s="122"/>
      <c r="D146" s="121">
        <v>100</v>
      </c>
      <c r="E146" s="121">
        <v>100</v>
      </c>
      <c r="F146" s="121"/>
      <c r="G146" s="121"/>
      <c r="H146" s="88"/>
      <c r="I146" s="121"/>
      <c r="J146" s="88">
        <f t="shared" si="45"/>
        <v>100</v>
      </c>
      <c r="K146" s="121">
        <f t="shared" si="44"/>
        <v>100</v>
      </c>
      <c r="L146" s="454">
        <f t="shared" si="50"/>
        <v>0</v>
      </c>
      <c r="N146" s="51"/>
    </row>
    <row r="147" spans="1:14" ht="15" customHeight="1" x14ac:dyDescent="0.2">
      <c r="A147" s="97">
        <v>293</v>
      </c>
      <c r="B147" s="120" t="s">
        <v>287</v>
      </c>
      <c r="C147" s="121"/>
      <c r="D147" s="121">
        <v>133300</v>
      </c>
      <c r="E147" s="121">
        <v>133300</v>
      </c>
      <c r="F147" s="121"/>
      <c r="G147" s="121"/>
      <c r="H147" s="88"/>
      <c r="I147" s="121"/>
      <c r="J147" s="88">
        <f t="shared" si="45"/>
        <v>133300</v>
      </c>
      <c r="K147" s="121">
        <f t="shared" si="44"/>
        <v>133300</v>
      </c>
      <c r="L147" s="454">
        <f t="shared" si="50"/>
        <v>0</v>
      </c>
      <c r="N147" s="51"/>
    </row>
    <row r="148" spans="1:14" ht="15" customHeight="1" x14ac:dyDescent="0.2">
      <c r="A148" s="97">
        <v>294</v>
      </c>
      <c r="B148" s="120" t="s">
        <v>430</v>
      </c>
      <c r="C148" s="121"/>
      <c r="D148" s="121">
        <v>5000</v>
      </c>
      <c r="E148" s="121">
        <v>5000</v>
      </c>
      <c r="F148" s="121"/>
      <c r="G148" s="121"/>
      <c r="H148" s="88"/>
      <c r="I148" s="121"/>
      <c r="J148" s="88">
        <f t="shared" si="45"/>
        <v>5000</v>
      </c>
      <c r="K148" s="121">
        <f t="shared" si="44"/>
        <v>5000</v>
      </c>
      <c r="L148" s="454">
        <f t="shared" si="50"/>
        <v>0</v>
      </c>
      <c r="N148" s="51"/>
    </row>
    <row r="149" spans="1:14" ht="15" customHeight="1" x14ac:dyDescent="0.2">
      <c r="A149" s="97">
        <v>295</v>
      </c>
      <c r="B149" s="121" t="s">
        <v>387</v>
      </c>
      <c r="C149" s="119"/>
      <c r="D149" s="121">
        <v>1200</v>
      </c>
      <c r="E149" s="121">
        <v>1200</v>
      </c>
      <c r="F149" s="121"/>
      <c r="G149" s="121"/>
      <c r="H149" s="88"/>
      <c r="I149" s="121"/>
      <c r="J149" s="88">
        <f t="shared" si="45"/>
        <v>1200</v>
      </c>
      <c r="K149" s="121">
        <f t="shared" si="44"/>
        <v>1200</v>
      </c>
      <c r="L149" s="454">
        <f t="shared" si="50"/>
        <v>0</v>
      </c>
      <c r="N149" s="51"/>
    </row>
    <row r="150" spans="1:14" ht="15" customHeight="1" x14ac:dyDescent="0.2">
      <c r="A150" s="97">
        <v>296</v>
      </c>
      <c r="B150" s="120" t="s">
        <v>376</v>
      </c>
      <c r="C150" s="121"/>
      <c r="D150" s="121">
        <v>75500</v>
      </c>
      <c r="E150" s="121">
        <v>75500</v>
      </c>
      <c r="F150" s="121"/>
      <c r="G150" s="121"/>
      <c r="H150" s="88"/>
      <c r="I150" s="121"/>
      <c r="J150" s="88">
        <f t="shared" si="45"/>
        <v>75500</v>
      </c>
      <c r="K150" s="121">
        <f t="shared" si="44"/>
        <v>75500</v>
      </c>
      <c r="L150" s="454">
        <f t="shared" si="50"/>
        <v>0</v>
      </c>
      <c r="N150" s="51"/>
    </row>
    <row r="151" spans="1:14" ht="15" customHeight="1" x14ac:dyDescent="0.2">
      <c r="A151" s="97">
        <v>297</v>
      </c>
      <c r="B151" s="121" t="s">
        <v>288</v>
      </c>
      <c r="C151" s="119"/>
      <c r="D151" s="121">
        <v>18200</v>
      </c>
      <c r="E151" s="121">
        <v>18200</v>
      </c>
      <c r="F151" s="121"/>
      <c r="G151" s="123"/>
      <c r="H151" s="88"/>
      <c r="I151" s="121"/>
      <c r="J151" s="88">
        <f t="shared" si="45"/>
        <v>18200</v>
      </c>
      <c r="K151" s="121">
        <f t="shared" si="44"/>
        <v>18200</v>
      </c>
      <c r="L151" s="454">
        <f t="shared" si="50"/>
        <v>0</v>
      </c>
      <c r="N151" s="51"/>
    </row>
    <row r="152" spans="1:14" ht="15" customHeight="1" x14ac:dyDescent="0.2">
      <c r="A152" s="97">
        <v>298</v>
      </c>
      <c r="B152" s="121" t="s">
        <v>289</v>
      </c>
      <c r="C152" s="119"/>
      <c r="D152" s="121">
        <v>34900</v>
      </c>
      <c r="E152" s="121">
        <v>34900</v>
      </c>
      <c r="F152" s="121"/>
      <c r="G152" s="121"/>
      <c r="H152" s="88"/>
      <c r="I152" s="121"/>
      <c r="J152" s="88">
        <f t="shared" si="45"/>
        <v>34900</v>
      </c>
      <c r="K152" s="121">
        <f t="shared" si="44"/>
        <v>34900</v>
      </c>
      <c r="L152" s="454">
        <f t="shared" si="50"/>
        <v>0</v>
      </c>
      <c r="N152" s="51"/>
    </row>
    <row r="153" spans="1:14" ht="15" customHeight="1" x14ac:dyDescent="0.2">
      <c r="A153" s="97">
        <v>299</v>
      </c>
      <c r="B153" s="121" t="s">
        <v>359</v>
      </c>
      <c r="C153" s="119"/>
      <c r="D153" s="121">
        <v>17200</v>
      </c>
      <c r="E153" s="121">
        <v>17200</v>
      </c>
      <c r="F153" s="121">
        <v>0</v>
      </c>
      <c r="G153" s="121">
        <f>+N153+F153</f>
        <v>0</v>
      </c>
      <c r="H153" s="88"/>
      <c r="I153" s="121">
        <v>0</v>
      </c>
      <c r="J153" s="88">
        <f t="shared" si="45"/>
        <v>17200</v>
      </c>
      <c r="K153" s="121">
        <f t="shared" si="44"/>
        <v>17200</v>
      </c>
      <c r="L153" s="454">
        <f t="shared" si="50"/>
        <v>0</v>
      </c>
      <c r="N153" s="51">
        <v>0</v>
      </c>
    </row>
    <row r="154" spans="1:14" ht="15" customHeight="1" x14ac:dyDescent="0.2">
      <c r="A154" s="134">
        <v>4</v>
      </c>
      <c r="B154" s="146" t="s">
        <v>297</v>
      </c>
      <c r="C154" s="146">
        <f>SUM(C155)</f>
        <v>2207914</v>
      </c>
      <c r="D154" s="146">
        <f>+D155</f>
        <v>2215914</v>
      </c>
      <c r="E154" s="147">
        <f>+E155+E157</f>
        <v>1208000</v>
      </c>
      <c r="F154" s="148">
        <f>+F155+F157</f>
        <v>111493.41</v>
      </c>
      <c r="G154" s="149">
        <f>N154+F154</f>
        <v>111493.41</v>
      </c>
      <c r="H154" s="464">
        <f>+H155</f>
        <v>681.85</v>
      </c>
      <c r="I154" s="149">
        <f>+I155+I157</f>
        <v>0</v>
      </c>
      <c r="J154" s="136">
        <f t="shared" ref="J154:J170" si="51">+E154-G154</f>
        <v>1096506.5900000001</v>
      </c>
      <c r="K154" s="149">
        <f t="shared" ref="K154:K170" si="52">+D154-G154</f>
        <v>2104420.59</v>
      </c>
      <c r="L154" s="456">
        <f>+G154*100/E154</f>
        <v>9.2295869205298011</v>
      </c>
      <c r="N154" s="51">
        <v>0</v>
      </c>
    </row>
    <row r="155" spans="1:14" ht="15" customHeight="1" x14ac:dyDescent="0.2">
      <c r="A155" s="96">
        <v>430</v>
      </c>
      <c r="B155" s="124" t="s">
        <v>298</v>
      </c>
      <c r="C155" s="124">
        <f>SUM(C156)</f>
        <v>2207914</v>
      </c>
      <c r="D155" s="124">
        <f>+D156+D158</f>
        <v>2215914</v>
      </c>
      <c r="E155" s="150">
        <f>+E156</f>
        <v>1156000</v>
      </c>
      <c r="F155" s="151">
        <f>+F156</f>
        <v>111493.41</v>
      </c>
      <c r="G155" s="91">
        <f>+N155+F155</f>
        <v>111493.41</v>
      </c>
      <c r="H155" s="91">
        <f>+H156</f>
        <v>681.85</v>
      </c>
      <c r="I155" s="124">
        <f>SUM(I156)</f>
        <v>0</v>
      </c>
      <c r="J155" s="91">
        <f t="shared" si="51"/>
        <v>1044506.59</v>
      </c>
      <c r="K155" s="124">
        <f t="shared" si="52"/>
        <v>2104420.59</v>
      </c>
      <c r="L155" s="455">
        <f>+G155*100/E155</f>
        <v>9.6447586505190319</v>
      </c>
      <c r="N155" s="51">
        <v>0</v>
      </c>
    </row>
    <row r="156" spans="1:14" ht="13.5" customHeight="1" x14ac:dyDescent="0.2">
      <c r="A156" s="97">
        <v>439</v>
      </c>
      <c r="B156" s="113" t="s">
        <v>299</v>
      </c>
      <c r="C156" s="113">
        <v>2207914</v>
      </c>
      <c r="D156" s="113">
        <v>2163914</v>
      </c>
      <c r="E156" s="139">
        <v>1156000</v>
      </c>
      <c r="F156" s="152">
        <v>111493.41</v>
      </c>
      <c r="G156" s="88">
        <f>+N156+F156</f>
        <v>111493.41</v>
      </c>
      <c r="H156" s="88">
        <v>681.85</v>
      </c>
      <c r="I156" s="113">
        <v>0</v>
      </c>
      <c r="J156" s="88">
        <f t="shared" si="51"/>
        <v>1044506.59</v>
      </c>
      <c r="K156" s="113">
        <f t="shared" si="52"/>
        <v>2052420.59</v>
      </c>
      <c r="L156" s="454">
        <f>+G156*100/E156</f>
        <v>9.6447586505190319</v>
      </c>
      <c r="N156" s="51">
        <v>0</v>
      </c>
    </row>
    <row r="157" spans="1:14" ht="16.5" customHeight="1" x14ac:dyDescent="0.2">
      <c r="A157" s="96">
        <v>490</v>
      </c>
      <c r="B157" s="124" t="s">
        <v>300</v>
      </c>
      <c r="C157" s="113">
        <f>SUM(C158)</f>
        <v>0</v>
      </c>
      <c r="D157" s="124">
        <f>+C157</f>
        <v>0</v>
      </c>
      <c r="E157" s="150">
        <f>+E158</f>
        <v>52000</v>
      </c>
      <c r="F157" s="112">
        <f>+F158</f>
        <v>0</v>
      </c>
      <c r="G157" s="124">
        <f>+G158</f>
        <v>0</v>
      </c>
      <c r="H157" s="91"/>
      <c r="I157" s="124">
        <f>I158</f>
        <v>0</v>
      </c>
      <c r="J157" s="88">
        <f t="shared" si="51"/>
        <v>52000</v>
      </c>
      <c r="K157" s="124">
        <f t="shared" si="52"/>
        <v>0</v>
      </c>
      <c r="L157" s="455"/>
      <c r="N157" s="51">
        <v>0</v>
      </c>
    </row>
    <row r="158" spans="1:14" ht="13.5" customHeight="1" x14ac:dyDescent="0.2">
      <c r="A158" s="97">
        <v>494</v>
      </c>
      <c r="B158" s="113" t="s">
        <v>301</v>
      </c>
      <c r="C158" s="113"/>
      <c r="D158" s="113">
        <v>52000</v>
      </c>
      <c r="E158" s="100">
        <v>52000</v>
      </c>
      <c r="F158" s="152">
        <v>0</v>
      </c>
      <c r="G158" s="113">
        <f>+N158+F158</f>
        <v>0</v>
      </c>
      <c r="H158" s="88"/>
      <c r="I158" s="113">
        <v>0</v>
      </c>
      <c r="J158" s="88">
        <f t="shared" si="51"/>
        <v>52000</v>
      </c>
      <c r="K158" s="113">
        <f t="shared" si="52"/>
        <v>52000</v>
      </c>
      <c r="L158" s="454"/>
      <c r="N158" s="51">
        <v>0</v>
      </c>
    </row>
    <row r="159" spans="1:14" ht="15.75" customHeight="1" x14ac:dyDescent="0.2">
      <c r="A159" s="134" t="s">
        <v>302</v>
      </c>
      <c r="B159" s="153" t="s">
        <v>392</v>
      </c>
      <c r="C159" s="149">
        <f>C160+C162+C168+C174+C178+C172</f>
        <v>2292640</v>
      </c>
      <c r="D159" s="149">
        <f t="shared" ref="D159:I159" si="53">D160+D162+D168+D174+D178+D172</f>
        <v>2422640</v>
      </c>
      <c r="E159" s="149">
        <f t="shared" si="53"/>
        <v>2064998</v>
      </c>
      <c r="F159" s="149">
        <f>F160+F162+F168+F174+F178+F172</f>
        <v>8729.82</v>
      </c>
      <c r="G159" s="149">
        <f t="shared" si="53"/>
        <v>13698.71</v>
      </c>
      <c r="H159" s="149">
        <f t="shared" ref="H159" si="54">H160+H162+H168+H174+H178+H172</f>
        <v>9914.41</v>
      </c>
      <c r="I159" s="149">
        <f t="shared" si="53"/>
        <v>8685.119999999999</v>
      </c>
      <c r="J159" s="136">
        <f t="shared" si="51"/>
        <v>2051299.29</v>
      </c>
      <c r="K159" s="149">
        <f t="shared" si="52"/>
        <v>2408941.29</v>
      </c>
      <c r="L159" s="456">
        <f>+G159*100/E159</f>
        <v>0.66337642942027064</v>
      </c>
      <c r="N159" s="467">
        <v>4968.8899999999994</v>
      </c>
    </row>
    <row r="160" spans="1:14" x14ac:dyDescent="0.2">
      <c r="A160" s="96" t="s">
        <v>304</v>
      </c>
      <c r="B160" s="154" t="s">
        <v>305</v>
      </c>
      <c r="C160" s="124">
        <f>SUM(C161)</f>
        <v>118164</v>
      </c>
      <c r="D160" s="124">
        <f>SUM(D161)</f>
        <v>118164</v>
      </c>
      <c r="E160" s="150">
        <f>+E161</f>
        <v>19694</v>
      </c>
      <c r="F160" s="151">
        <f>+F161</f>
        <v>3373.87</v>
      </c>
      <c r="G160" s="124">
        <f>SUM(G161)</f>
        <v>6747.74</v>
      </c>
      <c r="H160" s="124">
        <f>+H161</f>
        <v>6747.74</v>
      </c>
      <c r="I160" s="124">
        <f>+I161</f>
        <v>6747.74</v>
      </c>
      <c r="J160" s="91">
        <f t="shared" si="51"/>
        <v>12946.26</v>
      </c>
      <c r="K160" s="124">
        <f t="shared" si="52"/>
        <v>111416.26</v>
      </c>
      <c r="L160" s="455">
        <f>+G160*100/E160</f>
        <v>34.262922717578959</v>
      </c>
      <c r="N160" s="51">
        <v>3373.87</v>
      </c>
    </row>
    <row r="161" spans="1:17" ht="13.5" customHeight="1" x14ac:dyDescent="0.2">
      <c r="A161" s="97" t="s">
        <v>306</v>
      </c>
      <c r="B161" s="140" t="s">
        <v>415</v>
      </c>
      <c r="C161" s="113">
        <v>118164</v>
      </c>
      <c r="D161" s="113">
        <v>118164</v>
      </c>
      <c r="E161" s="139">
        <v>19694</v>
      </c>
      <c r="F161" s="152">
        <v>3373.87</v>
      </c>
      <c r="G161" s="88">
        <f>+N161+F161</f>
        <v>6747.74</v>
      </c>
      <c r="H161" s="88">
        <v>6747.74</v>
      </c>
      <c r="I161" s="113">
        <v>6747.74</v>
      </c>
      <c r="J161" s="88">
        <f t="shared" si="51"/>
        <v>12946.26</v>
      </c>
      <c r="K161" s="113">
        <f t="shared" si="52"/>
        <v>111416.26</v>
      </c>
      <c r="L161" s="454">
        <f>+G161*100/E161</f>
        <v>34.262922717578959</v>
      </c>
      <c r="N161" s="51">
        <v>3373.87</v>
      </c>
      <c r="O161" t="s">
        <v>6</v>
      </c>
      <c r="P161" t="s">
        <v>6</v>
      </c>
    </row>
    <row r="162" spans="1:17" x14ac:dyDescent="0.2">
      <c r="A162" s="101" t="s">
        <v>307</v>
      </c>
      <c r="B162" s="124" t="s">
        <v>176</v>
      </c>
      <c r="C162" s="124">
        <f>SUM(C163:C167)</f>
        <v>956224</v>
      </c>
      <c r="D162" s="124">
        <f>SUM(D163:D167)</f>
        <v>1086224</v>
      </c>
      <c r="E162" s="150">
        <f>+E163+E164+E166+E167</f>
        <v>1032678</v>
      </c>
      <c r="F162" s="151">
        <f>SUM(F163:F167)</f>
        <v>0</v>
      </c>
      <c r="G162" s="91">
        <f>+N162+F162</f>
        <v>0</v>
      </c>
      <c r="H162" s="88"/>
      <c r="I162" s="124">
        <f>SUM(I163:I167)</f>
        <v>0</v>
      </c>
      <c r="J162" s="91">
        <f t="shared" si="51"/>
        <v>1032678</v>
      </c>
      <c r="K162" s="124">
        <f t="shared" si="52"/>
        <v>1086224</v>
      </c>
      <c r="L162" s="455">
        <f>+G162*100/E162</f>
        <v>0</v>
      </c>
      <c r="N162" s="51">
        <v>0</v>
      </c>
      <c r="Q162" s="1" t="s">
        <v>6</v>
      </c>
    </row>
    <row r="163" spans="1:17" ht="14.25" customHeight="1" x14ac:dyDescent="0.2">
      <c r="A163" s="97">
        <v>611</v>
      </c>
      <c r="B163" s="113" t="s">
        <v>348</v>
      </c>
      <c r="C163" s="113">
        <v>1800</v>
      </c>
      <c r="D163" s="113">
        <v>1800</v>
      </c>
      <c r="E163" s="100">
        <v>1800</v>
      </c>
      <c r="F163" s="152">
        <v>0</v>
      </c>
      <c r="G163" s="88">
        <f>+N163+F163</f>
        <v>0</v>
      </c>
      <c r="H163" s="88"/>
      <c r="I163" s="113">
        <v>0</v>
      </c>
      <c r="J163" s="88">
        <f t="shared" si="51"/>
        <v>1800</v>
      </c>
      <c r="K163" s="113">
        <f t="shared" si="52"/>
        <v>1800</v>
      </c>
      <c r="L163" s="454"/>
      <c r="N163" s="51">
        <v>0</v>
      </c>
    </row>
    <row r="164" spans="1:17" ht="13.5" customHeight="1" x14ac:dyDescent="0.2">
      <c r="A164" s="97">
        <v>612</v>
      </c>
      <c r="B164" s="113" t="s">
        <v>378</v>
      </c>
      <c r="C164" s="113">
        <v>172962</v>
      </c>
      <c r="D164" s="113">
        <v>302962</v>
      </c>
      <c r="E164" s="100">
        <v>302962</v>
      </c>
      <c r="F164" s="152">
        <v>0</v>
      </c>
      <c r="G164" s="88">
        <v>0</v>
      </c>
      <c r="H164" s="88"/>
      <c r="I164" s="113">
        <v>0</v>
      </c>
      <c r="J164" s="88">
        <f t="shared" si="51"/>
        <v>302962</v>
      </c>
      <c r="K164" s="113">
        <f t="shared" si="52"/>
        <v>302962</v>
      </c>
      <c r="L164" s="454">
        <f>+G164*100/E164</f>
        <v>0</v>
      </c>
      <c r="N164" s="51">
        <v>0</v>
      </c>
    </row>
    <row r="165" spans="1:17" ht="12" hidden="1" customHeight="1" x14ac:dyDescent="0.2">
      <c r="A165" s="97">
        <v>613</v>
      </c>
      <c r="B165" s="113" t="s">
        <v>358</v>
      </c>
      <c r="C165" s="113">
        <v>0</v>
      </c>
      <c r="D165" s="113">
        <v>0</v>
      </c>
      <c r="E165" s="100"/>
      <c r="F165" s="152"/>
      <c r="G165" s="88">
        <f>+N165+F165</f>
        <v>0</v>
      </c>
      <c r="H165" s="88"/>
      <c r="I165" s="113"/>
      <c r="J165" s="88">
        <f t="shared" si="51"/>
        <v>0</v>
      </c>
      <c r="K165" s="113">
        <f t="shared" si="52"/>
        <v>0</v>
      </c>
      <c r="L165" s="454" t="e">
        <f>+G165*100/E165</f>
        <v>#DIV/0!</v>
      </c>
      <c r="N165" s="51">
        <v>0</v>
      </c>
    </row>
    <row r="166" spans="1:17" ht="12.75" customHeight="1" x14ac:dyDescent="0.2">
      <c r="A166" s="97">
        <v>614</v>
      </c>
      <c r="B166" s="113" t="s">
        <v>357</v>
      </c>
      <c r="C166" s="113">
        <v>727916</v>
      </c>
      <c r="D166" s="113">
        <v>727916</v>
      </c>
      <c r="E166" s="100">
        <v>727916</v>
      </c>
      <c r="F166" s="152">
        <v>0</v>
      </c>
      <c r="G166" s="88">
        <f>+N166+F166</f>
        <v>0</v>
      </c>
      <c r="H166" s="88"/>
      <c r="I166" s="113">
        <v>0</v>
      </c>
      <c r="J166" s="88">
        <f t="shared" si="51"/>
        <v>727916</v>
      </c>
      <c r="K166" s="113">
        <f t="shared" si="52"/>
        <v>727916</v>
      </c>
      <c r="L166" s="454">
        <f>+G166*100/E166</f>
        <v>0</v>
      </c>
      <c r="N166" s="51">
        <v>0</v>
      </c>
    </row>
    <row r="167" spans="1:17" ht="13.5" customHeight="1" x14ac:dyDescent="0.2">
      <c r="A167" s="97">
        <v>619</v>
      </c>
      <c r="B167" s="113" t="s">
        <v>355</v>
      </c>
      <c r="C167" s="113">
        <v>53546</v>
      </c>
      <c r="D167" s="113">
        <v>53546</v>
      </c>
      <c r="E167" s="100">
        <v>0</v>
      </c>
      <c r="F167" s="152">
        <v>0</v>
      </c>
      <c r="G167" s="88">
        <f>+N167+F167</f>
        <v>0</v>
      </c>
      <c r="H167" s="88"/>
      <c r="I167" s="113">
        <v>0</v>
      </c>
      <c r="J167" s="88">
        <f t="shared" si="51"/>
        <v>0</v>
      </c>
      <c r="K167" s="113">
        <f t="shared" si="52"/>
        <v>53546</v>
      </c>
      <c r="L167" s="454" t="s">
        <v>6</v>
      </c>
      <c r="N167" s="51">
        <v>0</v>
      </c>
    </row>
    <row r="168" spans="1:17" ht="13.5" customHeight="1" x14ac:dyDescent="0.2">
      <c r="A168" s="96">
        <v>620</v>
      </c>
      <c r="B168" s="124" t="s">
        <v>308</v>
      </c>
      <c r="C168" s="124">
        <f>+C169+C170+C171</f>
        <v>771986</v>
      </c>
      <c r="D168" s="124">
        <f t="shared" ref="D168:I168" si="55">+D169+D170+D171</f>
        <v>745986</v>
      </c>
      <c r="E168" s="124">
        <f t="shared" si="55"/>
        <v>646536</v>
      </c>
      <c r="F168" s="124">
        <f t="shared" si="55"/>
        <v>880.95</v>
      </c>
      <c r="G168" s="124">
        <f t="shared" si="55"/>
        <v>2475.9700000000003</v>
      </c>
      <c r="H168" s="91">
        <f>+H170</f>
        <v>2266.67</v>
      </c>
      <c r="I168" s="124">
        <f t="shared" si="55"/>
        <v>1037.3800000000001</v>
      </c>
      <c r="J168" s="91">
        <f t="shared" si="51"/>
        <v>644060.03</v>
      </c>
      <c r="K168" s="124">
        <f t="shared" si="52"/>
        <v>743510.03</v>
      </c>
      <c r="L168" s="454">
        <f>+G168*100/E168</f>
        <v>0.3829593402378213</v>
      </c>
      <c r="N168" s="51">
        <v>1595.02</v>
      </c>
    </row>
    <row r="169" spans="1:17" ht="13.5" customHeight="1" x14ac:dyDescent="0.2">
      <c r="A169" s="97" t="s">
        <v>346</v>
      </c>
      <c r="B169" s="113" t="s">
        <v>347</v>
      </c>
      <c r="C169" s="113">
        <v>70000</v>
      </c>
      <c r="D169" s="113">
        <v>70000</v>
      </c>
      <c r="E169" s="113">
        <v>70000</v>
      </c>
      <c r="F169" s="152">
        <v>0</v>
      </c>
      <c r="G169" s="88">
        <f>+N169+F169</f>
        <v>0</v>
      </c>
      <c r="H169" s="88"/>
      <c r="I169" s="113">
        <v>0</v>
      </c>
      <c r="J169" s="88">
        <f t="shared" si="51"/>
        <v>70000</v>
      </c>
      <c r="K169" s="113">
        <f t="shared" si="52"/>
        <v>70000</v>
      </c>
      <c r="L169" s="454" t="s">
        <v>41</v>
      </c>
      <c r="N169" s="51">
        <v>0</v>
      </c>
    </row>
    <row r="170" spans="1:17" ht="12" customHeight="1" x14ac:dyDescent="0.2">
      <c r="A170" s="97">
        <v>624</v>
      </c>
      <c r="B170" s="113" t="s">
        <v>309</v>
      </c>
      <c r="C170" s="113">
        <v>648440</v>
      </c>
      <c r="D170" s="113">
        <v>622440</v>
      </c>
      <c r="E170" s="113">
        <v>522990</v>
      </c>
      <c r="F170" s="152">
        <v>880.95</v>
      </c>
      <c r="G170" s="88">
        <f>+N170+F170</f>
        <v>2475.9700000000003</v>
      </c>
      <c r="H170" s="88">
        <v>2266.67</v>
      </c>
      <c r="I170" s="113">
        <v>1037.3800000000001</v>
      </c>
      <c r="J170" s="88">
        <f t="shared" si="51"/>
        <v>520514.03</v>
      </c>
      <c r="K170" s="113">
        <f t="shared" si="52"/>
        <v>619964.03</v>
      </c>
      <c r="L170" s="454">
        <f>+G170*100/E170</f>
        <v>0.47342587812386477</v>
      </c>
      <c r="N170" s="51">
        <v>1595.02</v>
      </c>
    </row>
    <row r="171" spans="1:17" ht="12" customHeight="1" x14ac:dyDescent="0.2">
      <c r="A171" s="97">
        <v>629</v>
      </c>
      <c r="B171" s="113" t="s">
        <v>517</v>
      </c>
      <c r="C171" s="113">
        <v>53546</v>
      </c>
      <c r="D171" s="113">
        <v>53546</v>
      </c>
      <c r="E171" s="113">
        <v>53546</v>
      </c>
      <c r="F171" s="152"/>
      <c r="G171" s="88"/>
      <c r="H171" s="88"/>
      <c r="I171" s="100"/>
      <c r="J171" s="88"/>
      <c r="K171" s="113"/>
      <c r="L171" s="482"/>
      <c r="N171" s="51"/>
    </row>
    <row r="172" spans="1:17" ht="12" customHeight="1" x14ac:dyDescent="0.2">
      <c r="A172" s="96">
        <v>640</v>
      </c>
      <c r="B172" s="124" t="s">
        <v>518</v>
      </c>
      <c r="C172" s="124">
        <f>+C173</f>
        <v>159266</v>
      </c>
      <c r="D172" s="124">
        <f>+D173</f>
        <v>159266</v>
      </c>
      <c r="E172" s="124">
        <f>+E173</f>
        <v>53090</v>
      </c>
      <c r="F172" s="124">
        <f t="shared" ref="F172:K172" si="56">+F173</f>
        <v>0</v>
      </c>
      <c r="G172" s="124">
        <f t="shared" si="56"/>
        <v>0</v>
      </c>
      <c r="H172" s="124">
        <f t="shared" si="56"/>
        <v>0</v>
      </c>
      <c r="I172" s="124">
        <f t="shared" si="56"/>
        <v>0</v>
      </c>
      <c r="J172" s="124">
        <f t="shared" si="56"/>
        <v>0</v>
      </c>
      <c r="K172" s="124">
        <f t="shared" si="56"/>
        <v>0</v>
      </c>
      <c r="L172" s="482"/>
      <c r="N172" s="51">
        <v>0</v>
      </c>
    </row>
    <row r="173" spans="1:17" ht="12" customHeight="1" x14ac:dyDescent="0.2">
      <c r="A173" s="97">
        <v>641</v>
      </c>
      <c r="B173" s="113" t="s">
        <v>519</v>
      </c>
      <c r="C173" s="113">
        <v>159266</v>
      </c>
      <c r="D173" s="113">
        <v>159266</v>
      </c>
      <c r="E173" s="113">
        <v>53090</v>
      </c>
      <c r="F173" s="152"/>
      <c r="G173" s="88"/>
      <c r="H173" s="88"/>
      <c r="I173" s="100"/>
      <c r="J173" s="88"/>
      <c r="K173" s="113"/>
      <c r="N173" s="51"/>
    </row>
    <row r="174" spans="1:17" x14ac:dyDescent="0.2">
      <c r="A174" s="96" t="s">
        <v>310</v>
      </c>
      <c r="B174" s="154" t="s">
        <v>311</v>
      </c>
      <c r="C174" s="124">
        <f>SUM(C175:C177)</f>
        <v>287000</v>
      </c>
      <c r="D174" s="124">
        <f>SUM(D175:D177)</f>
        <v>293000</v>
      </c>
      <c r="E174" s="124">
        <f>SUM(E175:E177)</f>
        <v>293000</v>
      </c>
      <c r="F174" s="151">
        <f>SUM(F175:F177)</f>
        <v>4475</v>
      </c>
      <c r="G174" s="91">
        <f t="shared" ref="G174:G179" si="57">+N174+F174</f>
        <v>4475</v>
      </c>
      <c r="H174" s="91">
        <f>+H176+H177</f>
        <v>900</v>
      </c>
      <c r="I174" s="101">
        <f>SUM(I175:I177)</f>
        <v>900</v>
      </c>
      <c r="J174" s="91">
        <f>+E174-G174</f>
        <v>288525</v>
      </c>
      <c r="K174" s="124">
        <f t="shared" ref="K174:K179" si="58">+D174-G174</f>
        <v>288525</v>
      </c>
      <c r="L174" s="454">
        <f>+G174*100/E174</f>
        <v>1.5273037542662116</v>
      </c>
      <c r="N174" s="51">
        <v>0</v>
      </c>
    </row>
    <row r="175" spans="1:17" ht="13.5" customHeight="1" x14ac:dyDescent="0.2">
      <c r="A175" s="97">
        <v>662</v>
      </c>
      <c r="B175" s="140" t="s">
        <v>312</v>
      </c>
      <c r="C175" s="113">
        <v>116000</v>
      </c>
      <c r="D175" s="113">
        <v>116000</v>
      </c>
      <c r="E175" s="113">
        <v>116000</v>
      </c>
      <c r="F175" s="152">
        <v>0</v>
      </c>
      <c r="G175" s="88">
        <f t="shared" si="57"/>
        <v>0</v>
      </c>
      <c r="H175" s="88"/>
      <c r="I175" s="113">
        <v>0</v>
      </c>
      <c r="J175" s="88">
        <f>+E175-G175</f>
        <v>116000</v>
      </c>
      <c r="K175" s="113">
        <f t="shared" si="58"/>
        <v>116000</v>
      </c>
      <c r="L175" s="454">
        <f>+G175*100/E175</f>
        <v>0</v>
      </c>
      <c r="N175" s="51">
        <v>0</v>
      </c>
      <c r="O175" t="s">
        <v>520</v>
      </c>
    </row>
    <row r="176" spans="1:17" ht="11.25" customHeight="1" x14ac:dyDescent="0.2">
      <c r="A176" s="97" t="s">
        <v>313</v>
      </c>
      <c r="B176" s="140" t="s">
        <v>314</v>
      </c>
      <c r="C176" s="113">
        <v>0</v>
      </c>
      <c r="D176" s="113">
        <v>6000</v>
      </c>
      <c r="E176" s="113">
        <v>6000</v>
      </c>
      <c r="F176" s="152">
        <v>3575</v>
      </c>
      <c r="G176" s="88">
        <f t="shared" si="57"/>
        <v>3575</v>
      </c>
      <c r="H176" s="88"/>
      <c r="I176" s="113">
        <v>0</v>
      </c>
      <c r="J176" s="88" t="s">
        <v>6</v>
      </c>
      <c r="K176" s="113">
        <f t="shared" si="58"/>
        <v>2425</v>
      </c>
      <c r="L176" s="454" t="s">
        <v>6</v>
      </c>
      <c r="N176" s="51">
        <v>0</v>
      </c>
    </row>
    <row r="177" spans="1:14" ht="12.75" customHeight="1" x14ac:dyDescent="0.2">
      <c r="A177" s="97" t="s">
        <v>315</v>
      </c>
      <c r="B177" s="140" t="s">
        <v>316</v>
      </c>
      <c r="C177" s="113">
        <v>171000</v>
      </c>
      <c r="D177" s="113">
        <v>171000</v>
      </c>
      <c r="E177" s="113">
        <v>171000</v>
      </c>
      <c r="F177" s="152">
        <v>900</v>
      </c>
      <c r="G177" s="88">
        <f t="shared" si="57"/>
        <v>900</v>
      </c>
      <c r="H177" s="88">
        <v>900</v>
      </c>
      <c r="I177" s="113">
        <v>900</v>
      </c>
      <c r="J177" s="88">
        <f>+E177-G177</f>
        <v>170100</v>
      </c>
      <c r="K177" s="113">
        <f t="shared" si="58"/>
        <v>170100</v>
      </c>
      <c r="L177" s="454">
        <f>+G177*100/E177</f>
        <v>0.52631578947368418</v>
      </c>
      <c r="N177" s="51">
        <v>0</v>
      </c>
    </row>
    <row r="178" spans="1:14" ht="17.25" customHeight="1" x14ac:dyDescent="0.2">
      <c r="A178" s="96">
        <v>690</v>
      </c>
      <c r="B178" s="124" t="s">
        <v>351</v>
      </c>
      <c r="C178" s="124">
        <f>+C179</f>
        <v>0</v>
      </c>
      <c r="D178" s="124">
        <f>+D181</f>
        <v>20000</v>
      </c>
      <c r="E178" s="101">
        <f>+E181</f>
        <v>20000</v>
      </c>
      <c r="F178" s="151">
        <f>+F179+F181</f>
        <v>0</v>
      </c>
      <c r="G178" s="124">
        <f t="shared" si="57"/>
        <v>0</v>
      </c>
      <c r="H178" s="88"/>
      <c r="I178" s="124">
        <f>+I179</f>
        <v>0</v>
      </c>
      <c r="J178" s="91">
        <f>+E178-G178</f>
        <v>20000</v>
      </c>
      <c r="K178" s="124">
        <f t="shared" si="58"/>
        <v>20000</v>
      </c>
      <c r="L178" s="454">
        <f>+G178*100/E178</f>
        <v>0</v>
      </c>
      <c r="N178" s="51">
        <v>0</v>
      </c>
    </row>
    <row r="179" spans="1:14" ht="15.75" customHeight="1" x14ac:dyDescent="0.2">
      <c r="A179" s="97">
        <v>692</v>
      </c>
      <c r="B179" s="140" t="s">
        <v>506</v>
      </c>
      <c r="C179" s="113"/>
      <c r="D179" s="113"/>
      <c r="E179" s="100">
        <v>0</v>
      </c>
      <c r="F179" s="152">
        <v>0</v>
      </c>
      <c r="G179" s="113">
        <f t="shared" si="57"/>
        <v>0</v>
      </c>
      <c r="H179" s="88"/>
      <c r="I179" s="113">
        <v>0</v>
      </c>
      <c r="J179" s="88">
        <f>+E179-G179</f>
        <v>0</v>
      </c>
      <c r="K179" s="113">
        <f t="shared" si="58"/>
        <v>0</v>
      </c>
      <c r="L179" s="454" t="s">
        <v>6</v>
      </c>
      <c r="N179" s="51">
        <v>0</v>
      </c>
    </row>
    <row r="180" spans="1:14" ht="18" customHeight="1" x14ac:dyDescent="0.2">
      <c r="A180" s="97">
        <v>693</v>
      </c>
      <c r="B180" s="140" t="s">
        <v>513</v>
      </c>
      <c r="C180" s="113"/>
      <c r="D180" s="113"/>
      <c r="E180" s="100" t="s">
        <v>6</v>
      </c>
      <c r="F180" s="472"/>
      <c r="G180" s="100"/>
      <c r="H180" s="88"/>
      <c r="I180" s="113"/>
      <c r="J180" s="88"/>
      <c r="K180" s="113"/>
      <c r="L180" s="454" t="s">
        <v>6</v>
      </c>
      <c r="N180" s="51"/>
    </row>
    <row r="181" spans="1:14" ht="15.75" customHeight="1" thickBot="1" x14ac:dyDescent="0.25">
      <c r="A181" s="97">
        <v>697</v>
      </c>
      <c r="B181" s="140" t="s">
        <v>360</v>
      </c>
      <c r="C181" s="113"/>
      <c r="D181" s="113">
        <v>20000</v>
      </c>
      <c r="E181" s="100">
        <v>20000</v>
      </c>
      <c r="F181" s="152">
        <v>0</v>
      </c>
      <c r="G181" s="88">
        <f>+N181+F181</f>
        <v>0</v>
      </c>
      <c r="H181" s="88"/>
      <c r="I181" s="113"/>
      <c r="J181" s="88">
        <f>+E181-G181</f>
        <v>20000</v>
      </c>
      <c r="K181" s="124">
        <f>+D181-G181</f>
        <v>20000</v>
      </c>
      <c r="L181" s="454" t="s">
        <v>6</v>
      </c>
      <c r="N181" s="51">
        <v>0</v>
      </c>
    </row>
    <row r="182" spans="1:14" ht="28.9" customHeight="1" thickBot="1" x14ac:dyDescent="0.25">
      <c r="A182" s="103" t="s">
        <v>6</v>
      </c>
      <c r="B182" s="155" t="s">
        <v>317</v>
      </c>
      <c r="C182" s="156">
        <f t="shared" ref="C182:I182" si="59">+C159+C154+C94+C37+C11</f>
        <v>141094806</v>
      </c>
      <c r="D182" s="156">
        <f t="shared" si="59"/>
        <v>141094806</v>
      </c>
      <c r="E182" s="156">
        <f t="shared" si="59"/>
        <v>32792057</v>
      </c>
      <c r="F182" s="157">
        <f t="shared" si="59"/>
        <v>8368963.4400000004</v>
      </c>
      <c r="G182" s="156">
        <f t="shared" si="59"/>
        <v>15488849.27</v>
      </c>
      <c r="H182" s="156">
        <f t="shared" si="59"/>
        <v>12915470.279999999</v>
      </c>
      <c r="I182" s="156">
        <f t="shared" si="59"/>
        <v>13718968.939999999</v>
      </c>
      <c r="J182" s="158">
        <f>+E182-G182</f>
        <v>17303207.73</v>
      </c>
      <c r="K182" s="156">
        <f>+D182-G182</f>
        <v>125605956.73</v>
      </c>
      <c r="L182" s="457">
        <f>+G182*100/E182</f>
        <v>47.23353972579396</v>
      </c>
      <c r="N182" s="51">
        <v>7119885.8300000001</v>
      </c>
    </row>
    <row r="183" spans="1:14" x14ac:dyDescent="0.2">
      <c r="E183" s="32" t="s">
        <v>6</v>
      </c>
      <c r="I183" s="32" t="s">
        <v>6</v>
      </c>
    </row>
    <row r="184" spans="1:14" x14ac:dyDescent="0.2">
      <c r="E184" s="28" t="s">
        <v>6</v>
      </c>
      <c r="F184" s="167"/>
      <c r="I184" s="28" t="s">
        <v>6</v>
      </c>
    </row>
    <row r="185" spans="1:14" x14ac:dyDescent="0.2">
      <c r="I185" s="56" t="s">
        <v>6</v>
      </c>
    </row>
    <row r="187" spans="1:14" x14ac:dyDescent="0.2">
      <c r="D187" s="28" t="s">
        <v>6</v>
      </c>
    </row>
  </sheetData>
  <mergeCells count="12">
    <mergeCell ref="A2:L2"/>
    <mergeCell ref="A3:L3"/>
    <mergeCell ref="A4:L4"/>
    <mergeCell ref="A5:L5"/>
    <mergeCell ref="C8:E9"/>
    <mergeCell ref="F8:G9"/>
    <mergeCell ref="I8:I10"/>
    <mergeCell ref="L8:L10"/>
    <mergeCell ref="B8:B10"/>
    <mergeCell ref="A8:A10"/>
    <mergeCell ref="H8:H10"/>
    <mergeCell ref="J8:K10"/>
  </mergeCells>
  <phoneticPr fontId="3" type="noConversion"/>
  <pageMargins left="0.51181102362204722" right="0.11811023622047245" top="0.55118110236220474" bottom="0.55118110236220474" header="0.31496062992125984" footer="0.31496062992125984"/>
  <pageSetup scale="80" orientation="portrait" horizontalDpi="4294967294" verticalDpi="4294967294" r:id="rId1"/>
  <ignoredErrors>
    <ignoredError sqref="F29 F16 I128 C134 E134:F134 H134 F45 C45 H45:I45 E45 C16:E16 E22:F22" formulaRange="1"/>
    <ignoredError sqref="G29 G16:I16 G58 G67:G80 G135:G144 D12 G90:G132 G82:G86 G154:G181 G146:G153" formula="1"/>
    <ignoredError sqref="G45 G134" formula="1" formulaRange="1"/>
    <ignoredError sqref="A118:F118 A12:A23 A41:A81 A39:A40 A94:A117 A119:A120 A121:A143 H118:M118 O118:XFD118 A24:A3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theme="6" tint="0.39997558519241921"/>
  </sheetPr>
  <dimension ref="A1:P148"/>
  <sheetViews>
    <sheetView showGridLines="0" showZeros="0" topLeftCell="A8" workbookViewId="0">
      <selection activeCell="G16" sqref="G16"/>
    </sheetView>
  </sheetViews>
  <sheetFormatPr baseColWidth="10" defaultRowHeight="12.75" x14ac:dyDescent="0.2"/>
  <cols>
    <col min="1" max="1" width="4.85546875" customWidth="1"/>
    <col min="2" max="2" width="33" customWidth="1"/>
    <col min="3" max="3" width="12.42578125" bestFit="1" customWidth="1"/>
    <col min="4" max="4" width="14.28515625" customWidth="1"/>
    <col min="5" max="5" width="11.5703125" customWidth="1"/>
    <col min="6" max="6" width="13.28515625" customWidth="1"/>
    <col min="7" max="7" width="13.42578125" customWidth="1"/>
    <col min="8" max="9" width="13" customWidth="1"/>
    <col min="10" max="10" width="13" bestFit="1" customWidth="1"/>
    <col min="11" max="11" width="13.42578125" hidden="1" customWidth="1"/>
    <col min="12" max="12" width="12.85546875" customWidth="1"/>
  </cols>
  <sheetData>
    <row r="1" spans="1:12" ht="20.25" customHeight="1" x14ac:dyDescent="0.25">
      <c r="A1" s="601" t="s">
        <v>413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</row>
    <row r="2" spans="1:12" ht="18.75" customHeight="1" x14ac:dyDescent="0.25">
      <c r="A2" s="601" t="s">
        <v>426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</row>
    <row r="3" spans="1:12" ht="19.899999999999999" customHeight="1" x14ac:dyDescent="0.25">
      <c r="A3" s="602" t="s">
        <v>404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</row>
    <row r="4" spans="1:12" ht="19.899999999999999" customHeight="1" x14ac:dyDescent="0.25">
      <c r="A4" s="602" t="s">
        <v>573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</row>
    <row r="5" spans="1:12" ht="6" customHeight="1" x14ac:dyDescent="0.2">
      <c r="A5" s="681"/>
      <c r="B5" s="681"/>
      <c r="C5" s="681"/>
      <c r="D5" s="681"/>
      <c r="E5" s="681"/>
      <c r="F5" s="681"/>
      <c r="G5" s="681"/>
      <c r="H5" s="681"/>
      <c r="I5" s="681"/>
      <c r="J5" s="681"/>
      <c r="K5" s="681"/>
      <c r="L5" s="681"/>
    </row>
    <row r="6" spans="1:12" ht="19.899999999999999" customHeight="1" x14ac:dyDescent="0.2">
      <c r="A6" s="688" t="s">
        <v>398</v>
      </c>
      <c r="B6" s="691" t="s">
        <v>0</v>
      </c>
      <c r="C6" s="694" t="s">
        <v>34</v>
      </c>
      <c r="D6" s="695"/>
      <c r="E6" s="696"/>
      <c r="F6" s="700" t="s">
        <v>96</v>
      </c>
      <c r="G6" s="701"/>
      <c r="H6" s="682" t="s">
        <v>545</v>
      </c>
      <c r="I6" s="682" t="s">
        <v>97</v>
      </c>
      <c r="J6" s="704" t="s">
        <v>319</v>
      </c>
      <c r="K6" s="705"/>
      <c r="L6" s="685" t="s">
        <v>402</v>
      </c>
    </row>
    <row r="7" spans="1:12" ht="6" customHeight="1" x14ac:dyDescent="0.2">
      <c r="A7" s="689"/>
      <c r="B7" s="692"/>
      <c r="C7" s="697"/>
      <c r="D7" s="698"/>
      <c r="E7" s="699"/>
      <c r="F7" s="702"/>
      <c r="G7" s="703"/>
      <c r="H7" s="683"/>
      <c r="I7" s="683"/>
      <c r="J7" s="706"/>
      <c r="K7" s="707"/>
      <c r="L7" s="686"/>
    </row>
    <row r="8" spans="1:12" ht="19.899999999999999" customHeight="1" x14ac:dyDescent="0.2">
      <c r="A8" s="690"/>
      <c r="B8" s="693"/>
      <c r="C8" s="504" t="s">
        <v>98</v>
      </c>
      <c r="D8" s="504" t="s">
        <v>12</v>
      </c>
      <c r="E8" s="504" t="s">
        <v>2</v>
      </c>
      <c r="F8" s="505" t="s">
        <v>39</v>
      </c>
      <c r="G8" s="505" t="s">
        <v>99</v>
      </c>
      <c r="H8" s="684"/>
      <c r="I8" s="684"/>
      <c r="J8" s="708"/>
      <c r="K8" s="709"/>
      <c r="L8" s="687"/>
    </row>
    <row r="9" spans="1:12" ht="19.899999999999999" customHeight="1" x14ac:dyDescent="0.2">
      <c r="A9" s="340" t="s">
        <v>100</v>
      </c>
      <c r="B9" s="341" t="s">
        <v>101</v>
      </c>
      <c r="C9" s="342">
        <v>125299729</v>
      </c>
      <c r="D9" s="342">
        <v>125169729</v>
      </c>
      <c r="E9" s="342">
        <v>23452604</v>
      </c>
      <c r="F9" s="342">
        <v>7461311.1000000006</v>
      </c>
      <c r="G9" s="342">
        <v>14416490.93</v>
      </c>
      <c r="H9" s="342">
        <v>12576467.84</v>
      </c>
      <c r="I9" s="342">
        <v>13476355.85</v>
      </c>
      <c r="J9" s="342">
        <v>9036113.0700000003</v>
      </c>
      <c r="K9" s="342">
        <v>110753238.06999999</v>
      </c>
      <c r="L9" s="343">
        <v>61.470747256893091</v>
      </c>
    </row>
    <row r="10" spans="1:12" ht="15" customHeight="1" x14ac:dyDescent="0.2">
      <c r="A10" s="327" t="s">
        <v>102</v>
      </c>
      <c r="B10" s="328" t="s">
        <v>103</v>
      </c>
      <c r="C10" s="329">
        <v>83395405</v>
      </c>
      <c r="D10" s="329">
        <v>83147405</v>
      </c>
      <c r="E10" s="329">
        <v>14557014</v>
      </c>
      <c r="F10" s="329">
        <v>5355429.74</v>
      </c>
      <c r="G10" s="329">
        <v>10278797.700000001</v>
      </c>
      <c r="H10" s="1">
        <v>10280206.24</v>
      </c>
      <c r="I10" s="329">
        <v>10278797.700000001</v>
      </c>
      <c r="J10" s="329">
        <v>4278216.2999999989</v>
      </c>
      <c r="K10" s="329">
        <v>72868607.299999997</v>
      </c>
      <c r="L10" s="330">
        <v>70.610619045911491</v>
      </c>
    </row>
    <row r="11" spans="1:12" ht="15" customHeight="1" x14ac:dyDescent="0.2">
      <c r="A11" s="327" t="s">
        <v>104</v>
      </c>
      <c r="B11" s="328" t="s">
        <v>103</v>
      </c>
      <c r="C11" s="329">
        <v>71073045</v>
      </c>
      <c r="D11" s="329">
        <v>70825045</v>
      </c>
      <c r="E11" s="329">
        <v>11371186</v>
      </c>
      <c r="F11" s="329">
        <v>5057896.6900000004</v>
      </c>
      <c r="G11" s="329">
        <v>9854397.8300000001</v>
      </c>
      <c r="H11" s="329">
        <v>9855806.3699999992</v>
      </c>
      <c r="I11" s="329">
        <v>9854397.8300000001</v>
      </c>
      <c r="J11" s="329">
        <v>1516788.17</v>
      </c>
      <c r="K11" s="329">
        <v>60970647.170000002</v>
      </c>
      <c r="L11" s="330">
        <v>86.661126025025013</v>
      </c>
    </row>
    <row r="12" spans="1:12" ht="15" customHeight="1" x14ac:dyDescent="0.2">
      <c r="A12" s="327" t="s">
        <v>105</v>
      </c>
      <c r="B12" s="328" t="s">
        <v>106</v>
      </c>
      <c r="C12" s="329">
        <v>3944236</v>
      </c>
      <c r="D12" s="329">
        <v>3944236</v>
      </c>
      <c r="E12" s="329">
        <v>644283</v>
      </c>
      <c r="F12" s="329">
        <v>252744.01</v>
      </c>
      <c r="G12" s="329">
        <v>364707.39</v>
      </c>
      <c r="H12" s="329">
        <v>364707.39</v>
      </c>
      <c r="I12" s="329">
        <v>364707.39</v>
      </c>
      <c r="J12" s="329">
        <v>279575.61</v>
      </c>
      <c r="K12" s="329">
        <v>3579528.61</v>
      </c>
      <c r="L12" s="330">
        <v>56.606706990561598</v>
      </c>
    </row>
    <row r="13" spans="1:12" ht="15" customHeight="1" x14ac:dyDescent="0.2">
      <c r="A13" s="327" t="s">
        <v>107</v>
      </c>
      <c r="B13" s="328" t="s">
        <v>108</v>
      </c>
      <c r="C13" s="329">
        <v>8378124</v>
      </c>
      <c r="D13" s="329">
        <v>8378124</v>
      </c>
      <c r="E13" s="329">
        <v>2541545</v>
      </c>
      <c r="F13" s="329">
        <v>44789.04</v>
      </c>
      <c r="G13" s="329">
        <v>59692.480000000003</v>
      </c>
      <c r="H13" s="329">
        <v>59692.480000000003</v>
      </c>
      <c r="I13" s="329">
        <v>59692.480000000003</v>
      </c>
      <c r="J13" s="329">
        <v>2481852.52</v>
      </c>
      <c r="K13" s="329">
        <v>8318431.5199999996</v>
      </c>
      <c r="L13" s="330">
        <v>2.3486690182546441</v>
      </c>
    </row>
    <row r="14" spans="1:12" ht="15" customHeight="1" x14ac:dyDescent="0.2">
      <c r="A14" s="327" t="s">
        <v>109</v>
      </c>
      <c r="B14" s="328" t="s">
        <v>110</v>
      </c>
      <c r="C14" s="329">
        <v>17439165</v>
      </c>
      <c r="D14" s="329">
        <v>17439165</v>
      </c>
      <c r="E14" s="329">
        <v>2632042</v>
      </c>
      <c r="F14" s="329">
        <v>1134533.6600000001</v>
      </c>
      <c r="G14" s="329">
        <v>2262111.6</v>
      </c>
      <c r="H14" s="329">
        <v>2262861.6</v>
      </c>
      <c r="I14" s="329">
        <v>2262111.6</v>
      </c>
      <c r="J14" s="329">
        <v>369930.39999999991</v>
      </c>
      <c r="K14" s="329">
        <v>15177053.4</v>
      </c>
      <c r="L14" s="330">
        <v>85.945117897054828</v>
      </c>
    </row>
    <row r="15" spans="1:12" ht="15" customHeight="1" x14ac:dyDescent="0.2">
      <c r="A15" s="327" t="s">
        <v>116</v>
      </c>
      <c r="B15" s="328" t="s">
        <v>117</v>
      </c>
      <c r="C15" s="329">
        <v>228000</v>
      </c>
      <c r="D15" s="329">
        <v>228000</v>
      </c>
      <c r="E15" s="329">
        <v>38000</v>
      </c>
      <c r="F15" s="329">
        <v>16700</v>
      </c>
      <c r="G15" s="329">
        <v>33400</v>
      </c>
      <c r="H15" s="329">
        <v>33400</v>
      </c>
      <c r="I15" s="329">
        <v>33400</v>
      </c>
      <c r="J15" s="329">
        <v>4600</v>
      </c>
      <c r="K15" s="329">
        <v>194600</v>
      </c>
      <c r="L15" s="330">
        <v>87.89473684210526</v>
      </c>
    </row>
    <row r="16" spans="1:12" ht="15" customHeight="1" x14ac:dyDescent="0.2">
      <c r="A16" s="327" t="s">
        <v>118</v>
      </c>
      <c r="B16" s="328" t="s">
        <v>119</v>
      </c>
      <c r="C16" s="329">
        <v>8407425</v>
      </c>
      <c r="D16" s="329">
        <v>8407425</v>
      </c>
      <c r="E16" s="329">
        <v>2802483</v>
      </c>
      <c r="F16" s="329">
        <v>0</v>
      </c>
      <c r="G16" s="329">
        <v>0</v>
      </c>
      <c r="H16" s="329"/>
      <c r="I16" s="329">
        <v>0</v>
      </c>
      <c r="J16" s="329">
        <v>2802483</v>
      </c>
      <c r="K16" s="329">
        <v>8407425</v>
      </c>
      <c r="L16" s="330" t="s">
        <v>6</v>
      </c>
    </row>
    <row r="17" spans="1:12" ht="15" customHeight="1" x14ac:dyDescent="0.2">
      <c r="A17" s="327" t="s">
        <v>120</v>
      </c>
      <c r="B17" s="328" t="s">
        <v>121</v>
      </c>
      <c r="C17" s="329">
        <v>15829734</v>
      </c>
      <c r="D17" s="329">
        <v>15779734</v>
      </c>
      <c r="E17" s="329">
        <v>3255065</v>
      </c>
      <c r="F17" s="329">
        <v>953436.59</v>
      </c>
      <c r="G17" s="329">
        <v>1840970.5199999998</v>
      </c>
      <c r="H17" s="329"/>
      <c r="I17" s="329">
        <v>901002.54</v>
      </c>
      <c r="J17" s="329">
        <v>1414094.4800000002</v>
      </c>
      <c r="K17" s="329">
        <v>13938763.48</v>
      </c>
      <c r="L17" s="330">
        <v>56.557104696834003</v>
      </c>
    </row>
    <row r="18" spans="1:12" ht="15" customHeight="1" x14ac:dyDescent="0.2">
      <c r="A18" s="327" t="s">
        <v>130</v>
      </c>
      <c r="B18" s="328" t="s">
        <v>131</v>
      </c>
      <c r="C18" s="329">
        <v>0</v>
      </c>
      <c r="D18" s="329">
        <v>0</v>
      </c>
      <c r="E18" s="329">
        <v>0</v>
      </c>
      <c r="F18" s="329">
        <v>0</v>
      </c>
      <c r="G18" s="329">
        <v>0</v>
      </c>
      <c r="H18" s="329"/>
      <c r="I18" s="329">
        <v>0</v>
      </c>
      <c r="J18" s="329">
        <v>0</v>
      </c>
      <c r="K18" s="329" t="e">
        <v>#REF!</v>
      </c>
      <c r="L18" s="330">
        <v>0</v>
      </c>
    </row>
    <row r="19" spans="1:12" ht="15" customHeight="1" x14ac:dyDescent="0.2">
      <c r="A19" s="327" t="s">
        <v>132</v>
      </c>
      <c r="B19" s="328" t="s">
        <v>133</v>
      </c>
      <c r="C19" s="329">
        <v>0</v>
      </c>
      <c r="D19" s="329">
        <v>168000</v>
      </c>
      <c r="E19" s="329">
        <v>168000</v>
      </c>
      <c r="F19" s="329">
        <v>1211.1099999999999</v>
      </c>
      <c r="G19" s="329">
        <v>1211.1099999999999</v>
      </c>
      <c r="H19" s="329"/>
      <c r="I19" s="329">
        <v>1044.01</v>
      </c>
      <c r="J19" s="329">
        <v>166788.89000000001</v>
      </c>
      <c r="K19" s="329">
        <v>166788.89000000001</v>
      </c>
      <c r="L19" s="330">
        <v>67.906544890076177</v>
      </c>
    </row>
    <row r="20" spans="1:12" ht="15" customHeight="1" x14ac:dyDescent="0.2">
      <c r="A20" s="327"/>
      <c r="B20" s="328"/>
      <c r="C20" s="329"/>
      <c r="D20" s="329"/>
      <c r="E20" s="329"/>
      <c r="F20" s="329"/>
      <c r="G20" s="329"/>
      <c r="H20" s="501"/>
      <c r="I20" s="329"/>
      <c r="J20" s="329"/>
      <c r="K20" s="329"/>
      <c r="L20" s="330"/>
    </row>
    <row r="21" spans="1:12" ht="19.899999999999999" customHeight="1" x14ac:dyDescent="0.2">
      <c r="A21" s="344" t="s">
        <v>137</v>
      </c>
      <c r="B21" s="331" t="s">
        <v>138</v>
      </c>
      <c r="C21" s="332">
        <v>7951962</v>
      </c>
      <c r="D21" s="332">
        <v>7538462</v>
      </c>
      <c r="E21" s="332">
        <v>3157668</v>
      </c>
      <c r="F21" s="332">
        <v>431912.35000000003</v>
      </c>
      <c r="G21" s="332">
        <v>471498.95999999996</v>
      </c>
      <c r="H21" s="502">
        <v>269355.26999999996</v>
      </c>
      <c r="I21" s="332">
        <v>217202.97</v>
      </c>
      <c r="J21" s="332">
        <v>2686169.04</v>
      </c>
      <c r="K21" s="332">
        <v>7066963.04</v>
      </c>
      <c r="L21" s="333">
        <v>14.931872508446107</v>
      </c>
    </row>
    <row r="22" spans="1:12" ht="15" customHeight="1" x14ac:dyDescent="0.2">
      <c r="A22" s="327">
        <v>100</v>
      </c>
      <c r="B22" s="328" t="s">
        <v>139</v>
      </c>
      <c r="C22" s="329">
        <v>151437</v>
      </c>
      <c r="D22" s="329">
        <v>147337</v>
      </c>
      <c r="E22" s="329">
        <v>76937</v>
      </c>
      <c r="F22" s="329">
        <v>15721.84</v>
      </c>
      <c r="G22" s="329">
        <v>15848.1</v>
      </c>
      <c r="H22" s="329">
        <v>126.26</v>
      </c>
      <c r="I22" s="329">
        <v>0</v>
      </c>
      <c r="J22" s="329">
        <v>61088.9</v>
      </c>
      <c r="K22" s="329">
        <v>131488.9</v>
      </c>
      <c r="L22" s="334">
        <v>20.598801616907341</v>
      </c>
    </row>
    <row r="23" spans="1:12" ht="15" customHeight="1" x14ac:dyDescent="0.2">
      <c r="A23" s="345" t="s">
        <v>152</v>
      </c>
      <c r="B23" s="329" t="s">
        <v>153</v>
      </c>
      <c r="C23" s="329">
        <v>3352943</v>
      </c>
      <c r="D23" s="329">
        <v>3611443</v>
      </c>
      <c r="E23" s="329">
        <v>1014633</v>
      </c>
      <c r="F23" s="329">
        <v>299201.42</v>
      </c>
      <c r="G23" s="329">
        <v>302705.5</v>
      </c>
      <c r="H23" s="329">
        <v>224148.22</v>
      </c>
      <c r="I23" s="329">
        <v>177262.92</v>
      </c>
      <c r="J23" s="329">
        <v>711927.5</v>
      </c>
      <c r="K23" s="329">
        <v>3308737.5</v>
      </c>
      <c r="L23" s="334">
        <v>29.833989235516686</v>
      </c>
    </row>
    <row r="24" spans="1:12" ht="15" customHeight="1" x14ac:dyDescent="0.2">
      <c r="A24" s="345" t="s">
        <v>164</v>
      </c>
      <c r="B24" s="329" t="s">
        <v>165</v>
      </c>
      <c r="C24" s="329">
        <v>87500</v>
      </c>
      <c r="D24" s="329">
        <v>27900</v>
      </c>
      <c r="E24" s="329">
        <v>27900</v>
      </c>
      <c r="F24" s="329">
        <v>1500</v>
      </c>
      <c r="G24" s="329">
        <v>1774.73</v>
      </c>
      <c r="H24" s="329">
        <v>274.73</v>
      </c>
      <c r="I24" s="329">
        <v>0</v>
      </c>
      <c r="J24" s="329">
        <v>26125.27</v>
      </c>
      <c r="K24" s="329">
        <v>26125.27</v>
      </c>
      <c r="L24" s="334">
        <v>6.3610394265232975</v>
      </c>
    </row>
    <row r="25" spans="1:12" ht="15" customHeight="1" x14ac:dyDescent="0.2">
      <c r="A25" s="345" t="s">
        <v>166</v>
      </c>
      <c r="B25" s="329" t="s">
        <v>167</v>
      </c>
      <c r="C25" s="329">
        <v>163284</v>
      </c>
      <c r="D25" s="329">
        <v>82184</v>
      </c>
      <c r="E25" s="329">
        <v>60460</v>
      </c>
      <c r="F25" s="329">
        <v>2696.4</v>
      </c>
      <c r="G25" s="329">
        <v>3023.82</v>
      </c>
      <c r="H25" s="329">
        <v>370.22</v>
      </c>
      <c r="I25" s="329">
        <v>0</v>
      </c>
      <c r="J25" s="329">
        <v>57436.18</v>
      </c>
      <c r="K25" s="329">
        <v>79160.179999999993</v>
      </c>
      <c r="L25" s="334">
        <v>5.0013562686073438</v>
      </c>
    </row>
    <row r="26" spans="1:12" ht="15" customHeight="1" x14ac:dyDescent="0.2">
      <c r="A26" s="345" t="s">
        <v>170</v>
      </c>
      <c r="B26" s="329" t="s">
        <v>171</v>
      </c>
      <c r="C26" s="329">
        <v>981486</v>
      </c>
      <c r="D26" s="329">
        <v>666486</v>
      </c>
      <c r="E26" s="329">
        <v>274262</v>
      </c>
      <c r="F26" s="329">
        <v>24664</v>
      </c>
      <c r="G26" s="329">
        <v>35484</v>
      </c>
      <c r="H26" s="329">
        <v>35484</v>
      </c>
      <c r="I26" s="329">
        <v>33670</v>
      </c>
      <c r="J26" s="329">
        <v>238778</v>
      </c>
      <c r="K26" s="329">
        <v>631002</v>
      </c>
      <c r="L26" s="334">
        <v>12.937993597363105</v>
      </c>
    </row>
    <row r="27" spans="1:12" ht="15" customHeight="1" x14ac:dyDescent="0.2">
      <c r="A27" s="345" t="s">
        <v>177</v>
      </c>
      <c r="B27" s="329" t="s">
        <v>178</v>
      </c>
      <c r="C27" s="329">
        <v>448811</v>
      </c>
      <c r="D27" s="329">
        <v>389811</v>
      </c>
      <c r="E27" s="329">
        <v>174380</v>
      </c>
      <c r="F27" s="329">
        <v>4465.4799999999996</v>
      </c>
      <c r="G27" s="329">
        <v>6992.1299999999992</v>
      </c>
      <c r="H27" s="329">
        <v>5363.19</v>
      </c>
      <c r="I27" s="329">
        <v>4410.6099999999997</v>
      </c>
      <c r="J27" s="329">
        <v>167387.87</v>
      </c>
      <c r="K27" s="329">
        <v>382818.87</v>
      </c>
      <c r="L27" s="334">
        <v>4.0097086821883234</v>
      </c>
    </row>
    <row r="28" spans="1:12" ht="15" customHeight="1" x14ac:dyDescent="0.2">
      <c r="A28" s="345" t="s">
        <v>182</v>
      </c>
      <c r="B28" s="329" t="s">
        <v>183</v>
      </c>
      <c r="C28" s="329">
        <v>1451047</v>
      </c>
      <c r="D28" s="329">
        <v>1452047</v>
      </c>
      <c r="E28" s="329">
        <v>714025</v>
      </c>
      <c r="F28" s="329">
        <v>47556.790000000008</v>
      </c>
      <c r="G28" s="329">
        <v>52402.160000000011</v>
      </c>
      <c r="H28" s="329">
        <v>2186.9299999999998</v>
      </c>
      <c r="I28" s="329">
        <v>1411.53</v>
      </c>
      <c r="J28" s="329">
        <v>661622.84</v>
      </c>
      <c r="K28" s="329">
        <v>1399644.84</v>
      </c>
      <c r="L28" s="334">
        <v>7.3389811281117625</v>
      </c>
    </row>
    <row r="29" spans="1:12" ht="15" customHeight="1" x14ac:dyDescent="0.2">
      <c r="A29" s="346">
        <v>170</v>
      </c>
      <c r="B29" s="347" t="s">
        <v>356</v>
      </c>
      <c r="C29" s="329">
        <v>305833</v>
      </c>
      <c r="D29" s="329">
        <v>305833</v>
      </c>
      <c r="E29" s="329">
        <v>105159</v>
      </c>
      <c r="F29" s="329">
        <v>5017</v>
      </c>
      <c r="G29" s="329">
        <v>9866.76</v>
      </c>
      <c r="H29" s="329">
        <v>0</v>
      </c>
      <c r="I29" s="329">
        <v>0</v>
      </c>
      <c r="J29" s="329">
        <v>95292.24</v>
      </c>
      <c r="K29" s="329">
        <v>295966.24</v>
      </c>
      <c r="L29" s="334">
        <v>9.3827061877728006</v>
      </c>
    </row>
    <row r="30" spans="1:12" ht="15" customHeight="1" x14ac:dyDescent="0.2">
      <c r="A30" s="345" t="s">
        <v>191</v>
      </c>
      <c r="B30" s="329" t="s">
        <v>192</v>
      </c>
      <c r="C30" s="329">
        <v>1009621</v>
      </c>
      <c r="D30" s="329">
        <v>820121</v>
      </c>
      <c r="E30" s="329">
        <v>674612</v>
      </c>
      <c r="F30" s="329">
        <v>30752.26</v>
      </c>
      <c r="G30" s="329">
        <v>43064.6</v>
      </c>
      <c r="H30" s="329">
        <v>1064.56</v>
      </c>
      <c r="I30" s="329">
        <v>133.75</v>
      </c>
      <c r="J30" s="329">
        <v>631547.4</v>
      </c>
      <c r="K30" s="329">
        <v>777056.4</v>
      </c>
      <c r="L30" s="334">
        <v>6.3836101344180065</v>
      </c>
    </row>
    <row r="31" spans="1:12" ht="15" customHeight="1" x14ac:dyDescent="0.2">
      <c r="A31" s="327">
        <v>190</v>
      </c>
      <c r="B31" s="328" t="s">
        <v>196</v>
      </c>
      <c r="C31" s="329">
        <v>0</v>
      </c>
      <c r="D31" s="329">
        <v>35300</v>
      </c>
      <c r="E31" s="329">
        <v>35300</v>
      </c>
      <c r="F31" s="329">
        <v>337.15999999999997</v>
      </c>
      <c r="G31" s="329">
        <v>337.15999999999997</v>
      </c>
      <c r="H31" s="329">
        <v>337.15999999999997</v>
      </c>
      <c r="I31" s="329">
        <v>314.15999999999997</v>
      </c>
      <c r="J31" s="329">
        <v>34962.839999999997</v>
      </c>
      <c r="K31" s="329">
        <v>34962.839999999997</v>
      </c>
      <c r="L31" s="334">
        <v>0.95512747875354109</v>
      </c>
    </row>
    <row r="32" spans="1:12" ht="15" customHeight="1" x14ac:dyDescent="0.2">
      <c r="A32" s="327"/>
      <c r="B32" s="328"/>
      <c r="C32" s="329"/>
      <c r="D32" s="329"/>
      <c r="E32" s="329"/>
      <c r="F32" s="329"/>
      <c r="G32" s="329"/>
      <c r="H32" s="501"/>
      <c r="I32" s="329"/>
      <c r="J32" s="329"/>
      <c r="K32" s="329"/>
      <c r="L32" s="334"/>
    </row>
    <row r="33" spans="1:12" ht="19.899999999999999" customHeight="1" x14ac:dyDescent="0.2">
      <c r="A33" s="340" t="s">
        <v>197</v>
      </c>
      <c r="B33" s="341" t="s">
        <v>198</v>
      </c>
      <c r="C33" s="342">
        <v>3342561</v>
      </c>
      <c r="D33" s="342">
        <v>3748061</v>
      </c>
      <c r="E33" s="332">
        <v>2908787</v>
      </c>
      <c r="F33" s="342">
        <v>355516.75999999995</v>
      </c>
      <c r="G33" s="342">
        <v>475667.26000000007</v>
      </c>
      <c r="H33" s="332">
        <v>59050.91</v>
      </c>
      <c r="I33" s="342">
        <v>16724</v>
      </c>
      <c r="J33" s="342">
        <v>2433119.7399999998</v>
      </c>
      <c r="K33" s="342">
        <v>3272393.7399999998</v>
      </c>
      <c r="L33" s="348">
        <v>16.352770415984399</v>
      </c>
    </row>
    <row r="34" spans="1:12" ht="15" customHeight="1" x14ac:dyDescent="0.2">
      <c r="A34" s="327" t="s">
        <v>199</v>
      </c>
      <c r="B34" s="328" t="s">
        <v>200</v>
      </c>
      <c r="C34" s="329">
        <v>185018</v>
      </c>
      <c r="D34" s="329">
        <v>162018</v>
      </c>
      <c r="E34" s="329">
        <v>101430</v>
      </c>
      <c r="F34" s="329">
        <v>2457.0299999999997</v>
      </c>
      <c r="G34" s="329">
        <v>3200.5299999999997</v>
      </c>
      <c r="H34" s="329">
        <v>1880.04</v>
      </c>
      <c r="I34" s="329">
        <v>817.67</v>
      </c>
      <c r="J34" s="329">
        <v>98229.47</v>
      </c>
      <c r="K34" s="329">
        <v>158817.47</v>
      </c>
      <c r="L34" s="334">
        <v>3.1554076703145024</v>
      </c>
    </row>
    <row r="35" spans="1:12" ht="15" customHeight="1" x14ac:dyDescent="0.2">
      <c r="A35" s="345" t="s">
        <v>205</v>
      </c>
      <c r="B35" s="329" t="s">
        <v>206</v>
      </c>
      <c r="C35" s="329">
        <v>196410</v>
      </c>
      <c r="D35" s="329">
        <v>242510</v>
      </c>
      <c r="E35" s="329">
        <v>201725</v>
      </c>
      <c r="F35" s="329">
        <v>5102.84</v>
      </c>
      <c r="G35" s="329">
        <v>5520.14</v>
      </c>
      <c r="H35" s="329">
        <v>2263.1000000000004</v>
      </c>
      <c r="I35" s="329">
        <v>0</v>
      </c>
      <c r="J35" s="329">
        <v>196204.86</v>
      </c>
      <c r="K35" s="329">
        <v>236989.86</v>
      </c>
      <c r="L35" s="334">
        <v>2.7364679638121205</v>
      </c>
    </row>
    <row r="36" spans="1:12" ht="15" customHeight="1" x14ac:dyDescent="0.2">
      <c r="A36" s="345" t="s">
        <v>217</v>
      </c>
      <c r="B36" s="329" t="s">
        <v>218</v>
      </c>
      <c r="C36" s="329">
        <v>661282</v>
      </c>
      <c r="D36" s="329">
        <v>598582</v>
      </c>
      <c r="E36" s="329">
        <v>583735</v>
      </c>
      <c r="F36" s="329">
        <v>192394.25</v>
      </c>
      <c r="G36" s="329">
        <v>242771.74</v>
      </c>
      <c r="H36" s="329">
        <v>698.31</v>
      </c>
      <c r="I36" s="329">
        <v>555.62</v>
      </c>
      <c r="J36" s="329">
        <v>340963.26</v>
      </c>
      <c r="K36" s="329">
        <v>355810.26</v>
      </c>
      <c r="L36" s="334">
        <v>41.589375315853943</v>
      </c>
    </row>
    <row r="37" spans="1:12" ht="15" customHeight="1" x14ac:dyDescent="0.2">
      <c r="A37" s="345" t="s">
        <v>226</v>
      </c>
      <c r="B37" s="329" t="s">
        <v>227</v>
      </c>
      <c r="C37" s="329">
        <v>249812</v>
      </c>
      <c r="D37" s="329">
        <v>237812</v>
      </c>
      <c r="E37" s="329">
        <v>157430</v>
      </c>
      <c r="F37" s="329">
        <v>13052.34</v>
      </c>
      <c r="G37" s="329">
        <v>13216.91</v>
      </c>
      <c r="H37" s="329">
        <v>2730.03</v>
      </c>
      <c r="I37" s="329">
        <v>2474.85</v>
      </c>
      <c r="J37" s="329">
        <v>144213.09</v>
      </c>
      <c r="K37" s="329">
        <v>224595.09</v>
      </c>
      <c r="L37" s="334">
        <v>8.3954201867496661</v>
      </c>
    </row>
    <row r="38" spans="1:12" ht="15" customHeight="1" x14ac:dyDescent="0.2">
      <c r="A38" s="345" t="s">
        <v>234</v>
      </c>
      <c r="B38" s="329" t="s">
        <v>235</v>
      </c>
      <c r="C38" s="329">
        <v>258848</v>
      </c>
      <c r="D38" s="329">
        <v>250648</v>
      </c>
      <c r="E38" s="329">
        <v>180430</v>
      </c>
      <c r="F38" s="329">
        <v>3703.05</v>
      </c>
      <c r="G38" s="329">
        <v>4286.2</v>
      </c>
      <c r="H38" s="329">
        <v>969.63</v>
      </c>
      <c r="I38" s="329">
        <v>440.68</v>
      </c>
      <c r="J38" s="329">
        <v>176143.8</v>
      </c>
      <c r="K38" s="329">
        <v>246361.8</v>
      </c>
      <c r="L38" s="334">
        <v>2.3755473036634704</v>
      </c>
    </row>
    <row r="39" spans="1:12" ht="15" customHeight="1" x14ac:dyDescent="0.2">
      <c r="A39" s="345" t="s">
        <v>246</v>
      </c>
      <c r="B39" s="329" t="s">
        <v>247</v>
      </c>
      <c r="C39" s="329">
        <v>277892</v>
      </c>
      <c r="D39" s="329">
        <v>479792</v>
      </c>
      <c r="E39" s="329">
        <v>407584</v>
      </c>
      <c r="F39" s="329">
        <v>9963.07</v>
      </c>
      <c r="G39" s="329">
        <v>17775.310000000001</v>
      </c>
      <c r="H39" s="329">
        <v>9591.64</v>
      </c>
      <c r="I39" s="329">
        <v>8672.1999999999989</v>
      </c>
      <c r="J39" s="329">
        <v>389808.69</v>
      </c>
      <c r="K39" s="329">
        <v>462016.69</v>
      </c>
      <c r="L39" s="334">
        <v>4.3611402802857819</v>
      </c>
    </row>
    <row r="40" spans="1:12" ht="15" customHeight="1" x14ac:dyDescent="0.2">
      <c r="A40" s="345" t="s">
        <v>260</v>
      </c>
      <c r="B40" s="329" t="s">
        <v>261</v>
      </c>
      <c r="C40" s="329">
        <v>475695</v>
      </c>
      <c r="D40" s="329">
        <v>547595</v>
      </c>
      <c r="E40" s="329">
        <v>358388</v>
      </c>
      <c r="F40" s="329">
        <v>26841.000000000004</v>
      </c>
      <c r="G40" s="329">
        <v>30064.090000000004</v>
      </c>
      <c r="H40" s="329">
        <v>15460.589999999998</v>
      </c>
      <c r="I40" s="329">
        <v>1903.09</v>
      </c>
      <c r="J40" s="329">
        <v>328323.90999999997</v>
      </c>
      <c r="K40" s="329">
        <v>517530.91</v>
      </c>
      <c r="L40" s="334">
        <v>8.3886988403629594</v>
      </c>
    </row>
    <row r="41" spans="1:12" ht="15" customHeight="1" x14ac:dyDescent="0.2">
      <c r="A41" s="345" t="s">
        <v>267</v>
      </c>
      <c r="B41" s="329" t="s">
        <v>268</v>
      </c>
      <c r="C41" s="329">
        <v>829295</v>
      </c>
      <c r="D41" s="329">
        <v>731395</v>
      </c>
      <c r="E41" s="329">
        <v>438752</v>
      </c>
      <c r="F41" s="329">
        <v>69864.25</v>
      </c>
      <c r="G41" s="329">
        <v>125619.41</v>
      </c>
      <c r="H41" s="329">
        <v>19810.66</v>
      </c>
      <c r="I41" s="329">
        <v>1466.87</v>
      </c>
      <c r="J41" s="329">
        <v>313132.58999999997</v>
      </c>
      <c r="K41" s="329">
        <v>605775.59</v>
      </c>
      <c r="L41" s="334">
        <v>28.631074046386114</v>
      </c>
    </row>
    <row r="42" spans="1:12" ht="15.75" customHeight="1" x14ac:dyDescent="0.2">
      <c r="A42" s="345" t="s">
        <v>283</v>
      </c>
      <c r="B42" s="329" t="s">
        <v>284</v>
      </c>
      <c r="C42" s="329">
        <v>208309</v>
      </c>
      <c r="D42" s="329">
        <v>208309</v>
      </c>
      <c r="E42" s="329">
        <v>189913</v>
      </c>
      <c r="F42" s="329">
        <v>32080.43</v>
      </c>
      <c r="G42" s="329">
        <v>33154.43</v>
      </c>
      <c r="H42" s="329">
        <v>5588.41</v>
      </c>
      <c r="I42" s="329">
        <v>383.02</v>
      </c>
      <c r="J42" s="329">
        <v>156758.57</v>
      </c>
      <c r="K42" s="329">
        <v>175154.57</v>
      </c>
      <c r="L42" s="334">
        <v>17.457693786102059</v>
      </c>
    </row>
    <row r="43" spans="1:12" ht="16.5" customHeight="1" x14ac:dyDescent="0.2">
      <c r="A43" s="327">
        <v>290</v>
      </c>
      <c r="B43" s="329" t="s">
        <v>285</v>
      </c>
      <c r="C43" s="329">
        <v>0</v>
      </c>
      <c r="D43" s="329">
        <v>289400</v>
      </c>
      <c r="E43" s="329">
        <v>289400</v>
      </c>
      <c r="F43" s="329">
        <v>58.5</v>
      </c>
      <c r="G43" s="329">
        <v>58.5</v>
      </c>
      <c r="H43" s="329">
        <v>58.5</v>
      </c>
      <c r="I43" s="329">
        <v>10</v>
      </c>
      <c r="J43" s="329">
        <v>289341.5</v>
      </c>
      <c r="K43" s="329">
        <v>289341.5</v>
      </c>
      <c r="L43" s="334">
        <v>2.0214236351071183E-2</v>
      </c>
    </row>
    <row r="44" spans="1:12" x14ac:dyDescent="0.2">
      <c r="A44" s="327"/>
      <c r="B44" s="329"/>
      <c r="C44" s="329"/>
      <c r="D44" s="329"/>
      <c r="E44" s="329"/>
      <c r="F44" s="329"/>
      <c r="G44" s="329"/>
      <c r="I44" s="329"/>
      <c r="J44" s="329"/>
      <c r="K44" s="329"/>
      <c r="L44" s="334"/>
    </row>
    <row r="45" spans="1:12" ht="19.899999999999999" customHeight="1" x14ac:dyDescent="0.2">
      <c r="A45" s="349">
        <v>4</v>
      </c>
      <c r="B45" s="350" t="s">
        <v>297</v>
      </c>
      <c r="C45" s="350">
        <v>2207914</v>
      </c>
      <c r="D45" s="350">
        <v>2215914</v>
      </c>
      <c r="E45" s="350">
        <v>1208000</v>
      </c>
      <c r="F45" s="350">
        <v>111493.41</v>
      </c>
      <c r="G45" s="350">
        <v>111493.41</v>
      </c>
      <c r="H45" s="578">
        <v>681.85</v>
      </c>
      <c r="I45" s="350">
        <v>0</v>
      </c>
      <c r="J45" s="350">
        <v>1096506.5900000001</v>
      </c>
      <c r="K45" s="350">
        <v>2104420.59</v>
      </c>
      <c r="L45" s="351">
        <v>9.2295869205298011</v>
      </c>
    </row>
    <row r="46" spans="1:12" ht="14.25" customHeight="1" x14ac:dyDescent="0.2">
      <c r="A46" s="327">
        <v>430</v>
      </c>
      <c r="B46" s="352" t="s">
        <v>298</v>
      </c>
      <c r="C46" s="329">
        <v>2207914</v>
      </c>
      <c r="D46" s="329">
        <v>2215914</v>
      </c>
      <c r="E46" s="329">
        <v>1156000</v>
      </c>
      <c r="F46" s="329">
        <v>111493.41</v>
      </c>
      <c r="G46" s="329">
        <v>111493.41</v>
      </c>
      <c r="H46" s="329">
        <v>681.85</v>
      </c>
      <c r="I46" s="329">
        <v>0</v>
      </c>
      <c r="J46" s="329">
        <v>1044506.59</v>
      </c>
      <c r="K46" s="329">
        <v>2104420.59</v>
      </c>
      <c r="L46" s="334">
        <v>9.6447586505190319</v>
      </c>
    </row>
    <row r="47" spans="1:12" ht="15.75" customHeight="1" x14ac:dyDescent="0.2">
      <c r="A47" s="327">
        <v>490</v>
      </c>
      <c r="B47" s="329" t="s">
        <v>300</v>
      </c>
      <c r="C47" s="329">
        <v>0</v>
      </c>
      <c r="D47" s="329">
        <v>0</v>
      </c>
      <c r="E47" s="329">
        <v>52000</v>
      </c>
      <c r="F47" s="329">
        <v>0</v>
      </c>
      <c r="G47" s="329">
        <v>0</v>
      </c>
      <c r="I47" s="329">
        <v>0</v>
      </c>
      <c r="J47" s="329">
        <v>52000</v>
      </c>
      <c r="K47" s="329">
        <v>0</v>
      </c>
      <c r="L47" s="334" t="s">
        <v>6</v>
      </c>
    </row>
    <row r="48" spans="1:12" ht="9.6" customHeight="1" x14ac:dyDescent="0.2">
      <c r="A48" s="353"/>
      <c r="B48" s="354"/>
      <c r="C48" s="355"/>
      <c r="D48" s="354"/>
      <c r="E48" s="354"/>
      <c r="F48" s="354"/>
      <c r="G48" s="354"/>
      <c r="H48" s="501"/>
      <c r="I48" s="354"/>
      <c r="J48" s="354"/>
      <c r="K48" s="354"/>
      <c r="L48" s="356"/>
    </row>
    <row r="49" spans="1:16" ht="19.899999999999999" customHeight="1" x14ac:dyDescent="0.2">
      <c r="A49" s="349" t="s">
        <v>302</v>
      </c>
      <c r="B49" s="357" t="s">
        <v>392</v>
      </c>
      <c r="C49" s="350">
        <v>2292640</v>
      </c>
      <c r="D49" s="350">
        <v>2422640</v>
      </c>
      <c r="E49" s="350">
        <v>2064998</v>
      </c>
      <c r="F49" s="350">
        <v>8729.82</v>
      </c>
      <c r="G49" s="350">
        <v>13698.71</v>
      </c>
      <c r="H49" s="503">
        <v>9914.41</v>
      </c>
      <c r="I49" s="350">
        <v>8685.119999999999</v>
      </c>
      <c r="J49" s="350">
        <v>2051299.29</v>
      </c>
      <c r="K49" s="350">
        <v>2408941.29</v>
      </c>
      <c r="L49" s="351">
        <v>0.66337642942027064</v>
      </c>
    </row>
    <row r="50" spans="1:16" ht="15" customHeight="1" x14ac:dyDescent="0.2">
      <c r="A50" s="327" t="s">
        <v>304</v>
      </c>
      <c r="B50" s="328" t="s">
        <v>428</v>
      </c>
      <c r="C50" s="329">
        <v>118164</v>
      </c>
      <c r="D50" s="329">
        <v>118164</v>
      </c>
      <c r="E50" s="329">
        <v>19694</v>
      </c>
      <c r="F50" s="329">
        <v>3373.87</v>
      </c>
      <c r="G50" s="329">
        <v>6747.74</v>
      </c>
      <c r="H50" s="329">
        <v>6747.74</v>
      </c>
      <c r="I50" s="329">
        <v>6747.74</v>
      </c>
      <c r="J50" s="329">
        <v>12946.26</v>
      </c>
      <c r="K50" s="329">
        <v>111416.26</v>
      </c>
      <c r="L50" s="334">
        <v>34.262922717578959</v>
      </c>
    </row>
    <row r="51" spans="1:16" ht="15" customHeight="1" x14ac:dyDescent="0.2">
      <c r="A51" s="345" t="s">
        <v>307</v>
      </c>
      <c r="B51" s="329" t="s">
        <v>176</v>
      </c>
      <c r="C51" s="329">
        <v>956224</v>
      </c>
      <c r="D51" s="329">
        <v>1086224</v>
      </c>
      <c r="E51" s="329">
        <v>1032678</v>
      </c>
      <c r="F51" s="329">
        <v>0</v>
      </c>
      <c r="G51" s="329">
        <v>0</v>
      </c>
      <c r="H51" s="329">
        <v>0</v>
      </c>
      <c r="I51" s="329">
        <v>0</v>
      </c>
      <c r="J51" s="329">
        <v>1032678</v>
      </c>
      <c r="K51" s="329">
        <v>1086224</v>
      </c>
      <c r="L51" s="334">
        <v>0</v>
      </c>
    </row>
    <row r="52" spans="1:16" ht="15" customHeight="1" x14ac:dyDescent="0.2">
      <c r="A52" s="327">
        <v>620</v>
      </c>
      <c r="B52" s="329" t="s">
        <v>308</v>
      </c>
      <c r="C52" s="329">
        <v>771986</v>
      </c>
      <c r="D52" s="329">
        <v>745986</v>
      </c>
      <c r="E52" s="329">
        <v>646536</v>
      </c>
      <c r="F52" s="329">
        <v>880.95</v>
      </c>
      <c r="G52" s="329">
        <v>2475.9700000000003</v>
      </c>
      <c r="H52" s="329">
        <v>2266.67</v>
      </c>
      <c r="I52" s="329">
        <v>1037.3800000000001</v>
      </c>
      <c r="J52" s="329">
        <v>644060.03</v>
      </c>
      <c r="K52" s="329">
        <v>743510.03</v>
      </c>
      <c r="L52" s="334">
        <v>0.3829593402378213</v>
      </c>
    </row>
    <row r="53" spans="1:16" ht="15" customHeight="1" x14ac:dyDescent="0.2">
      <c r="A53" s="327">
        <v>640</v>
      </c>
      <c r="B53" s="329" t="s">
        <v>543</v>
      </c>
      <c r="C53" s="329">
        <v>159266</v>
      </c>
      <c r="D53" s="329">
        <v>159266</v>
      </c>
      <c r="E53" s="329">
        <v>53090</v>
      </c>
      <c r="F53" s="329">
        <v>0</v>
      </c>
      <c r="G53" s="329">
        <v>0</v>
      </c>
      <c r="H53" s="329"/>
      <c r="I53" s="329">
        <v>0</v>
      </c>
      <c r="J53" s="329"/>
      <c r="K53" s="329"/>
      <c r="L53" s="334"/>
    </row>
    <row r="54" spans="1:16" ht="15" customHeight="1" x14ac:dyDescent="0.2">
      <c r="A54" s="327" t="s">
        <v>310</v>
      </c>
      <c r="B54" s="328" t="s">
        <v>311</v>
      </c>
      <c r="C54" s="329">
        <v>287000</v>
      </c>
      <c r="D54" s="329">
        <v>293000</v>
      </c>
      <c r="E54" s="329">
        <v>293000</v>
      </c>
      <c r="F54" s="329">
        <v>4475</v>
      </c>
      <c r="G54" s="329">
        <v>4475</v>
      </c>
      <c r="H54" s="329">
        <v>900</v>
      </c>
      <c r="I54" s="329">
        <v>900</v>
      </c>
      <c r="J54" s="329">
        <v>288525</v>
      </c>
      <c r="K54" s="329">
        <v>288525</v>
      </c>
      <c r="L54" s="334">
        <v>1.5273037542662116</v>
      </c>
    </row>
    <row r="55" spans="1:16" ht="14.25" customHeight="1" x14ac:dyDescent="0.2">
      <c r="A55" s="327">
        <v>690</v>
      </c>
      <c r="B55" s="329" t="s">
        <v>427</v>
      </c>
      <c r="C55" s="329">
        <v>0</v>
      </c>
      <c r="D55" s="329">
        <v>20000</v>
      </c>
      <c r="E55" s="329">
        <v>20000</v>
      </c>
      <c r="F55" s="329">
        <v>0</v>
      </c>
      <c r="G55" s="329">
        <v>0</v>
      </c>
      <c r="H55" s="329">
        <v>0</v>
      </c>
      <c r="I55" s="329">
        <v>0</v>
      </c>
      <c r="J55" s="329">
        <v>20000</v>
      </c>
      <c r="K55" s="329">
        <v>20000</v>
      </c>
      <c r="L55" s="334" t="s">
        <v>6</v>
      </c>
    </row>
    <row r="56" spans="1:16" ht="19.899999999999999" customHeight="1" x14ac:dyDescent="0.2">
      <c r="A56" s="335" t="s">
        <v>6</v>
      </c>
      <c r="B56" s="336" t="s">
        <v>317</v>
      </c>
      <c r="C56" s="337">
        <v>141094806</v>
      </c>
      <c r="D56" s="337">
        <v>141094806</v>
      </c>
      <c r="E56" s="337">
        <v>32792057</v>
      </c>
      <c r="F56" s="337">
        <v>8368963.4400000004</v>
      </c>
      <c r="G56" s="337">
        <v>15488849.27</v>
      </c>
      <c r="H56" s="337">
        <v>12915470.279999999</v>
      </c>
      <c r="I56" s="337">
        <v>13718967.939999999</v>
      </c>
      <c r="J56" s="337">
        <v>17303207.73</v>
      </c>
      <c r="K56" s="337">
        <v>125605956.73</v>
      </c>
      <c r="L56" s="338">
        <v>47.23353972579396</v>
      </c>
    </row>
    <row r="57" spans="1:16" ht="7.5" customHeight="1" x14ac:dyDescent="0.3">
      <c r="A57" s="84"/>
      <c r="B57" s="84"/>
      <c r="C57" s="84"/>
      <c r="D57" s="84"/>
      <c r="E57" s="84"/>
      <c r="F57" s="84"/>
      <c r="G57" s="84"/>
      <c r="H57" s="84" t="s">
        <v>6</v>
      </c>
      <c r="I57" s="84"/>
      <c r="J57" s="84"/>
      <c r="K57" s="84"/>
      <c r="L57" s="84"/>
      <c r="N57" s="57" t="s">
        <v>6</v>
      </c>
      <c r="P57" t="s">
        <v>6</v>
      </c>
    </row>
    <row r="58" spans="1:16" ht="19.899999999999999" customHeight="1" x14ac:dyDescent="0.2">
      <c r="A58" s="680" t="s">
        <v>574</v>
      </c>
      <c r="B58" s="680"/>
      <c r="C58" s="680"/>
      <c r="D58" s="25"/>
      <c r="E58" s="40"/>
      <c r="F58" s="25"/>
      <c r="G58" s="40"/>
      <c r="H58" s="25"/>
      <c r="I58" s="25"/>
      <c r="J58" s="25"/>
      <c r="K58" s="25"/>
      <c r="L58" s="339"/>
    </row>
    <row r="59" spans="1:16" ht="19.899999999999999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6" ht="19.899999999999999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6" ht="19.899999999999999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6" ht="19.899999999999999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6" ht="19.899999999999999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6" ht="19.899999999999999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ht="19.899999999999999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ht="19.899999999999999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19.899999999999999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2" ht="19.899999999999999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9.899999999999999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ht="19.899999999999999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1:12" ht="19.899999999999999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ht="19.899999999999999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19.899999999999999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19.899999999999999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ht="19.899999999999999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19.899999999999999" customHeight="1" x14ac:dyDescent="0.2"/>
    <row r="77" spans="1:12" ht="19.899999999999999" customHeight="1" x14ac:dyDescent="0.2"/>
    <row r="78" spans="1:12" ht="19.899999999999999" customHeight="1" x14ac:dyDescent="0.2"/>
    <row r="79" spans="1:12" ht="19.899999999999999" customHeight="1" x14ac:dyDescent="0.2"/>
    <row r="80" spans="1:12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  <row r="84" ht="19.899999999999999" customHeight="1" x14ac:dyDescent="0.2"/>
    <row r="85" ht="19.899999999999999" customHeight="1" x14ac:dyDescent="0.2"/>
    <row r="86" ht="19.899999999999999" customHeight="1" x14ac:dyDescent="0.2"/>
    <row r="87" ht="19.899999999999999" customHeight="1" x14ac:dyDescent="0.2"/>
    <row r="88" ht="19.899999999999999" customHeight="1" x14ac:dyDescent="0.2"/>
    <row r="89" ht="19.899999999999999" customHeight="1" x14ac:dyDescent="0.2"/>
    <row r="90" ht="19.899999999999999" customHeight="1" x14ac:dyDescent="0.2"/>
    <row r="91" ht="19.899999999999999" customHeight="1" x14ac:dyDescent="0.2"/>
    <row r="92" ht="19.899999999999999" customHeight="1" x14ac:dyDescent="0.2"/>
    <row r="93" ht="19.899999999999999" customHeight="1" x14ac:dyDescent="0.2"/>
    <row r="94" ht="19.899999999999999" customHeight="1" x14ac:dyDescent="0.2"/>
    <row r="95" ht="19.899999999999999" customHeight="1" x14ac:dyDescent="0.2"/>
    <row r="96" ht="19.899999999999999" customHeight="1" x14ac:dyDescent="0.2"/>
    <row r="97" ht="19.899999999999999" customHeight="1" x14ac:dyDescent="0.2"/>
    <row r="98" ht="19.899999999999999" customHeight="1" x14ac:dyDescent="0.2"/>
    <row r="99" ht="19.899999999999999" customHeight="1" x14ac:dyDescent="0.2"/>
    <row r="100" ht="19.899999999999999" customHeight="1" x14ac:dyDescent="0.2"/>
    <row r="101" ht="19.899999999999999" customHeight="1" x14ac:dyDescent="0.2"/>
    <row r="102" ht="19.899999999999999" customHeight="1" x14ac:dyDescent="0.2"/>
    <row r="103" ht="19.899999999999999" customHeight="1" x14ac:dyDescent="0.2"/>
    <row r="104" ht="19.899999999999999" customHeight="1" x14ac:dyDescent="0.2"/>
    <row r="105" ht="19.899999999999999" customHeight="1" x14ac:dyDescent="0.2"/>
    <row r="106" ht="19.899999999999999" customHeight="1" x14ac:dyDescent="0.2"/>
    <row r="107" ht="19.899999999999999" customHeight="1" x14ac:dyDescent="0.2"/>
    <row r="108" ht="19.899999999999999" customHeight="1" x14ac:dyDescent="0.2"/>
    <row r="109" ht="19.899999999999999" customHeight="1" x14ac:dyDescent="0.2"/>
    <row r="110" ht="19.899999999999999" customHeight="1" x14ac:dyDescent="0.2"/>
    <row r="111" ht="19.899999999999999" customHeight="1" x14ac:dyDescent="0.2"/>
    <row r="112" ht="19.899999999999999" customHeight="1" x14ac:dyDescent="0.2"/>
    <row r="113" ht="19.899999999999999" customHeight="1" x14ac:dyDescent="0.2"/>
    <row r="114" ht="19.899999999999999" customHeight="1" x14ac:dyDescent="0.2"/>
    <row r="115" ht="19.899999999999999" customHeight="1" x14ac:dyDescent="0.2"/>
    <row r="116" ht="19.899999999999999" customHeight="1" x14ac:dyDescent="0.2"/>
    <row r="117" ht="19.899999999999999" customHeight="1" x14ac:dyDescent="0.2"/>
    <row r="118" ht="19.899999999999999" customHeight="1" x14ac:dyDescent="0.2"/>
    <row r="119" ht="19.899999999999999" customHeight="1" x14ac:dyDescent="0.2"/>
    <row r="120" ht="19.899999999999999" customHeight="1" x14ac:dyDescent="0.2"/>
    <row r="121" ht="19.899999999999999" customHeight="1" x14ac:dyDescent="0.2"/>
    <row r="122" ht="19.899999999999999" customHeight="1" x14ac:dyDescent="0.2"/>
    <row r="123" ht="19.899999999999999" customHeight="1" x14ac:dyDescent="0.2"/>
    <row r="124" ht="19.899999999999999" customHeight="1" x14ac:dyDescent="0.2"/>
    <row r="125" ht="19.899999999999999" customHeight="1" x14ac:dyDescent="0.2"/>
    <row r="126" ht="19.899999999999999" customHeight="1" x14ac:dyDescent="0.2"/>
    <row r="127" ht="19.899999999999999" customHeight="1" x14ac:dyDescent="0.2"/>
    <row r="128" ht="19.899999999999999" customHeight="1" x14ac:dyDescent="0.2"/>
    <row r="129" ht="19.899999999999999" customHeight="1" x14ac:dyDescent="0.2"/>
    <row r="130" ht="19.899999999999999" customHeight="1" x14ac:dyDescent="0.2"/>
    <row r="131" ht="19.899999999999999" customHeight="1" x14ac:dyDescent="0.2"/>
    <row r="132" ht="19.899999999999999" customHeight="1" x14ac:dyDescent="0.2"/>
    <row r="133" ht="19.899999999999999" customHeight="1" x14ac:dyDescent="0.2"/>
    <row r="134" ht="19.899999999999999" customHeight="1" x14ac:dyDescent="0.2"/>
    <row r="135" ht="19.899999999999999" customHeight="1" x14ac:dyDescent="0.2"/>
    <row r="136" ht="19.899999999999999" customHeight="1" x14ac:dyDescent="0.2"/>
    <row r="137" ht="19.899999999999999" customHeight="1" x14ac:dyDescent="0.2"/>
    <row r="138" ht="19.899999999999999" customHeight="1" x14ac:dyDescent="0.2"/>
    <row r="139" ht="19.899999999999999" customHeight="1" x14ac:dyDescent="0.2"/>
    <row r="140" ht="19.899999999999999" customHeight="1" x14ac:dyDescent="0.2"/>
    <row r="141" ht="19.899999999999999" customHeight="1" x14ac:dyDescent="0.2"/>
    <row r="142" ht="19.899999999999999" customHeight="1" x14ac:dyDescent="0.2"/>
    <row r="143" ht="19.899999999999999" customHeight="1" x14ac:dyDescent="0.2"/>
    <row r="144" ht="19.899999999999999" customHeight="1" x14ac:dyDescent="0.2"/>
    <row r="145" ht="19.899999999999999" customHeight="1" x14ac:dyDescent="0.2"/>
    <row r="146" ht="19.899999999999999" customHeight="1" x14ac:dyDescent="0.2"/>
    <row r="147" ht="19.899999999999999" customHeight="1" x14ac:dyDescent="0.2"/>
    <row r="148" ht="19.899999999999999" customHeight="1" x14ac:dyDescent="0.2"/>
  </sheetData>
  <mergeCells count="14">
    <mergeCell ref="A58:C58"/>
    <mergeCell ref="A1:L1"/>
    <mergeCell ref="A2:L2"/>
    <mergeCell ref="A5:L5"/>
    <mergeCell ref="A3:L3"/>
    <mergeCell ref="A4:L4"/>
    <mergeCell ref="I6:I8"/>
    <mergeCell ref="L6:L8"/>
    <mergeCell ref="A6:A8"/>
    <mergeCell ref="B6:B8"/>
    <mergeCell ref="C6:E7"/>
    <mergeCell ref="F6:G7"/>
    <mergeCell ref="H6:H8"/>
    <mergeCell ref="J6:K8"/>
  </mergeCells>
  <pageMargins left="0.51181102362204722" right="0.23622047244094491" top="0.15748031496062992" bottom="0.15748031496062992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8">
    <tabColor theme="6" tint="0.39997558519241921"/>
  </sheetPr>
  <dimension ref="A1:Q38"/>
  <sheetViews>
    <sheetView showGridLines="0" showZeros="0" zoomScale="106" zoomScaleNormal="106" workbookViewId="0">
      <selection activeCell="R21" sqref="R21"/>
    </sheetView>
  </sheetViews>
  <sheetFormatPr baseColWidth="10" defaultColWidth="11.42578125" defaultRowHeight="12.75" x14ac:dyDescent="0.2"/>
  <cols>
    <col min="1" max="1" width="3.85546875" style="25" customWidth="1"/>
    <col min="2" max="2" width="29.85546875" style="25" customWidth="1"/>
    <col min="3" max="4" width="12.42578125" style="25" customWidth="1"/>
    <col min="5" max="5" width="11.140625" style="25" customWidth="1"/>
    <col min="6" max="6" width="10.28515625" style="25" hidden="1" customWidth="1"/>
    <col min="7" max="7" width="12.42578125" style="25" customWidth="1"/>
    <col min="8" max="8" width="13.28515625" style="25" customWidth="1"/>
    <col min="9" max="9" width="11.85546875" style="25" customWidth="1"/>
    <col min="10" max="10" width="11" style="25" customWidth="1"/>
    <col min="11" max="11" width="11.28515625" style="25" hidden="1" customWidth="1"/>
    <col min="12" max="12" width="12.85546875" style="25" customWidth="1"/>
    <col min="13" max="13" width="10.85546875" customWidth="1"/>
    <col min="14" max="14" width="28.140625" customWidth="1"/>
    <col min="17" max="17" width="12.28515625" bestFit="1" customWidth="1"/>
  </cols>
  <sheetData>
    <row r="1" spans="1:14" ht="15.75" x14ac:dyDescent="0.25">
      <c r="A1" s="7"/>
      <c r="B1" s="601" t="s">
        <v>410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</row>
    <row r="2" spans="1:14" ht="15.75" x14ac:dyDescent="0.25">
      <c r="A2" s="7"/>
      <c r="B2" s="601" t="s">
        <v>411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</row>
    <row r="3" spans="1:14" ht="16.5" customHeight="1" x14ac:dyDescent="0.25">
      <c r="A3" s="602" t="s">
        <v>434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</row>
    <row r="4" spans="1:14" ht="19.5" customHeight="1" x14ac:dyDescent="0.2">
      <c r="A4" s="716" t="s">
        <v>564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</row>
    <row r="5" spans="1:14" ht="6.75" customHeight="1" x14ac:dyDescent="0.2"/>
    <row r="6" spans="1:14" ht="24.95" customHeight="1" x14ac:dyDescent="0.2">
      <c r="A6" s="710" t="s">
        <v>318</v>
      </c>
      <c r="B6" s="712" t="s">
        <v>0</v>
      </c>
      <c r="C6" s="719" t="s">
        <v>34</v>
      </c>
      <c r="D6" s="720"/>
      <c r="E6" s="721"/>
      <c r="F6" s="587" t="s">
        <v>6</v>
      </c>
      <c r="G6" s="723" t="s">
        <v>575</v>
      </c>
      <c r="H6" s="717" t="s">
        <v>546</v>
      </c>
      <c r="I6" s="717" t="s">
        <v>403</v>
      </c>
      <c r="J6" s="722" t="s">
        <v>547</v>
      </c>
      <c r="K6" s="710"/>
      <c r="L6" s="714" t="s">
        <v>23</v>
      </c>
    </row>
    <row r="7" spans="1:14" ht="24.95" customHeight="1" x14ac:dyDescent="0.2">
      <c r="A7" s="711"/>
      <c r="B7" s="713"/>
      <c r="C7" s="577" t="s">
        <v>98</v>
      </c>
      <c r="D7" s="566" t="s">
        <v>12</v>
      </c>
      <c r="E7" s="567" t="s">
        <v>2</v>
      </c>
      <c r="F7" s="566" t="s">
        <v>39</v>
      </c>
      <c r="G7" s="724"/>
      <c r="H7" s="718"/>
      <c r="I7" s="718"/>
      <c r="J7" s="715"/>
      <c r="K7" s="643"/>
      <c r="L7" s="715"/>
    </row>
    <row r="8" spans="1:14" ht="15" customHeight="1" x14ac:dyDescent="0.2">
      <c r="A8" s="358"/>
      <c r="B8" s="359"/>
      <c r="C8" s="360"/>
      <c r="D8" s="361"/>
      <c r="E8" s="362"/>
      <c r="F8" s="361"/>
      <c r="G8" s="363"/>
      <c r="H8" s="363"/>
      <c r="I8" s="361"/>
      <c r="J8" s="361"/>
      <c r="K8" s="361"/>
      <c r="L8" s="364"/>
    </row>
    <row r="9" spans="1:14" ht="24.95" customHeight="1" x14ac:dyDescent="0.2">
      <c r="A9" s="162"/>
      <c r="B9" s="365" t="s">
        <v>320</v>
      </c>
      <c r="C9" s="366">
        <f>+C11+C21+C29</f>
        <v>141094806</v>
      </c>
      <c r="D9" s="366">
        <f>SUM(C9:C9)</f>
        <v>141094806</v>
      </c>
      <c r="E9" s="367">
        <f t="shared" ref="E9" si="0">+E11+E21+E29</f>
        <v>32792057</v>
      </c>
      <c r="F9" s="366">
        <f>+F11+F21+F29</f>
        <v>8368963.5299999993</v>
      </c>
      <c r="G9" s="366">
        <f>N9+F9</f>
        <v>15488849.059999999</v>
      </c>
      <c r="H9" s="366">
        <f>+H11+H21+H29</f>
        <v>12915470.080000002</v>
      </c>
      <c r="I9" s="366">
        <f>+I11+I21+I29</f>
        <v>13718968.329999998</v>
      </c>
      <c r="J9" s="366">
        <f>E9-G9</f>
        <v>17303207.940000001</v>
      </c>
      <c r="K9" s="368">
        <f>+D9-G9</f>
        <v>125605956.94</v>
      </c>
      <c r="L9" s="369">
        <f>+G9/E9*100</f>
        <v>47.233539085394973</v>
      </c>
      <c r="N9" s="51">
        <v>7119885.5300000003</v>
      </c>
    </row>
    <row r="10" spans="1:14" ht="24.95" customHeight="1" x14ac:dyDescent="0.2">
      <c r="A10" s="162"/>
      <c r="B10" s="370"/>
      <c r="C10" s="365"/>
      <c r="D10" s="370"/>
      <c r="E10" s="372"/>
      <c r="F10" s="365"/>
      <c r="G10" s="365"/>
      <c r="H10" s="373"/>
      <c r="I10" s="373"/>
      <c r="J10" s="365"/>
      <c r="K10" s="370"/>
      <c r="L10" s="371"/>
      <c r="N10" s="51"/>
    </row>
    <row r="11" spans="1:14" ht="24.95" customHeight="1" x14ac:dyDescent="0.25">
      <c r="A11" s="374">
        <v>1</v>
      </c>
      <c r="B11" s="375" t="s">
        <v>35</v>
      </c>
      <c r="C11" s="366">
        <f>SUM(C13:C20)</f>
        <v>52074126</v>
      </c>
      <c r="D11" s="376">
        <f>SUM(D13:D19)</f>
        <v>52784926</v>
      </c>
      <c r="E11" s="377">
        <f>SUM(E13:E19)</f>
        <v>14890057</v>
      </c>
      <c r="F11" s="376">
        <f>SUM(F13:F19)</f>
        <v>2754930.48</v>
      </c>
      <c r="G11" s="376">
        <f>SUM(G13:G19)</f>
        <v>4756203.91</v>
      </c>
      <c r="H11" s="366">
        <f>SUM(H13:H19)</f>
        <v>3677360.9000000004</v>
      </c>
      <c r="I11" s="366">
        <f>+I13+I15+I17+I19+1</f>
        <v>3843853.3899999997</v>
      </c>
      <c r="J11" s="366">
        <f>+E11-G11</f>
        <v>10133853.09</v>
      </c>
      <c r="K11" s="368">
        <f>+D11-G11</f>
        <v>48028722.090000004</v>
      </c>
      <c r="L11" s="369">
        <f>+G11/E11*100</f>
        <v>31.942147098563829</v>
      </c>
      <c r="N11" s="51">
        <v>2001273.43</v>
      </c>
    </row>
    <row r="12" spans="1:14" ht="24.95" customHeight="1" x14ac:dyDescent="0.2">
      <c r="A12" s="162"/>
      <c r="B12" s="378"/>
      <c r="C12" s="379"/>
      <c r="D12" s="380"/>
      <c r="E12" s="381"/>
      <c r="F12" s="380"/>
      <c r="G12" s="380"/>
      <c r="H12" s="382"/>
      <c r="I12" s="382"/>
      <c r="J12" s="382"/>
      <c r="K12" s="69"/>
      <c r="L12" s="383"/>
      <c r="N12" s="51"/>
    </row>
    <row r="13" spans="1:14" ht="24.95" customHeight="1" x14ac:dyDescent="0.2">
      <c r="A13" s="384" t="s">
        <v>6</v>
      </c>
      <c r="B13" s="378" t="s">
        <v>321</v>
      </c>
      <c r="C13" s="69">
        <v>13072514</v>
      </c>
      <c r="D13" s="380">
        <v>12944814</v>
      </c>
      <c r="E13" s="381">
        <v>3341873</v>
      </c>
      <c r="F13" s="380">
        <v>791166.01</v>
      </c>
      <c r="G13" s="380">
        <f>+N13+F13</f>
        <v>1479947.87</v>
      </c>
      <c r="H13" s="69">
        <v>1246181.6200000001</v>
      </c>
      <c r="I13" s="69">
        <v>1313405.22</v>
      </c>
      <c r="J13" s="69">
        <f>+E13-G13</f>
        <v>1861925.13</v>
      </c>
      <c r="K13" s="69">
        <f>+D13-G13</f>
        <v>11464866.129999999</v>
      </c>
      <c r="L13" s="385">
        <f>+G13/E13*100</f>
        <v>44.284982403580273</v>
      </c>
      <c r="N13" s="51">
        <v>688781.86</v>
      </c>
    </row>
    <row r="14" spans="1:14" ht="24.95" customHeight="1" x14ac:dyDescent="0.2">
      <c r="A14" s="384"/>
      <c r="B14" s="378"/>
      <c r="C14" s="69"/>
      <c r="D14" s="380"/>
      <c r="E14" s="381"/>
      <c r="F14" s="380"/>
      <c r="G14" s="380"/>
      <c r="H14" s="69"/>
      <c r="I14" s="69"/>
      <c r="J14" s="69"/>
      <c r="K14" s="69"/>
      <c r="L14" s="383"/>
      <c r="N14" s="51"/>
    </row>
    <row r="15" spans="1:14" ht="24.95" customHeight="1" x14ac:dyDescent="0.2">
      <c r="A15" s="384" t="s">
        <v>6</v>
      </c>
      <c r="B15" s="386" t="s">
        <v>322</v>
      </c>
      <c r="C15" s="69">
        <v>1063473</v>
      </c>
      <c r="D15" s="380">
        <f>SUM(C15:C15)</f>
        <v>1063473</v>
      </c>
      <c r="E15" s="381">
        <v>206662</v>
      </c>
      <c r="F15" s="380">
        <v>68241.88</v>
      </c>
      <c r="G15" s="380">
        <f>+N15+F15</f>
        <v>135989.03</v>
      </c>
      <c r="H15" s="69">
        <v>117666.28</v>
      </c>
      <c r="I15" s="69">
        <v>126941.7</v>
      </c>
      <c r="J15" s="69">
        <f>+E15-G15</f>
        <v>70672.97</v>
      </c>
      <c r="K15" s="69">
        <f>+D15-G15</f>
        <v>927483.97</v>
      </c>
      <c r="L15" s="385">
        <f>+G15/E15*100</f>
        <v>65.802629414212575</v>
      </c>
      <c r="N15" s="51">
        <v>67747.149999999994</v>
      </c>
    </row>
    <row r="16" spans="1:14" ht="24.95" customHeight="1" x14ac:dyDescent="0.2">
      <c r="A16" s="384"/>
      <c r="B16" s="386"/>
      <c r="C16" s="69"/>
      <c r="D16" s="380"/>
      <c r="E16" s="381"/>
      <c r="F16" s="380"/>
      <c r="G16" s="380">
        <f>F16+M16</f>
        <v>0</v>
      </c>
      <c r="H16" s="69"/>
      <c r="I16" s="69"/>
      <c r="J16" s="69">
        <f>+E16-G16</f>
        <v>0</v>
      </c>
      <c r="K16" s="69" t="s">
        <v>6</v>
      </c>
      <c r="L16" s="385"/>
      <c r="N16" s="51">
        <v>0</v>
      </c>
    </row>
    <row r="17" spans="1:17" ht="24.95" customHeight="1" x14ac:dyDescent="0.2">
      <c r="A17" s="384" t="s">
        <v>6</v>
      </c>
      <c r="B17" s="378" t="s">
        <v>323</v>
      </c>
      <c r="C17" s="69">
        <v>35488163</v>
      </c>
      <c r="D17" s="380">
        <v>36348163</v>
      </c>
      <c r="E17" s="381">
        <v>10863677</v>
      </c>
      <c r="F17" s="380">
        <v>1810673.31</v>
      </c>
      <c r="G17" s="380">
        <f>+N17+F17</f>
        <v>2973890.19</v>
      </c>
      <c r="H17" s="69">
        <v>2167824.37</v>
      </c>
      <c r="I17" s="69">
        <v>2247685.11</v>
      </c>
      <c r="J17" s="69">
        <f>+E17-G17</f>
        <v>7889786.8100000005</v>
      </c>
      <c r="K17" s="69">
        <f>+D17-G17</f>
        <v>33374272.809999999</v>
      </c>
      <c r="L17" s="385">
        <f>+G17/E17*100</f>
        <v>27.374619017115474</v>
      </c>
      <c r="N17" s="51">
        <v>1163216.8799999999</v>
      </c>
    </row>
    <row r="18" spans="1:17" ht="24.95" customHeight="1" x14ac:dyDescent="0.2">
      <c r="A18" s="384"/>
      <c r="B18" s="378"/>
      <c r="C18" s="69"/>
      <c r="D18" s="380"/>
      <c r="E18" s="381"/>
      <c r="F18" s="380" t="s">
        <v>6</v>
      </c>
      <c r="G18" s="380" t="s">
        <v>6</v>
      </c>
      <c r="H18" s="69"/>
      <c r="I18" s="69"/>
      <c r="J18" s="69" t="s">
        <v>6</v>
      </c>
      <c r="K18" s="69" t="s">
        <v>6</v>
      </c>
      <c r="L18" s="385"/>
      <c r="N18" s="51" t="s">
        <v>6</v>
      </c>
    </row>
    <row r="19" spans="1:17" ht="24.95" customHeight="1" x14ac:dyDescent="0.2">
      <c r="A19" s="384" t="s">
        <v>6</v>
      </c>
      <c r="B19" s="378" t="s">
        <v>324</v>
      </c>
      <c r="C19" s="69">
        <v>2449976</v>
      </c>
      <c r="D19" s="380">
        <v>2428476</v>
      </c>
      <c r="E19" s="381">
        <v>477845</v>
      </c>
      <c r="F19" s="380">
        <v>84849.279999999999</v>
      </c>
      <c r="G19" s="380">
        <f>+N19+F19</f>
        <v>166376.82</v>
      </c>
      <c r="H19" s="69">
        <v>145688.63</v>
      </c>
      <c r="I19" s="379">
        <v>155820.35999999999</v>
      </c>
      <c r="J19" s="69">
        <f>+E19-G19</f>
        <v>311468.18</v>
      </c>
      <c r="K19" s="69">
        <f>+D19-G19</f>
        <v>2262099.1800000002</v>
      </c>
      <c r="L19" s="385">
        <f>+G19/E19*100</f>
        <v>34.818156515187979</v>
      </c>
      <c r="N19" s="51">
        <v>81527.539999999994</v>
      </c>
    </row>
    <row r="20" spans="1:17" ht="24.95" customHeight="1" x14ac:dyDescent="0.2">
      <c r="A20" s="384"/>
      <c r="B20" s="378"/>
      <c r="C20" s="69"/>
      <c r="D20" s="380" t="s">
        <v>6</v>
      </c>
      <c r="E20" s="381"/>
      <c r="F20" s="380"/>
      <c r="G20" s="380">
        <f>F20</f>
        <v>0</v>
      </c>
      <c r="H20" s="69"/>
      <c r="I20" s="69"/>
      <c r="J20" s="69">
        <f>+E20-G20</f>
        <v>0</v>
      </c>
      <c r="K20" s="69" t="s">
        <v>6</v>
      </c>
      <c r="L20" s="385"/>
      <c r="N20" s="51">
        <v>0</v>
      </c>
    </row>
    <row r="21" spans="1:17" ht="24.95" customHeight="1" x14ac:dyDescent="0.25">
      <c r="A21" s="387">
        <v>2</v>
      </c>
      <c r="B21" s="375" t="s">
        <v>36</v>
      </c>
      <c r="C21" s="368">
        <f t="shared" ref="C21:D21" si="1">SUM(C23:C27)</f>
        <v>73122532</v>
      </c>
      <c r="D21" s="376">
        <f t="shared" si="1"/>
        <v>73013432</v>
      </c>
      <c r="E21" s="377">
        <f>SUM(E23:E27)</f>
        <v>14469461</v>
      </c>
      <c r="F21" s="376">
        <f>SUM(F23:F27)</f>
        <v>4725922.1100000003</v>
      </c>
      <c r="G21" s="376">
        <f>+G23+G25+G27</f>
        <v>9128761.1399999987</v>
      </c>
      <c r="H21" s="368">
        <f>SUM(H23:H27)</f>
        <v>7894584.1299999999</v>
      </c>
      <c r="I21" s="368">
        <f>SUM(I23:I27)</f>
        <v>8452630.9399999995</v>
      </c>
      <c r="J21" s="368">
        <f>+E21-G21</f>
        <v>5340699.8600000013</v>
      </c>
      <c r="K21" s="368">
        <f>+D21-G21</f>
        <v>63884670.859999999</v>
      </c>
      <c r="L21" s="369">
        <f>+G21/E21*100</f>
        <v>63.089849303992729</v>
      </c>
      <c r="N21" s="51">
        <v>4402839.0299999993</v>
      </c>
    </row>
    <row r="22" spans="1:17" ht="24.95" customHeight="1" x14ac:dyDescent="0.2">
      <c r="A22" s="388"/>
      <c r="B22" s="378"/>
      <c r="C22" s="69"/>
      <c r="D22" s="380"/>
      <c r="E22" s="381"/>
      <c r="F22" s="380"/>
      <c r="G22" s="380">
        <f>F22</f>
        <v>0</v>
      </c>
      <c r="H22" s="69"/>
      <c r="I22" s="69"/>
      <c r="J22" s="69">
        <f>+E22-G22</f>
        <v>0</v>
      </c>
      <c r="K22" s="69" t="s">
        <v>6</v>
      </c>
      <c r="L22" s="385" t="s">
        <v>6</v>
      </c>
      <c r="N22" s="51">
        <v>0</v>
      </c>
    </row>
    <row r="23" spans="1:17" ht="24.95" customHeight="1" x14ac:dyDescent="0.2">
      <c r="A23" s="389" t="s">
        <v>6</v>
      </c>
      <c r="B23" s="378" t="s">
        <v>325</v>
      </c>
      <c r="C23" s="69">
        <v>3496882</v>
      </c>
      <c r="D23" s="380">
        <v>3633282</v>
      </c>
      <c r="E23" s="381">
        <v>1070017</v>
      </c>
      <c r="F23" s="380">
        <v>172430.1</v>
      </c>
      <c r="G23" s="380">
        <f>+N23+F23</f>
        <v>305447.27</v>
      </c>
      <c r="H23" s="69">
        <v>235244.86</v>
      </c>
      <c r="I23" s="69">
        <v>249599.01</v>
      </c>
      <c r="J23" s="69">
        <f>+E23-G23</f>
        <v>764569.73</v>
      </c>
      <c r="K23" s="69">
        <f>+D23-G23</f>
        <v>3327834.73</v>
      </c>
      <c r="L23" s="385">
        <f>+G23/E23*100</f>
        <v>28.546020296873792</v>
      </c>
      <c r="N23" s="51">
        <v>133017.17000000001</v>
      </c>
      <c r="Q23" s="51">
        <f>P23</f>
        <v>0</v>
      </c>
    </row>
    <row r="24" spans="1:17" ht="24.95" customHeight="1" x14ac:dyDescent="0.2">
      <c r="A24" s="389"/>
      <c r="B24" s="378"/>
      <c r="C24" s="69"/>
      <c r="D24" s="380" t="s">
        <v>6</v>
      </c>
      <c r="E24" s="381" t="s">
        <v>6</v>
      </c>
      <c r="F24" s="380"/>
      <c r="G24" s="380">
        <f>F24+M24</f>
        <v>0</v>
      </c>
      <c r="H24" s="69"/>
      <c r="I24" s="69"/>
      <c r="J24" s="69" t="s">
        <v>6</v>
      </c>
      <c r="K24" s="69" t="s">
        <v>6</v>
      </c>
      <c r="L24" s="385"/>
      <c r="N24" s="51">
        <v>0</v>
      </c>
      <c r="Q24" s="51"/>
    </row>
    <row r="25" spans="1:17" ht="24.95" customHeight="1" x14ac:dyDescent="0.2">
      <c r="A25" s="389" t="s">
        <v>6</v>
      </c>
      <c r="B25" s="378" t="s">
        <v>326</v>
      </c>
      <c r="C25" s="69">
        <v>36159943</v>
      </c>
      <c r="D25" s="380">
        <v>36035943</v>
      </c>
      <c r="E25" s="381">
        <v>6845986</v>
      </c>
      <c r="F25" s="380">
        <v>2423586.7200000002</v>
      </c>
      <c r="G25" s="579">
        <f>+N25+F25</f>
        <v>4654710.5199999996</v>
      </c>
      <c r="H25" s="69">
        <v>4029117.22</v>
      </c>
      <c r="I25" s="379">
        <v>4313545.92</v>
      </c>
      <c r="J25" s="69">
        <f>+E25-G25</f>
        <v>2191275.4800000004</v>
      </c>
      <c r="K25" s="69">
        <f>+D25-G25</f>
        <v>31381232.48</v>
      </c>
      <c r="L25" s="385">
        <f>+G25/E25*100</f>
        <v>67.991820608455811</v>
      </c>
      <c r="N25" s="51">
        <v>2231123.7999999998</v>
      </c>
      <c r="Q25" s="51"/>
    </row>
    <row r="26" spans="1:17" ht="24.95" customHeight="1" x14ac:dyDescent="0.2">
      <c r="A26" s="389"/>
      <c r="B26" s="378"/>
      <c r="C26" s="69"/>
      <c r="D26" s="380"/>
      <c r="E26" s="381"/>
      <c r="F26" s="380"/>
      <c r="G26" s="380">
        <f>F26+M26</f>
        <v>0</v>
      </c>
      <c r="H26" s="69"/>
      <c r="I26" s="69"/>
      <c r="J26" s="69">
        <f>+E26-G26</f>
        <v>0</v>
      </c>
      <c r="K26" s="69" t="e">
        <f>+#REF!-G26</f>
        <v>#REF!</v>
      </c>
      <c r="L26" s="385"/>
      <c r="N26" s="51">
        <v>0</v>
      </c>
      <c r="Q26" s="51"/>
    </row>
    <row r="27" spans="1:17" ht="24.95" customHeight="1" x14ac:dyDescent="0.2">
      <c r="A27" s="389" t="s">
        <v>6</v>
      </c>
      <c r="B27" s="378" t="s">
        <v>327</v>
      </c>
      <c r="C27" s="69">
        <v>33465707</v>
      </c>
      <c r="D27" s="380">
        <v>33344207</v>
      </c>
      <c r="E27" s="381">
        <v>6553458</v>
      </c>
      <c r="F27" s="380">
        <v>2129905.29</v>
      </c>
      <c r="G27" s="380">
        <f>+F27+N27</f>
        <v>4168603.35</v>
      </c>
      <c r="H27" s="69">
        <v>3630222.05</v>
      </c>
      <c r="I27" s="69">
        <v>3889486.01</v>
      </c>
      <c r="J27" s="69">
        <f>+E27-G27</f>
        <v>2384854.65</v>
      </c>
      <c r="K27" s="69">
        <f>+D27-G27</f>
        <v>29175603.649999999</v>
      </c>
      <c r="L27" s="385">
        <f>+G27/E27*100</f>
        <v>63.609217454357683</v>
      </c>
      <c r="N27" s="51">
        <v>2038698.06</v>
      </c>
    </row>
    <row r="28" spans="1:17" ht="24.95" customHeight="1" x14ac:dyDescent="0.2">
      <c r="A28" s="390"/>
      <c r="B28" s="378"/>
      <c r="C28" s="69"/>
      <c r="D28" s="380"/>
      <c r="E28" s="381"/>
      <c r="F28" s="380"/>
      <c r="G28" s="380">
        <f>F28+M28</f>
        <v>0</v>
      </c>
      <c r="H28" s="69"/>
      <c r="I28" s="69"/>
      <c r="J28" s="69">
        <f>+E28-G28</f>
        <v>0</v>
      </c>
      <c r="K28" s="69" t="s">
        <v>6</v>
      </c>
      <c r="L28" s="385" t="s">
        <v>6</v>
      </c>
      <c r="N28" s="51">
        <v>0</v>
      </c>
    </row>
    <row r="29" spans="1:17" ht="24.95" customHeight="1" x14ac:dyDescent="0.25">
      <c r="A29" s="391" t="s">
        <v>290</v>
      </c>
      <c r="B29" s="375" t="s">
        <v>37</v>
      </c>
      <c r="C29" s="368">
        <v>15898148</v>
      </c>
      <c r="D29" s="376">
        <v>15296448</v>
      </c>
      <c r="E29" s="377">
        <v>3432539</v>
      </c>
      <c r="F29" s="376">
        <v>888110.94</v>
      </c>
      <c r="G29" s="376">
        <f>F29+N29</f>
        <v>1603884.0099999998</v>
      </c>
      <c r="H29" s="368">
        <v>1343525.05</v>
      </c>
      <c r="I29" s="368">
        <v>1422484</v>
      </c>
      <c r="J29" s="368">
        <f>+E29-G29</f>
        <v>1828654.9900000002</v>
      </c>
      <c r="K29" s="368">
        <f>+D29-G29</f>
        <v>13692563.99</v>
      </c>
      <c r="L29" s="369">
        <f>+G29/E29*100</f>
        <v>46.725878715434838</v>
      </c>
      <c r="N29" s="51">
        <v>715773.07</v>
      </c>
    </row>
    <row r="30" spans="1:17" ht="24.95" customHeight="1" thickBot="1" x14ac:dyDescent="0.25">
      <c r="A30" s="392"/>
      <c r="B30" s="393"/>
      <c r="C30" s="394"/>
      <c r="D30" s="394" t="s">
        <v>6</v>
      </c>
      <c r="E30" s="395"/>
      <c r="F30" s="394"/>
      <c r="G30" s="394" t="s">
        <v>6</v>
      </c>
      <c r="H30" s="394"/>
      <c r="I30" s="394"/>
      <c r="J30" s="394"/>
      <c r="K30" s="394" t="s">
        <v>6</v>
      </c>
      <c r="L30" s="396" t="s">
        <v>6</v>
      </c>
      <c r="M30" t="s">
        <v>6</v>
      </c>
      <c r="N30" s="51"/>
    </row>
    <row r="31" spans="1:17" ht="11.25" customHeight="1" thickTop="1" x14ac:dyDescent="0.2">
      <c r="A31" s="26"/>
      <c r="B31" s="27"/>
      <c r="C31" s="28"/>
      <c r="D31" s="28"/>
      <c r="E31" s="28"/>
      <c r="F31" s="28"/>
      <c r="G31" s="28" t="s">
        <v>6</v>
      </c>
      <c r="H31" s="28"/>
      <c r="I31" s="28"/>
      <c r="J31" s="28"/>
      <c r="K31" s="28" t="s">
        <v>6</v>
      </c>
    </row>
    <row r="32" spans="1:17" ht="13.5" customHeight="1" x14ac:dyDescent="0.2">
      <c r="A32" s="29"/>
      <c r="B32" s="632" t="s">
        <v>566</v>
      </c>
      <c r="C32" s="632"/>
      <c r="D32" s="30"/>
      <c r="E32" s="30"/>
      <c r="F32" s="30"/>
      <c r="G32" s="31"/>
      <c r="H32" s="31"/>
      <c r="I32" s="31"/>
      <c r="J32" s="31"/>
      <c r="K32" s="32"/>
    </row>
    <row r="38" spans="12:12" x14ac:dyDescent="0.2">
      <c r="L38" s="25" t="s">
        <v>6</v>
      </c>
    </row>
  </sheetData>
  <mergeCells count="13">
    <mergeCell ref="B32:C32"/>
    <mergeCell ref="B1:L1"/>
    <mergeCell ref="B2:L2"/>
    <mergeCell ref="A6:A7"/>
    <mergeCell ref="B6:B7"/>
    <mergeCell ref="L6:L7"/>
    <mergeCell ref="A3:L3"/>
    <mergeCell ref="A4:L4"/>
    <mergeCell ref="I6:I7"/>
    <mergeCell ref="H6:H7"/>
    <mergeCell ref="C6:E6"/>
    <mergeCell ref="J6:K7"/>
    <mergeCell ref="G6:G7"/>
  </mergeCells>
  <phoneticPr fontId="3" type="noConversion"/>
  <pageMargins left="0.23622047244094491" right="0" top="0.55118110236220474" bottom="0.35433070866141736" header="0.51181102362204722" footer="0.98425196850393704"/>
  <pageSetup scale="80" firstPageNumber="0" fitToWidth="0" fitToHeight="0" orientation="portrait" r:id="rId1"/>
  <headerFooter alignWithMargins="0">
    <oddFooter xml:space="preserve">&amp;R&amp;"Times New Roman,Normal"&amp;12 </oddFooter>
  </headerFooter>
  <ignoredErrors>
    <ignoredError sqref="G20:G21 D9 G9 G16 G24 G27" formula="1"/>
    <ignoredError sqref="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16</vt:i4>
      </vt:variant>
    </vt:vector>
  </HeadingPairs>
  <TitlesOfParts>
    <vt:vector size="27" baseType="lpstr">
      <vt:lpstr>Resumen Pto</vt:lpstr>
      <vt:lpstr>BALANCE</vt:lpstr>
      <vt:lpstr>INGRESOS</vt:lpstr>
      <vt:lpstr>FINANCIAMIENTO</vt:lpstr>
      <vt:lpstr>FLUJO</vt:lpstr>
      <vt:lpstr>BALANCE GASTOS</vt:lpstr>
      <vt:lpstr>FUNCIONAMIENTO</vt:lpstr>
      <vt:lpstr>CUENTA FUNC</vt:lpstr>
      <vt:lpstr>ESTRUCT. PROG</vt:lpstr>
      <vt:lpstr>PROYECTOS</vt:lpstr>
      <vt:lpstr>INVERSIONES</vt:lpstr>
      <vt:lpstr>'BALANCE GASTOS'!Área_de_impresión</vt:lpstr>
      <vt:lpstr>'CUENTA FUNC'!Área_de_impresión</vt:lpstr>
      <vt:lpstr>'ESTRUCT. PROG'!Área_de_impresión</vt:lpstr>
      <vt:lpstr>FINANCIAMIENTO!Área_de_impresión</vt:lpstr>
      <vt:lpstr>FLUJO!Área_de_impresión</vt:lpstr>
      <vt:lpstr>INGRESOS!Área_de_impresión</vt:lpstr>
      <vt:lpstr>INVERSIONES!Área_de_impresión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BALANCE!Títulos_a_imprimir</vt:lpstr>
      <vt:lpstr>'BALANCE GASTOS'!Títulos_a_imprimir</vt:lpstr>
      <vt:lpstr>FUNCIONAMIENTO!Títulos_a_imprimir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2025-03-12T19:17:19Z</cp:lastPrinted>
  <dcterms:created xsi:type="dcterms:W3CDTF">2010-01-07T20:52:23Z</dcterms:created>
  <dcterms:modified xsi:type="dcterms:W3CDTF">2025-03-14T21:03:00Z</dcterms:modified>
</cp:coreProperties>
</file>