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Z:\PRESUPUESTO_SERVIDOR\4. EJECUCIÓN PRESUPUESTARIA POR AÑO\INFORMES DE EJECUCION POR AÑO\2025\Marzo\"/>
    </mc:Choice>
  </mc:AlternateContent>
  <xr:revisionPtr revIDLastSave="0" documentId="8_{E4CE88FA-2D8B-438D-B204-5F97047538EB}" xr6:coauthVersionLast="47" xr6:coauthVersionMax="47" xr10:uidLastSave="{00000000-0000-0000-0000-000000000000}"/>
  <bookViews>
    <workbookView xWindow="-120" yWindow="-120" windowWidth="29040" windowHeight="15720" tabRatio="875" xr2:uid="{00000000-000D-0000-FFFF-FFFF00000000}"/>
  </bookViews>
  <sheets>
    <sheet name="BALANCE" sheetId="8" r:id="rId1"/>
    <sheet name="INGRESOS" sheetId="9" r:id="rId2"/>
    <sheet name="FINANCIAMIENTO" sheetId="10" r:id="rId3"/>
    <sheet name="FLUJO" sheetId="11" r:id="rId4"/>
    <sheet name="BALANCE GASTO" sheetId="12" r:id="rId5"/>
    <sheet name="FUNCIONAMIENTO CTA" sheetId="26" r:id="rId6"/>
    <sheet name="C-A6" sheetId="24" r:id="rId7"/>
    <sheet name="EST PROGRAMATICA" sheetId="15" r:id="rId8"/>
    <sheet name="PROYECTOS" sheetId="60" r:id="rId9"/>
    <sheet name="INVxOBJETO" sheetId="23" r:id="rId10"/>
  </sheets>
  <externalReferences>
    <externalReference r:id="rId11"/>
    <externalReference r:id="rId12"/>
  </externalReferences>
  <definedNames>
    <definedName name="a">"$#REF!.$CP$1"</definedName>
    <definedName name="_xlnm.Print_Area" localSheetId="4">'BALANCE GASTO'!$A$6:$K$60</definedName>
    <definedName name="_xlnm.Print_Area" localSheetId="7">'EST PROGRAMATICA'!$A$3:$L$32</definedName>
    <definedName name="_xlnm.Print_Area" localSheetId="2">FINANCIAMIENTO!$A$1:$G$35</definedName>
    <definedName name="_xlnm.Print_Area" localSheetId="3">FLUJO!$A$3:$F$54</definedName>
    <definedName name="_xlnm.Print_Area" localSheetId="5">'FUNCIONAMIENTO CTA'!$A$1:$L$59</definedName>
    <definedName name="_xlnm.Print_Area" localSheetId="1">INGRESOS!$A$1:$J$33</definedName>
    <definedName name="_xlnm.Print_Area" localSheetId="9">INVxOBJETO!$A$1:$N$63</definedName>
    <definedName name="Excel_BuiltIn_Print_Area_12_1">"$#REF!.$A$1:$L$197"</definedName>
    <definedName name="Excel_BuiltIn_Print_Area_12_1_1">"$#REF!.$B$10:$L$205"</definedName>
    <definedName name="Excel_BuiltIn_Print_Area_12_1_1_1">"$#REF!.$B$10:$L$206"</definedName>
    <definedName name="Excel_BuiltIn_Print_Area_7">BALANCE!$B$3:$I$47</definedName>
    <definedName name="Excel_BuiltIn_Print_Area_7_1">BALANCE!$B$3:$I$41</definedName>
    <definedName name="Excel_BuiltIn_Print_Area_7_1_1">BALANCE!$B$3:$I$47</definedName>
    <definedName name="Excel_BuiltIn_Print_Area_8_1">[1]INGRESOS!$A$6:$I$39</definedName>
    <definedName name="Excel_BuiltIn_Print_Area_8_1_1">[1]INGRESOS!$A$6:$I$40</definedName>
    <definedName name="Excel_BuiltIn_Print_Area_9_1">FINANCIAMIENTO!$A$4:$G$36</definedName>
    <definedName name="Excel_BuiltIn_Print_Titles_11">'BALANCE GASTO'!$4:$5</definedName>
    <definedName name="Excel_BuiltIn_Print_Titles_12_1">"$#REF!.$A$1:$B$65535;$#REF!.$A$1:$IV$7"</definedName>
    <definedName name="Excel_BuiltIn_Print_Titles_7">BALANCE!$3:$4</definedName>
    <definedName name="Excel_BuiltIn_Print_Titles_7_1">"$cuadro_A_1.$#REF!$#REF!:$#REF!$#REF!"</definedName>
    <definedName name="Excel_BuiltIn_Print_Titles_8_1">[1]INGRESOS!$A$1:$IV$5</definedName>
    <definedName name="_xlnm.Print_Titles" localSheetId="0">BALANCE!$1:$4</definedName>
    <definedName name="_xlnm.Print_Titles" localSheetId="4">'BALANCE GASTO'!$1:$5</definedName>
    <definedName name="_xlnm.Print_Titles" localSheetId="6">'C-A6'!$4:$10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1" l="1"/>
  <c r="B25" i="11" s="1"/>
  <c r="C46" i="11"/>
  <c r="C47" i="11"/>
  <c r="K37" i="60" l="1"/>
  <c r="K27" i="60"/>
  <c r="K23" i="60"/>
  <c r="K21" i="60"/>
  <c r="E28" i="8"/>
  <c r="E39" i="8"/>
  <c r="E32" i="8"/>
  <c r="E29" i="8"/>
  <c r="E27" i="8"/>
  <c r="E25" i="8"/>
  <c r="E19" i="8"/>
  <c r="E18" i="8"/>
  <c r="K39" i="60" l="1"/>
  <c r="K38" i="60"/>
  <c r="G16" i="60"/>
  <c r="G42" i="12" s="1"/>
  <c r="H16" i="60"/>
  <c r="D16" i="60"/>
  <c r="K28" i="60"/>
  <c r="K24" i="60"/>
  <c r="K22" i="60"/>
  <c r="K20" i="60"/>
  <c r="H10" i="23"/>
  <c r="F30" i="23"/>
  <c r="N39" i="23"/>
  <c r="N37" i="23"/>
  <c r="N12" i="23"/>
  <c r="I11" i="15"/>
  <c r="H13" i="15"/>
  <c r="H29" i="15"/>
  <c r="H15" i="26"/>
  <c r="H16" i="26"/>
  <c r="H17" i="26"/>
  <c r="H18" i="26"/>
  <c r="H19" i="26"/>
  <c r="L91" i="24"/>
  <c r="F174" i="24"/>
  <c r="E178" i="24"/>
  <c r="D178" i="24"/>
  <c r="H73" i="24"/>
  <c r="L64" i="24"/>
  <c r="F38" i="24"/>
  <c r="O67" i="24"/>
  <c r="F22" i="24"/>
  <c r="F16" i="24"/>
  <c r="F29" i="24"/>
  <c r="I20" i="60" l="1"/>
  <c r="K33" i="60"/>
  <c r="J39" i="23"/>
  <c r="J38" i="23"/>
  <c r="N38" i="23"/>
  <c r="D11" i="15"/>
  <c r="H11" i="15"/>
  <c r="K36" i="60" l="1"/>
  <c r="K35" i="60"/>
  <c r="E16" i="60"/>
  <c r="K30" i="60"/>
  <c r="K26" i="60"/>
  <c r="K29" i="60"/>
  <c r="D8" i="60"/>
  <c r="C9" i="60"/>
  <c r="C8" i="60" s="1"/>
  <c r="H41" i="23"/>
  <c r="N50" i="23"/>
  <c r="H30" i="23"/>
  <c r="N36" i="23"/>
  <c r="H19" i="23"/>
  <c r="E19" i="23"/>
  <c r="N13" i="23"/>
  <c r="K21" i="23"/>
  <c r="L21" i="23"/>
  <c r="M21" i="23"/>
  <c r="J24" i="23"/>
  <c r="J15" i="23"/>
  <c r="J14" i="23"/>
  <c r="Q23" i="15"/>
  <c r="H55" i="26"/>
  <c r="H51" i="26"/>
  <c r="H46" i="26"/>
  <c r="H45" i="26" s="1"/>
  <c r="H174" i="24"/>
  <c r="G32" i="12" s="1"/>
  <c r="H168" i="24"/>
  <c r="H52" i="26" s="1"/>
  <c r="D155" i="24"/>
  <c r="D154" i="24" s="1"/>
  <c r="H155" i="24"/>
  <c r="H154" i="24" s="1"/>
  <c r="G18" i="12" s="1"/>
  <c r="I134" i="24"/>
  <c r="I41" i="26" s="1"/>
  <c r="H144" i="24"/>
  <c r="H43" i="26" s="1"/>
  <c r="D128" i="24"/>
  <c r="D144" i="24"/>
  <c r="D134" i="24"/>
  <c r="D120" i="24"/>
  <c r="F95" i="24"/>
  <c r="H98" i="24"/>
  <c r="H35" i="26" s="1"/>
  <c r="H83" i="24"/>
  <c r="H31" i="26" s="1"/>
  <c r="H55" i="24"/>
  <c r="H25" i="26" s="1"/>
  <c r="H38" i="24"/>
  <c r="J87" i="24"/>
  <c r="D62" i="24"/>
  <c r="D27" i="26" s="1"/>
  <c r="D76" i="24"/>
  <c r="D45" i="24"/>
  <c r="D12" i="24"/>
  <c r="G11" i="26"/>
  <c r="C53" i="26"/>
  <c r="C10" i="10"/>
  <c r="B10" i="10"/>
  <c r="C38" i="8"/>
  <c r="C37" i="8" s="1"/>
  <c r="C42" i="8"/>
  <c r="C41" i="8" s="1"/>
  <c r="C40" i="8" s="1"/>
  <c r="C31" i="8"/>
  <c r="B19" i="11" s="1"/>
  <c r="C26" i="8"/>
  <c r="B18" i="11" s="1"/>
  <c r="C17" i="8"/>
  <c r="C15" i="8" s="1"/>
  <c r="B16" i="11" s="1"/>
  <c r="C23" i="8"/>
  <c r="C21" i="8" s="1"/>
  <c r="B17" i="11" s="1"/>
  <c r="H9" i="23"/>
  <c r="D12" i="26"/>
  <c r="C31" i="60"/>
  <c r="C43" i="12" s="1"/>
  <c r="G26" i="12"/>
  <c r="G25" i="12"/>
  <c r="G24" i="12"/>
  <c r="G23" i="12"/>
  <c r="H21" i="15"/>
  <c r="H9" i="15" s="1"/>
  <c r="I21" i="15"/>
  <c r="H42" i="26"/>
  <c r="H29" i="26"/>
  <c r="H24" i="26"/>
  <c r="H12" i="26"/>
  <c r="H11" i="26"/>
  <c r="H172" i="24"/>
  <c r="H160" i="24"/>
  <c r="H134" i="24"/>
  <c r="H41" i="26" s="1"/>
  <c r="H128" i="24"/>
  <c r="H40" i="26" s="1"/>
  <c r="H120" i="24"/>
  <c r="H39" i="26" s="1"/>
  <c r="H114" i="24"/>
  <c r="H38" i="26" s="1"/>
  <c r="H110" i="24"/>
  <c r="H37" i="26" s="1"/>
  <c r="H104" i="24"/>
  <c r="H36" i="26" s="1"/>
  <c r="H95" i="24"/>
  <c r="H34" i="26" s="1"/>
  <c r="H76" i="24"/>
  <c r="H30" i="26" s="1"/>
  <c r="H67" i="24"/>
  <c r="H28" i="26" s="1"/>
  <c r="H62" i="24"/>
  <c r="H27" i="26" s="1"/>
  <c r="H58" i="24"/>
  <c r="H45" i="24"/>
  <c r="H23" i="26" s="1"/>
  <c r="H16" i="24"/>
  <c r="H14" i="26" s="1"/>
  <c r="H12" i="24"/>
  <c r="I53" i="26"/>
  <c r="G53" i="26"/>
  <c r="F53" i="26"/>
  <c r="E53" i="26"/>
  <c r="D53" i="26"/>
  <c r="D22" i="24"/>
  <c r="D17" i="26" s="1"/>
  <c r="H31" i="60"/>
  <c r="G31" i="60"/>
  <c r="G43" i="12" s="1"/>
  <c r="E31" i="60"/>
  <c r="D31" i="60"/>
  <c r="B31" i="60"/>
  <c r="B43" i="12" s="1"/>
  <c r="B16" i="60"/>
  <c r="B42" i="12" s="1"/>
  <c r="G8" i="60"/>
  <c r="B9" i="60"/>
  <c r="B8" i="60" s="1"/>
  <c r="B41" i="12" s="1"/>
  <c r="J12" i="23"/>
  <c r="J22" i="23"/>
  <c r="I10" i="23"/>
  <c r="F10" i="23"/>
  <c r="E10" i="23"/>
  <c r="D10" i="23"/>
  <c r="D9" i="23" s="1"/>
  <c r="I128" i="24"/>
  <c r="I120" i="24"/>
  <c r="I114" i="24"/>
  <c r="I110" i="24"/>
  <c r="I104" i="24"/>
  <c r="I95" i="24"/>
  <c r="I98" i="24"/>
  <c r="I76" i="24"/>
  <c r="I45" i="24"/>
  <c r="I168" i="24"/>
  <c r="F168" i="24"/>
  <c r="E168" i="24"/>
  <c r="D168" i="24"/>
  <c r="D52" i="26" s="1"/>
  <c r="C168" i="24"/>
  <c r="E174" i="24"/>
  <c r="E172" i="24"/>
  <c r="D174" i="24"/>
  <c r="C32" i="12" s="1"/>
  <c r="D172" i="24"/>
  <c r="K172" i="24"/>
  <c r="J172" i="24"/>
  <c r="I172" i="24"/>
  <c r="F172" i="24"/>
  <c r="C172" i="24"/>
  <c r="D162" i="24"/>
  <c r="D160" i="24"/>
  <c r="D114" i="24"/>
  <c r="D110" i="24"/>
  <c r="D104" i="24"/>
  <c r="D98" i="24"/>
  <c r="D95" i="24"/>
  <c r="E73" i="24"/>
  <c r="E45" i="24"/>
  <c r="D73" i="24"/>
  <c r="D67" i="24"/>
  <c r="D58" i="24"/>
  <c r="D55" i="24"/>
  <c r="C73" i="24"/>
  <c r="C45" i="24"/>
  <c r="C55" i="24"/>
  <c r="C58" i="24"/>
  <c r="C62" i="24"/>
  <c r="C67" i="24"/>
  <c r="C76" i="24"/>
  <c r="D43" i="24"/>
  <c r="D38" i="24" s="1"/>
  <c r="H11" i="24" l="1"/>
  <c r="G28" i="12"/>
  <c r="G22" i="12" s="1"/>
  <c r="G41" i="12"/>
  <c r="G39" i="12" s="1"/>
  <c r="G36" i="12" s="1"/>
  <c r="G40" i="60"/>
  <c r="H22" i="26"/>
  <c r="H37" i="24"/>
  <c r="G16" i="12" s="1"/>
  <c r="B28" i="10"/>
  <c r="B23" i="11"/>
  <c r="B21" i="11" s="1"/>
  <c r="B15" i="11"/>
  <c r="B12" i="11" s="1"/>
  <c r="H50" i="26"/>
  <c r="H54" i="26"/>
  <c r="C39" i="11"/>
  <c r="C41" i="12"/>
  <c r="H49" i="26"/>
  <c r="C28" i="12"/>
  <c r="C22" i="12" s="1"/>
  <c r="C18" i="12"/>
  <c r="H33" i="26"/>
  <c r="D94" i="24"/>
  <c r="B39" i="12"/>
  <c r="B30" i="10"/>
  <c r="C36" i="8"/>
  <c r="C34" i="8" s="1"/>
  <c r="C13" i="8"/>
  <c r="C19" i="23"/>
  <c r="D19" i="23"/>
  <c r="H60" i="23"/>
  <c r="N11" i="23"/>
  <c r="J11" i="23"/>
  <c r="N10" i="23"/>
  <c r="I9" i="15"/>
  <c r="J13" i="24"/>
  <c r="H94" i="24"/>
  <c r="G17" i="12" s="1"/>
  <c r="H159" i="24"/>
  <c r="H26" i="26"/>
  <c r="H13" i="26"/>
  <c r="H10" i="26" s="1"/>
  <c r="H9" i="26" s="1"/>
  <c r="D29" i="24"/>
  <c r="D19" i="26" s="1"/>
  <c r="D16" i="24"/>
  <c r="C16" i="24"/>
  <c r="H21" i="26" l="1"/>
  <c r="H56" i="26" s="1"/>
  <c r="B29" i="11"/>
  <c r="C38" i="11"/>
  <c r="B26" i="10"/>
  <c r="G20" i="12"/>
  <c r="H182" i="24"/>
  <c r="C17" i="12"/>
  <c r="C11" i="8"/>
  <c r="C9" i="8" s="1"/>
  <c r="G15" i="12"/>
  <c r="G13" i="12" s="1"/>
  <c r="D11" i="24"/>
  <c r="D15" i="8"/>
  <c r="D17" i="8"/>
  <c r="D23" i="8"/>
  <c r="D21" i="8" s="1"/>
  <c r="D26" i="8"/>
  <c r="D31" i="8"/>
  <c r="D38" i="8"/>
  <c r="D37" i="8" s="1"/>
  <c r="C30" i="10" s="1"/>
  <c r="D42" i="8"/>
  <c r="D45" i="8"/>
  <c r="C19" i="11" l="1"/>
  <c r="C36" i="11"/>
  <c r="C26" i="11"/>
  <c r="C25" i="11" s="1"/>
  <c r="C18" i="11"/>
  <c r="C17" i="11"/>
  <c r="C16" i="11"/>
  <c r="G11" i="12"/>
  <c r="G9" i="12" s="1"/>
  <c r="C15" i="12"/>
  <c r="D41" i="8"/>
  <c r="D40" i="8" s="1"/>
  <c r="D36" i="8"/>
  <c r="D13" i="8"/>
  <c r="D11" i="8" s="1"/>
  <c r="C15" i="11" l="1"/>
  <c r="C12" i="11" s="1"/>
  <c r="C23" i="11"/>
  <c r="C21" i="11" s="1"/>
  <c r="D34" i="8"/>
  <c r="D9" i="8" s="1"/>
  <c r="C46" i="26"/>
  <c r="C42" i="26"/>
  <c r="C24" i="26"/>
  <c r="C16" i="26"/>
  <c r="C15" i="26"/>
  <c r="C13" i="26"/>
  <c r="C12" i="26"/>
  <c r="C11" i="26"/>
  <c r="L164" i="24"/>
  <c r="C162" i="24"/>
  <c r="C51" i="26" s="1"/>
  <c r="F120" i="24"/>
  <c r="E98" i="24"/>
  <c r="L117" i="24"/>
  <c r="I83" i="24"/>
  <c r="F42" i="8"/>
  <c r="F41" i="8" s="1"/>
  <c r="C29" i="11" l="1"/>
  <c r="K117" i="24"/>
  <c r="C10" i="26"/>
  <c r="J117" i="24"/>
  <c r="D10" i="10" l="1"/>
  <c r="D13" i="10"/>
  <c r="C55" i="23" l="1"/>
  <c r="C30" i="23"/>
  <c r="D34" i="23"/>
  <c r="D30" i="23" s="1"/>
  <c r="F11" i="15" l="1"/>
  <c r="L102" i="24"/>
  <c r="F67" i="24"/>
  <c r="I67" i="24"/>
  <c r="E67" i="24"/>
  <c r="C28" i="26"/>
  <c r="C23" i="26" l="1"/>
  <c r="J19" i="15" l="1"/>
  <c r="N46" i="23" l="1"/>
  <c r="K25" i="60" l="1"/>
  <c r="K34" i="60" l="1"/>
  <c r="F43" i="12"/>
  <c r="F55" i="24" l="1"/>
  <c r="E55" i="24" l="1"/>
  <c r="G24" i="26"/>
  <c r="I27" i="24"/>
  <c r="F40" i="8" l="1"/>
  <c r="I19" i="23" l="1"/>
  <c r="I55" i="23"/>
  <c r="N42" i="23"/>
  <c r="E144" i="24"/>
  <c r="K29" i="15" l="1"/>
  <c r="F26" i="8"/>
  <c r="F38" i="8"/>
  <c r="F37" i="8" s="1"/>
  <c r="F36" i="8" s="1"/>
  <c r="F34" i="8" s="1"/>
  <c r="F31" i="8"/>
  <c r="E19" i="11" s="1"/>
  <c r="E18" i="11" l="1"/>
  <c r="E26" i="11"/>
  <c r="H39" i="8"/>
  <c r="H38" i="8" s="1"/>
  <c r="H37" i="8" s="1"/>
  <c r="H36" i="8" s="1"/>
  <c r="E38" i="8"/>
  <c r="E41" i="23"/>
  <c r="E25" i="11" l="1"/>
  <c r="F21" i="15"/>
  <c r="G34" i="26" l="1"/>
  <c r="L96" i="24" l="1"/>
  <c r="E83" i="24"/>
  <c r="F83" i="24"/>
  <c r="J91" i="24"/>
  <c r="J52" i="24" l="1"/>
  <c r="I43" i="8" l="1"/>
  <c r="E37" i="8"/>
  <c r="E30" i="10" s="1"/>
  <c r="G30" i="10" s="1"/>
  <c r="E23" i="11" l="1"/>
  <c r="E36" i="8"/>
  <c r="E42" i="8"/>
  <c r="I25" i="8"/>
  <c r="H25" i="8"/>
  <c r="E17" i="11"/>
  <c r="F23" i="8"/>
  <c r="E23" i="8"/>
  <c r="E21" i="8" s="1"/>
  <c r="D17" i="11" s="1"/>
  <c r="F17" i="11" l="1"/>
  <c r="E21" i="11"/>
  <c r="I42" i="8"/>
  <c r="E41" i="8"/>
  <c r="F21" i="8"/>
  <c r="E17" i="8"/>
  <c r="E15" i="8" s="1"/>
  <c r="D16" i="11" s="1"/>
  <c r="E40" i="8" l="1"/>
  <c r="F17" i="8"/>
  <c r="E34" i="8" l="1"/>
  <c r="H34" i="8" s="1"/>
  <c r="D23" i="11"/>
  <c r="E16" i="11"/>
  <c r="F47" i="8"/>
  <c r="F16" i="11" l="1"/>
  <c r="F23" i="11"/>
  <c r="D46" i="23"/>
  <c r="D41" i="23" s="1"/>
  <c r="J26" i="23"/>
  <c r="F19" i="23"/>
  <c r="N27" i="23"/>
  <c r="F45" i="24" l="1"/>
  <c r="I12" i="24"/>
  <c r="H8" i="60" l="1"/>
  <c r="H41" i="12" s="1"/>
  <c r="E26" i="8" l="1"/>
  <c r="D18" i="11" s="1"/>
  <c r="F18" i="11" l="1"/>
  <c r="F15" i="8"/>
  <c r="F13" i="8" s="1"/>
  <c r="N47" i="23"/>
  <c r="E15" i="11" l="1"/>
  <c r="F104" i="24"/>
  <c r="E12" i="11" l="1"/>
  <c r="G36" i="26"/>
  <c r="L151" i="24"/>
  <c r="E58" i="24"/>
  <c r="E29" i="11" l="1"/>
  <c r="I41" i="23" l="1"/>
  <c r="F55" i="23"/>
  <c r="I52" i="23"/>
  <c r="F52" i="23"/>
  <c r="J57" i="23"/>
  <c r="N53" i="23"/>
  <c r="N45" i="23"/>
  <c r="N44" i="23"/>
  <c r="N35" i="23"/>
  <c r="N25" i="23"/>
  <c r="N57" i="23" l="1"/>
  <c r="I34" i="60"/>
  <c r="I33" i="60"/>
  <c r="L88" i="24" l="1"/>
  <c r="F45" i="8" l="1"/>
  <c r="G45" i="8" s="1"/>
  <c r="I25" i="60" l="1"/>
  <c r="C25" i="60"/>
  <c r="J25" i="60" s="1"/>
  <c r="E8" i="60"/>
  <c r="C16" i="60" l="1"/>
  <c r="H40" i="60"/>
  <c r="E41" i="12"/>
  <c r="H43" i="12"/>
  <c r="E43" i="12"/>
  <c r="D40" i="60"/>
  <c r="D45" i="11" s="1"/>
  <c r="D43" i="11" s="1"/>
  <c r="B40" i="60"/>
  <c r="B45" i="11" s="1"/>
  <c r="B43" i="11" s="1"/>
  <c r="F11" i="8"/>
  <c r="F9" i="8" s="1"/>
  <c r="D43" i="12"/>
  <c r="H42" i="12"/>
  <c r="D42" i="12"/>
  <c r="D41" i="12"/>
  <c r="I30" i="23"/>
  <c r="N19" i="23"/>
  <c r="H39" i="12" l="1"/>
  <c r="C42" i="12"/>
  <c r="B36" i="12"/>
  <c r="B21" i="10"/>
  <c r="B19" i="10" s="1"/>
  <c r="E21" i="10"/>
  <c r="D21" i="10"/>
  <c r="C40" i="60"/>
  <c r="I157" i="24"/>
  <c r="I144" i="24"/>
  <c r="I94" i="24" s="1"/>
  <c r="H17" i="12" s="1"/>
  <c r="E134" i="24"/>
  <c r="I62" i="24"/>
  <c r="L92" i="24"/>
  <c r="L90" i="24"/>
  <c r="I38" i="24"/>
  <c r="E16" i="24"/>
  <c r="C45" i="11" l="1"/>
  <c r="C43" i="11" s="1"/>
  <c r="C21" i="10"/>
  <c r="J51" i="24"/>
  <c r="K51" i="24"/>
  <c r="L89" i="24"/>
  <c r="L51" i="24"/>
  <c r="E30" i="23" l="1"/>
  <c r="F41" i="23"/>
  <c r="D28" i="23"/>
  <c r="M28" i="23" s="1"/>
  <c r="M26" i="23"/>
  <c r="E104" i="24" l="1"/>
  <c r="L104" i="24" s="1"/>
  <c r="F98" i="24"/>
  <c r="I155" i="24"/>
  <c r="L148" i="24"/>
  <c r="E95" i="24"/>
  <c r="I29" i="24"/>
  <c r="J148" i="24" l="1"/>
  <c r="J86" i="24"/>
  <c r="K148" i="24"/>
  <c r="L60" i="23" l="1"/>
  <c r="K60" i="23"/>
  <c r="K58" i="23" s="1"/>
  <c r="K57" i="23" s="1"/>
  <c r="K56" i="23" s="1"/>
  <c r="K55" i="23" s="1"/>
  <c r="K53" i="23" s="1"/>
  <c r="K52" i="23" s="1"/>
  <c r="K50" i="23" s="1"/>
  <c r="K49" i="23" s="1"/>
  <c r="K48" i="23" s="1"/>
  <c r="K47" i="23" s="1"/>
  <c r="K46" i="23" s="1"/>
  <c r="K45" i="23" s="1"/>
  <c r="K44" i="23" s="1"/>
  <c r="K43" i="23" s="1"/>
  <c r="K42" i="23" s="1"/>
  <c r="K41" i="23" s="1"/>
  <c r="K39" i="23" s="1"/>
  <c r="K38" i="23" s="1"/>
  <c r="K37" i="23" s="1"/>
  <c r="K36" i="23" s="1"/>
  <c r="K35" i="23" s="1"/>
  <c r="K34" i="23" s="1"/>
  <c r="K33" i="23" s="1"/>
  <c r="K32" i="23" s="1"/>
  <c r="K31" i="23" s="1"/>
  <c r="K30" i="23" s="1"/>
  <c r="K27" i="23" s="1"/>
  <c r="K25" i="23" s="1"/>
  <c r="K23" i="23" s="1"/>
  <c r="K19" i="23" s="1"/>
  <c r="K13" i="23" s="1"/>
  <c r="K12" i="23" s="1"/>
  <c r="K11" i="23" s="1"/>
  <c r="K10" i="23" s="1"/>
  <c r="L58" i="23"/>
  <c r="J58" i="23"/>
  <c r="L57" i="23"/>
  <c r="L56" i="23"/>
  <c r="L55" i="23"/>
  <c r="L53" i="23"/>
  <c r="J53" i="23"/>
  <c r="L52" i="23"/>
  <c r="L50" i="23"/>
  <c r="J50" i="23"/>
  <c r="L49" i="23"/>
  <c r="J49" i="23"/>
  <c r="L48" i="23"/>
  <c r="J48" i="23"/>
  <c r="M47" i="23"/>
  <c r="L47" i="23"/>
  <c r="J47" i="23"/>
  <c r="M46" i="23"/>
  <c r="L46" i="23"/>
  <c r="J46" i="23"/>
  <c r="M45" i="23"/>
  <c r="L45" i="23"/>
  <c r="J45" i="23"/>
  <c r="L44" i="23"/>
  <c r="J44" i="23"/>
  <c r="L43" i="23"/>
  <c r="J43" i="23"/>
  <c r="M42" i="23"/>
  <c r="L42" i="23"/>
  <c r="J42" i="23"/>
  <c r="L41" i="23"/>
  <c r="L39" i="23"/>
  <c r="M38" i="23"/>
  <c r="L38" i="23"/>
  <c r="M37" i="23"/>
  <c r="L37" i="23"/>
  <c r="J37" i="23"/>
  <c r="M36" i="23"/>
  <c r="L36" i="23"/>
  <c r="J36" i="23"/>
  <c r="M35" i="23"/>
  <c r="L35" i="23"/>
  <c r="J35" i="23"/>
  <c r="M34" i="23"/>
  <c r="L34" i="23"/>
  <c r="L33" i="23"/>
  <c r="J33" i="23"/>
  <c r="M32" i="23"/>
  <c r="L32" i="23"/>
  <c r="J32" i="23"/>
  <c r="M31" i="23"/>
  <c r="L31" i="23"/>
  <c r="J31" i="23"/>
  <c r="L30" i="23"/>
  <c r="L27" i="23"/>
  <c r="J27" i="23"/>
  <c r="L25" i="23"/>
  <c r="L23" i="23"/>
  <c r="J23" i="23"/>
  <c r="L19" i="23"/>
  <c r="L13" i="23"/>
  <c r="J13" i="23"/>
  <c r="L12" i="23"/>
  <c r="L11" i="23"/>
  <c r="L10" i="23"/>
  <c r="N49" i="23"/>
  <c r="N48" i="23"/>
  <c r="E55" i="23"/>
  <c r="E52" i="23"/>
  <c r="C41" i="23"/>
  <c r="I9" i="23"/>
  <c r="I60" i="23" s="1"/>
  <c r="F9" i="23"/>
  <c r="M58" i="23"/>
  <c r="M57" i="23"/>
  <c r="D56" i="23"/>
  <c r="M56" i="23" s="1"/>
  <c r="D52" i="23"/>
  <c r="M52" i="23" s="1"/>
  <c r="M50" i="23"/>
  <c r="M49" i="23"/>
  <c r="M48" i="23"/>
  <c r="M44" i="23"/>
  <c r="M43" i="23"/>
  <c r="J30" i="23"/>
  <c r="M33" i="23"/>
  <c r="M27" i="23"/>
  <c r="M23" i="23"/>
  <c r="M13" i="23"/>
  <c r="M12" i="23"/>
  <c r="E9" i="23"/>
  <c r="K27" i="15"/>
  <c r="K23" i="15"/>
  <c r="K19" i="15"/>
  <c r="N55" i="23" l="1"/>
  <c r="E60" i="23"/>
  <c r="J52" i="23"/>
  <c r="N52" i="23"/>
  <c r="F60" i="23"/>
  <c r="J41" i="23"/>
  <c r="N41" i="23"/>
  <c r="M41" i="23"/>
  <c r="M19" i="23"/>
  <c r="J19" i="23"/>
  <c r="J55" i="23"/>
  <c r="M11" i="23"/>
  <c r="M53" i="23"/>
  <c r="D55" i="23"/>
  <c r="M55" i="23" s="1"/>
  <c r="D84" i="24" l="1"/>
  <c r="D83" i="24" s="1"/>
  <c r="D37" i="24" s="1"/>
  <c r="K86" i="24"/>
  <c r="C37" i="11" l="1"/>
  <c r="C35" i="11" s="1"/>
  <c r="C16" i="12"/>
  <c r="C13" i="12" s="1"/>
  <c r="L83" i="24"/>
  <c r="I42" i="26"/>
  <c r="F42" i="26"/>
  <c r="E42" i="26"/>
  <c r="I24" i="26"/>
  <c r="F24" i="26"/>
  <c r="E24" i="26"/>
  <c r="I18" i="26"/>
  <c r="I16" i="26"/>
  <c r="F16" i="26"/>
  <c r="E16" i="26"/>
  <c r="I15" i="26"/>
  <c r="F15" i="26"/>
  <c r="E15" i="26"/>
  <c r="I13" i="26"/>
  <c r="F13" i="26"/>
  <c r="E13" i="26"/>
  <c r="I12" i="26"/>
  <c r="F12" i="26"/>
  <c r="E12" i="26"/>
  <c r="I11" i="26"/>
  <c r="F11" i="26"/>
  <c r="E11" i="26"/>
  <c r="I10" i="26" l="1"/>
  <c r="C19" i="10" l="1"/>
  <c r="C39" i="12" l="1"/>
  <c r="C36" i="12" s="1"/>
  <c r="D30" i="10" l="1"/>
  <c r="J181" i="24" l="1"/>
  <c r="E55" i="26"/>
  <c r="L85" i="24"/>
  <c r="I31" i="26"/>
  <c r="F31" i="26"/>
  <c r="E31" i="26"/>
  <c r="C83" i="24"/>
  <c r="L166" i="24"/>
  <c r="L165" i="24"/>
  <c r="G46" i="26"/>
  <c r="G42" i="26"/>
  <c r="L106" i="24"/>
  <c r="L105" i="24"/>
  <c r="L103" i="24"/>
  <c r="L101" i="24"/>
  <c r="L100" i="24"/>
  <c r="L99" i="24"/>
  <c r="L97" i="24"/>
  <c r="L66" i="24"/>
  <c r="L63" i="24"/>
  <c r="L59" i="24"/>
  <c r="K65" i="24" l="1"/>
  <c r="L65" i="24"/>
  <c r="L168" i="24"/>
  <c r="C31" i="26"/>
  <c r="D31" i="26"/>
  <c r="L175" i="24"/>
  <c r="L177" i="24"/>
  <c r="L170" i="24"/>
  <c r="L70" i="24"/>
  <c r="L40" i="24"/>
  <c r="L44" i="24"/>
  <c r="L57" i="24"/>
  <c r="L75" i="24"/>
  <c r="L46" i="24"/>
  <c r="L41" i="24"/>
  <c r="L54" i="24"/>
  <c r="L60" i="24"/>
  <c r="L71" i="24"/>
  <c r="L39" i="24"/>
  <c r="L48" i="24"/>
  <c r="L56" i="24"/>
  <c r="L61" i="24"/>
  <c r="J142" i="24"/>
  <c r="L72" i="24"/>
  <c r="L78" i="24"/>
  <c r="L50" i="24"/>
  <c r="L49" i="24"/>
  <c r="L47" i="24"/>
  <c r="J85" i="24"/>
  <c r="K89" i="24"/>
  <c r="K85" i="24"/>
  <c r="J89" i="24"/>
  <c r="J83" i="24" l="1"/>
  <c r="G31" i="26"/>
  <c r="L31" i="26" s="1"/>
  <c r="K83" i="24"/>
  <c r="G46" i="8" l="1"/>
  <c r="H30" i="8"/>
  <c r="E28" i="26" l="1"/>
  <c r="E29" i="26"/>
  <c r="J28" i="15"/>
  <c r="J26" i="15"/>
  <c r="J22" i="15"/>
  <c r="J20" i="15"/>
  <c r="J16" i="15"/>
  <c r="C29" i="26" l="1"/>
  <c r="F9" i="15"/>
  <c r="C45" i="26"/>
  <c r="F10" i="26"/>
  <c r="E10" i="26"/>
  <c r="J31" i="26" l="1"/>
  <c r="L42" i="26"/>
  <c r="K31" i="26" l="1"/>
  <c r="J24" i="26" l="1"/>
  <c r="L24" i="26"/>
  <c r="D13" i="26" l="1"/>
  <c r="D15" i="26"/>
  <c r="D16" i="26"/>
  <c r="D28" i="24"/>
  <c r="D24" i="26"/>
  <c r="K24" i="26" s="1"/>
  <c r="C26" i="26" l="1"/>
  <c r="D11" i="26"/>
  <c r="D10" i="26" s="1"/>
  <c r="D28" i="26"/>
  <c r="D27" i="24"/>
  <c r="E45" i="8"/>
  <c r="D26" i="11" s="1"/>
  <c r="D25" i="11" l="1"/>
  <c r="F26" i="11"/>
  <c r="M10" i="23"/>
  <c r="J10" i="23"/>
  <c r="N9" i="23" l="1"/>
  <c r="F25" i="11"/>
  <c r="D21" i="11"/>
  <c r="F21" i="11" s="1"/>
  <c r="J9" i="23"/>
  <c r="N60" i="23" l="1"/>
  <c r="J60" i="23"/>
  <c r="E34" i="26"/>
  <c r="K28" i="24" l="1"/>
  <c r="F34" i="26" l="1"/>
  <c r="L34" i="26" l="1"/>
  <c r="J156" i="24" l="1"/>
  <c r="J139" i="24"/>
  <c r="J137" i="24"/>
  <c r="J133" i="24"/>
  <c r="J132" i="24"/>
  <c r="J127" i="24"/>
  <c r="J125" i="24"/>
  <c r="J124" i="24"/>
  <c r="J123" i="24"/>
  <c r="J122" i="24"/>
  <c r="J42" i="24"/>
  <c r="J28" i="24"/>
  <c r="C11" i="15" l="1"/>
  <c r="E11" i="15"/>
  <c r="C21" i="15"/>
  <c r="D21" i="15"/>
  <c r="E21" i="15"/>
  <c r="K26" i="15"/>
  <c r="C9" i="15" l="1"/>
  <c r="D9" i="15" s="1"/>
  <c r="K9" i="15" s="1"/>
  <c r="K21" i="15"/>
  <c r="E9" i="15"/>
  <c r="J9" i="15" s="1"/>
  <c r="J113" i="24" l="1"/>
  <c r="J112" i="24"/>
  <c r="J111" i="24"/>
  <c r="J109" i="24"/>
  <c r="J108" i="24"/>
  <c r="J107" i="24"/>
  <c r="J105" i="24"/>
  <c r="J102" i="24"/>
  <c r="J101" i="24"/>
  <c r="J100" i="24"/>
  <c r="J99" i="24"/>
  <c r="J97" i="24"/>
  <c r="E120" i="24"/>
  <c r="E39" i="26" l="1"/>
  <c r="J96" i="24"/>
  <c r="J135" i="24" l="1"/>
  <c r="J72" i="24"/>
  <c r="J63" i="24"/>
  <c r="J44" i="24"/>
  <c r="J43" i="24"/>
  <c r="J39" i="24"/>
  <c r="J32" i="24"/>
  <c r="K20" i="24"/>
  <c r="J177" i="24"/>
  <c r="J175" i="24"/>
  <c r="J167" i="24"/>
  <c r="J166" i="24"/>
  <c r="J165" i="24"/>
  <c r="J164" i="24"/>
  <c r="J163" i="24"/>
  <c r="L145" i="24"/>
  <c r="J143" i="24"/>
  <c r="J42" i="26" s="1"/>
  <c r="J141" i="24"/>
  <c r="J140" i="24"/>
  <c r="J138" i="24"/>
  <c r="J136" i="24"/>
  <c r="J131" i="24"/>
  <c r="J130" i="24"/>
  <c r="J129" i="24"/>
  <c r="J121" i="24"/>
  <c r="J119" i="24"/>
  <c r="J118" i="24"/>
  <c r="J116" i="24"/>
  <c r="J115" i="24"/>
  <c r="J82" i="24"/>
  <c r="J81" i="24"/>
  <c r="J80" i="24"/>
  <c r="J79" i="24"/>
  <c r="J78" i="24"/>
  <c r="J77" i="24"/>
  <c r="J75" i="24"/>
  <c r="J71" i="24"/>
  <c r="J70" i="24"/>
  <c r="J69" i="24"/>
  <c r="J66" i="24"/>
  <c r="J64" i="24"/>
  <c r="J61" i="24"/>
  <c r="J60" i="24"/>
  <c r="J59" i="24"/>
  <c r="J57" i="24"/>
  <c r="J56" i="24"/>
  <c r="J54" i="24"/>
  <c r="J50" i="24"/>
  <c r="J49" i="24"/>
  <c r="J48" i="24"/>
  <c r="J47" i="24"/>
  <c r="J46" i="24"/>
  <c r="J40" i="24"/>
  <c r="J35" i="24"/>
  <c r="J33" i="24"/>
  <c r="J31" i="24"/>
  <c r="J30" i="24"/>
  <c r="J18" i="24"/>
  <c r="K13" i="24" l="1"/>
  <c r="L153" i="24"/>
  <c r="L150" i="24"/>
  <c r="L146" i="24"/>
  <c r="L152" i="24"/>
  <c r="L147" i="24"/>
  <c r="L149" i="24"/>
  <c r="J179" i="24"/>
  <c r="J145" i="24"/>
  <c r="J26" i="24"/>
  <c r="J24" i="24"/>
  <c r="J23" i="24"/>
  <c r="J17" i="24"/>
  <c r="G16" i="26"/>
  <c r="L16" i="26"/>
  <c r="J146" i="24"/>
  <c r="J151" i="24"/>
  <c r="J147" i="24"/>
  <c r="J152" i="24"/>
  <c r="J149" i="24"/>
  <c r="J153" i="24"/>
  <c r="J150" i="24"/>
  <c r="F39" i="26"/>
  <c r="J14" i="24"/>
  <c r="J12" i="26" s="1"/>
  <c r="G12" i="26"/>
  <c r="J20" i="24"/>
  <c r="J15" i="26" s="1"/>
  <c r="G15" i="26"/>
  <c r="J11" i="26"/>
  <c r="J15" i="24"/>
  <c r="J13" i="26" s="1"/>
  <c r="G13" i="26"/>
  <c r="J169" i="24"/>
  <c r="J158" i="24"/>
  <c r="J170" i="24"/>
  <c r="J161" i="24"/>
  <c r="J21" i="24"/>
  <c r="J16" i="26" s="1"/>
  <c r="J41" i="24"/>
  <c r="G39" i="26" l="1"/>
  <c r="L39" i="26" s="1"/>
  <c r="G14" i="26"/>
  <c r="G47" i="26"/>
  <c r="G45" i="26" s="1"/>
  <c r="J120" i="24"/>
  <c r="J39" i="26" s="1"/>
  <c r="G10" i="26"/>
  <c r="G50" i="26"/>
  <c r="G17" i="26"/>
  <c r="J19" i="24"/>
  <c r="K10" i="26" l="1"/>
  <c r="J10" i="26"/>
  <c r="J95" i="24" l="1"/>
  <c r="J34" i="26" s="1"/>
  <c r="F28" i="26" l="1"/>
  <c r="G28" i="26" l="1"/>
  <c r="L67" i="24" l="1"/>
  <c r="J28" i="26"/>
  <c r="E62" i="24"/>
  <c r="E27" i="26" s="1"/>
  <c r="F58" i="24"/>
  <c r="I29" i="26"/>
  <c r="L28" i="26" l="1"/>
  <c r="K28" i="26"/>
  <c r="F26" i="26"/>
  <c r="G26" i="26" l="1"/>
  <c r="I27" i="26" l="1"/>
  <c r="F62" i="24"/>
  <c r="E54" i="26"/>
  <c r="F27" i="26" l="1"/>
  <c r="K66" i="24"/>
  <c r="L62" i="24" l="1"/>
  <c r="G27" i="26"/>
  <c r="J27" i="26" s="1"/>
  <c r="J62" i="24"/>
  <c r="E162" i="24"/>
  <c r="E51" i="26" s="1"/>
  <c r="E157" i="24"/>
  <c r="L27" i="26" l="1"/>
  <c r="J157" i="24"/>
  <c r="E47" i="26"/>
  <c r="E43" i="26"/>
  <c r="E38" i="24"/>
  <c r="E22" i="26" s="1"/>
  <c r="J47" i="26" l="1"/>
  <c r="K27" i="24"/>
  <c r="K18" i="26" s="1"/>
  <c r="E18" i="26"/>
  <c r="C27" i="24"/>
  <c r="C18" i="26" s="1"/>
  <c r="F18" i="26" l="1"/>
  <c r="L18" i="26" l="1"/>
  <c r="J27" i="24"/>
  <c r="J18" i="26" s="1"/>
  <c r="G18" i="26"/>
  <c r="E160" i="24"/>
  <c r="E52" i="26"/>
  <c r="E155" i="24"/>
  <c r="E46" i="26" s="1"/>
  <c r="E45" i="26" s="1"/>
  <c r="E114" i="24"/>
  <c r="E110" i="24"/>
  <c r="E37" i="26" s="1"/>
  <c r="E36" i="26"/>
  <c r="E35" i="26"/>
  <c r="E23" i="26"/>
  <c r="E41" i="26"/>
  <c r="F134" i="24"/>
  <c r="E128" i="24"/>
  <c r="F128" i="24"/>
  <c r="F110" i="24"/>
  <c r="E76" i="24"/>
  <c r="E30" i="26" s="1"/>
  <c r="F76" i="24"/>
  <c r="E25" i="26"/>
  <c r="E29" i="24"/>
  <c r="E19" i="26" s="1"/>
  <c r="E22" i="24"/>
  <c r="E12" i="24"/>
  <c r="J12" i="24" s="1"/>
  <c r="E159" i="24" l="1"/>
  <c r="D28" i="12"/>
  <c r="D22" i="12" s="1"/>
  <c r="E38" i="26"/>
  <c r="E94" i="24"/>
  <c r="D38" i="11" s="1"/>
  <c r="L58" i="24"/>
  <c r="E37" i="24"/>
  <c r="D37" i="11" s="1"/>
  <c r="E40" i="26"/>
  <c r="E11" i="24"/>
  <c r="J58" i="24"/>
  <c r="E26" i="26"/>
  <c r="E21" i="26" s="1"/>
  <c r="F30" i="26"/>
  <c r="F37" i="26"/>
  <c r="F36" i="26"/>
  <c r="F41" i="26"/>
  <c r="F40" i="26"/>
  <c r="E50" i="26"/>
  <c r="L98" i="24"/>
  <c r="F35" i="26"/>
  <c r="J22" i="24"/>
  <c r="J17" i="26" s="1"/>
  <c r="E17" i="26"/>
  <c r="J16" i="24"/>
  <c r="J14" i="26" s="1"/>
  <c r="E14" i="26"/>
  <c r="J160" i="24"/>
  <c r="J67" i="24"/>
  <c r="E154" i="24"/>
  <c r="D39" i="11" s="1"/>
  <c r="D36" i="11" l="1"/>
  <c r="D35" i="11" s="1"/>
  <c r="E15" i="10"/>
  <c r="D41" i="11"/>
  <c r="E182" i="24"/>
  <c r="E33" i="26"/>
  <c r="G41" i="26"/>
  <c r="L41" i="26" s="1"/>
  <c r="G40" i="26"/>
  <c r="L40" i="26" s="1"/>
  <c r="G37" i="26"/>
  <c r="L37" i="26" s="1"/>
  <c r="L36" i="26"/>
  <c r="G35" i="26"/>
  <c r="L35" i="26" s="1"/>
  <c r="L76" i="24"/>
  <c r="G30" i="26"/>
  <c r="L30" i="26" s="1"/>
  <c r="J110" i="24"/>
  <c r="J37" i="26" s="1"/>
  <c r="J134" i="24"/>
  <c r="J41" i="26" s="1"/>
  <c r="J104" i="24"/>
  <c r="J36" i="26" s="1"/>
  <c r="J128" i="24"/>
  <c r="J40" i="26" s="1"/>
  <c r="J76" i="24"/>
  <c r="J50" i="26"/>
  <c r="L50" i="26"/>
  <c r="E49" i="26"/>
  <c r="J98" i="24"/>
  <c r="J35" i="26" s="1"/>
  <c r="E9" i="26"/>
  <c r="J26" i="26"/>
  <c r="L26" i="26"/>
  <c r="E31" i="8"/>
  <c r="E13" i="8" l="1"/>
  <c r="D19" i="11"/>
  <c r="D33" i="11"/>
  <c r="D50" i="11" s="1"/>
  <c r="E56" i="26"/>
  <c r="E12" i="10"/>
  <c r="J30" i="26"/>
  <c r="E28" i="10"/>
  <c r="E26" i="10" s="1"/>
  <c r="I174" i="24"/>
  <c r="I54" i="26" s="1"/>
  <c r="I178" i="24"/>
  <c r="I55" i="26" s="1"/>
  <c r="F19" i="11" l="1"/>
  <c r="D15" i="11"/>
  <c r="H32" i="12"/>
  <c r="D12" i="11" l="1"/>
  <c r="F15" i="11"/>
  <c r="I40" i="26"/>
  <c r="D29" i="11" l="1"/>
  <c r="F29" i="11" s="1"/>
  <c r="F12" i="11"/>
  <c r="K164" i="24"/>
  <c r="K147" i="24" l="1"/>
  <c r="K150" i="24" l="1"/>
  <c r="E19" i="10" l="1"/>
  <c r="K146" i="24" l="1"/>
  <c r="C52" i="23" l="1"/>
  <c r="C120" i="24" l="1"/>
  <c r="D32" i="12"/>
  <c r="C39" i="26" l="1"/>
  <c r="D15" i="12" l="1"/>
  <c r="D16" i="12"/>
  <c r="D17" i="12"/>
  <c r="D18" i="12"/>
  <c r="D20" i="12"/>
  <c r="D13" i="12" l="1"/>
  <c r="F178" i="24"/>
  <c r="E32" i="12" l="1"/>
  <c r="F54" i="26"/>
  <c r="G54" i="26"/>
  <c r="L178" i="24"/>
  <c r="F55" i="26"/>
  <c r="J174" i="24" l="1"/>
  <c r="L174" i="24"/>
  <c r="G55" i="26"/>
  <c r="J54" i="26"/>
  <c r="F32" i="12"/>
  <c r="J178" i="24"/>
  <c r="J55" i="26" l="1"/>
  <c r="L54" i="26"/>
  <c r="H24" i="8" l="1"/>
  <c r="H22" i="8"/>
  <c r="L107" i="24"/>
  <c r="L142" i="24"/>
  <c r="L139" i="24"/>
  <c r="L126" i="24"/>
  <c r="K41" i="24"/>
  <c r="K100" i="24"/>
  <c r="K96" i="24"/>
  <c r="C10" i="23"/>
  <c r="C9" i="23" s="1"/>
  <c r="L132" i="24"/>
  <c r="L122" i="24"/>
  <c r="C12" i="24"/>
  <c r="F12" i="24"/>
  <c r="F11" i="24" s="1"/>
  <c r="F14" i="26"/>
  <c r="I16" i="24"/>
  <c r="C22" i="24"/>
  <c r="I22" i="24"/>
  <c r="I17" i="26" s="1"/>
  <c r="K23" i="24"/>
  <c r="K24" i="24"/>
  <c r="I19" i="26"/>
  <c r="K35" i="24"/>
  <c r="C38" i="24"/>
  <c r="C37" i="24" s="1"/>
  <c r="B37" i="11" s="1"/>
  <c r="D23" i="26"/>
  <c r="I23" i="26"/>
  <c r="I55" i="24"/>
  <c r="K56" i="24"/>
  <c r="K57" i="24"/>
  <c r="D26" i="26"/>
  <c r="K26" i="26" s="1"/>
  <c r="I58" i="24"/>
  <c r="K59" i="24"/>
  <c r="K63" i="24"/>
  <c r="F73" i="24"/>
  <c r="C95" i="24"/>
  <c r="C98" i="24"/>
  <c r="C104" i="24"/>
  <c r="L108" i="24"/>
  <c r="C110" i="24"/>
  <c r="C114" i="24"/>
  <c r="F114" i="24"/>
  <c r="G38" i="26" s="1"/>
  <c r="I38" i="26"/>
  <c r="K119" i="24"/>
  <c r="K122" i="24"/>
  <c r="K124" i="24"/>
  <c r="K125" i="24"/>
  <c r="K126" i="24"/>
  <c r="K127" i="24"/>
  <c r="L127" i="24"/>
  <c r="C128" i="24"/>
  <c r="L130" i="24"/>
  <c r="K132" i="24"/>
  <c r="C134" i="24"/>
  <c r="K138" i="24"/>
  <c r="K140" i="24"/>
  <c r="K141" i="24"/>
  <c r="K142" i="24"/>
  <c r="L143" i="24"/>
  <c r="C144" i="24"/>
  <c r="F144" i="24"/>
  <c r="I43" i="26"/>
  <c r="K149" i="24"/>
  <c r="K151" i="24"/>
  <c r="C155" i="24"/>
  <c r="F155" i="24"/>
  <c r="I46" i="26"/>
  <c r="L156" i="24"/>
  <c r="C157" i="24"/>
  <c r="D157" i="24" s="1"/>
  <c r="F157" i="24"/>
  <c r="I47" i="26"/>
  <c r="C160" i="24"/>
  <c r="F160" i="24"/>
  <c r="I160" i="24"/>
  <c r="F162" i="24"/>
  <c r="I162" i="24"/>
  <c r="I51" i="26" s="1"/>
  <c r="I52" i="26"/>
  <c r="C174" i="24"/>
  <c r="B32" i="12" s="1"/>
  <c r="C178" i="24"/>
  <c r="D11" i="12"/>
  <c r="F30" i="12"/>
  <c r="F35" i="12"/>
  <c r="D39" i="12"/>
  <c r="D36" i="12" s="1"/>
  <c r="H36" i="12"/>
  <c r="L124" i="24"/>
  <c r="L25" i="24"/>
  <c r="L125" i="24"/>
  <c r="L119" i="24"/>
  <c r="F159" i="24" l="1"/>
  <c r="B28" i="12"/>
  <c r="B22" i="12" s="1"/>
  <c r="B16" i="12"/>
  <c r="I37" i="24"/>
  <c r="H16" i="12" s="1"/>
  <c r="M9" i="23"/>
  <c r="C60" i="23"/>
  <c r="C159" i="24"/>
  <c r="B41" i="11" s="1"/>
  <c r="I159" i="24"/>
  <c r="F37" i="24"/>
  <c r="E37" i="11" s="1"/>
  <c r="C55" i="26"/>
  <c r="D159" i="24"/>
  <c r="C40" i="26"/>
  <c r="D40" i="26"/>
  <c r="K40" i="26" s="1"/>
  <c r="C41" i="26"/>
  <c r="D41" i="26"/>
  <c r="K41" i="26" s="1"/>
  <c r="C52" i="26"/>
  <c r="C37" i="26"/>
  <c r="D37" i="26"/>
  <c r="K37" i="26" s="1"/>
  <c r="C50" i="26"/>
  <c r="C154" i="24"/>
  <c r="B39" i="11" s="1"/>
  <c r="C43" i="26"/>
  <c r="C38" i="26"/>
  <c r="D38" i="26"/>
  <c r="C22" i="26"/>
  <c r="D22" i="26"/>
  <c r="D36" i="26"/>
  <c r="K36" i="26" s="1"/>
  <c r="C36" i="26"/>
  <c r="D35" i="26"/>
  <c r="K35" i="26" s="1"/>
  <c r="C35" i="26"/>
  <c r="D34" i="26"/>
  <c r="K34" i="26" s="1"/>
  <c r="C34" i="26"/>
  <c r="C54" i="26"/>
  <c r="D30" i="26"/>
  <c r="K30" i="26" s="1"/>
  <c r="C30" i="26"/>
  <c r="K27" i="26"/>
  <c r="C27" i="26"/>
  <c r="C19" i="26"/>
  <c r="C17" i="26"/>
  <c r="D14" i="26"/>
  <c r="D9" i="26" s="1"/>
  <c r="C14" i="26"/>
  <c r="D25" i="26"/>
  <c r="C25" i="26"/>
  <c r="K181" i="24"/>
  <c r="D11" i="10"/>
  <c r="C28" i="10"/>
  <c r="C26" i="10" s="1"/>
  <c r="I25" i="26"/>
  <c r="I39" i="26"/>
  <c r="I37" i="26"/>
  <c r="I36" i="26"/>
  <c r="I35" i="26"/>
  <c r="I34" i="26"/>
  <c r="I28" i="26"/>
  <c r="I30" i="26"/>
  <c r="E28" i="12"/>
  <c r="E22" i="12" s="1"/>
  <c r="I26" i="26"/>
  <c r="I11" i="24"/>
  <c r="F43" i="26"/>
  <c r="F94" i="24"/>
  <c r="H28" i="12"/>
  <c r="H22" i="12" s="1"/>
  <c r="D51" i="26"/>
  <c r="F28" i="12"/>
  <c r="F22" i="12" s="1"/>
  <c r="I22" i="26"/>
  <c r="F29" i="26"/>
  <c r="I45" i="26"/>
  <c r="I14" i="26"/>
  <c r="I9" i="26" s="1"/>
  <c r="F38" i="26"/>
  <c r="L45" i="24"/>
  <c r="F23" i="26"/>
  <c r="F47" i="26"/>
  <c r="F25" i="26"/>
  <c r="F46" i="26"/>
  <c r="F52" i="26"/>
  <c r="I50" i="26"/>
  <c r="I49" i="26" s="1"/>
  <c r="K143" i="24"/>
  <c r="D42" i="26"/>
  <c r="K42" i="26" s="1"/>
  <c r="F22" i="26"/>
  <c r="F51" i="26"/>
  <c r="F50" i="26"/>
  <c r="F17" i="26"/>
  <c r="G29" i="26"/>
  <c r="E14" i="10"/>
  <c r="D29" i="26"/>
  <c r="L111" i="24"/>
  <c r="L113" i="24"/>
  <c r="L20" i="24"/>
  <c r="L15" i="26" s="1"/>
  <c r="L19" i="24"/>
  <c r="L17" i="24"/>
  <c r="D28" i="10"/>
  <c r="D26" i="10" s="1"/>
  <c r="I154" i="24"/>
  <c r="H18" i="12" s="1"/>
  <c r="K14" i="24"/>
  <c r="K12" i="26" s="1"/>
  <c r="L14" i="24"/>
  <c r="L12" i="26" s="1"/>
  <c r="L13" i="24"/>
  <c r="L11" i="26" s="1"/>
  <c r="K11" i="26"/>
  <c r="K97" i="24"/>
  <c r="K78" i="24"/>
  <c r="K109" i="24"/>
  <c r="K166" i="24"/>
  <c r="L109" i="24"/>
  <c r="K19" i="24"/>
  <c r="K179" i="24"/>
  <c r="K165" i="24"/>
  <c r="K18" i="24"/>
  <c r="K69" i="24"/>
  <c r="K82" i="24"/>
  <c r="C11" i="24"/>
  <c r="D47" i="26"/>
  <c r="K47" i="26" s="1"/>
  <c r="F154" i="24"/>
  <c r="C94" i="24"/>
  <c r="B38" i="11" s="1"/>
  <c r="K79" i="24"/>
  <c r="K161" i="24"/>
  <c r="L121" i="24"/>
  <c r="K153" i="24"/>
  <c r="K145" i="24"/>
  <c r="K112" i="24"/>
  <c r="K39" i="24"/>
  <c r="K176" i="24"/>
  <c r="K156" i="24"/>
  <c r="L131" i="24"/>
  <c r="K131" i="24"/>
  <c r="K64" i="24"/>
  <c r="K118" i="24"/>
  <c r="K61" i="24"/>
  <c r="K170" i="24"/>
  <c r="K137" i="24"/>
  <c r="L137" i="24"/>
  <c r="K113" i="24"/>
  <c r="K105" i="24"/>
  <c r="K50" i="24"/>
  <c r="K25" i="24"/>
  <c r="L23" i="24"/>
  <c r="K15" i="26"/>
  <c r="K177" i="24"/>
  <c r="L161" i="24"/>
  <c r="K130" i="24"/>
  <c r="L138" i="24"/>
  <c r="K152" i="24"/>
  <c r="K129" i="24"/>
  <c r="K102" i="24"/>
  <c r="K108" i="24"/>
  <c r="K101" i="24"/>
  <c r="K115" i="24"/>
  <c r="K31" i="24"/>
  <c r="K167" i="24"/>
  <c r="E11" i="8"/>
  <c r="E10" i="10" s="1"/>
  <c r="K81" i="24"/>
  <c r="K77" i="24"/>
  <c r="L136" i="24"/>
  <c r="K136" i="24"/>
  <c r="L128" i="24"/>
  <c r="K133" i="24"/>
  <c r="L133" i="24"/>
  <c r="K116" i="24"/>
  <c r="K111" i="24"/>
  <c r="K99" i="24"/>
  <c r="K75" i="24"/>
  <c r="K60" i="24"/>
  <c r="K49" i="24"/>
  <c r="K48" i="24"/>
  <c r="K47" i="24"/>
  <c r="K46" i="24"/>
  <c r="K43" i="24"/>
  <c r="K33" i="24"/>
  <c r="L24" i="24"/>
  <c r="L19" i="26" s="1"/>
  <c r="L18" i="24"/>
  <c r="K158" i="24"/>
  <c r="K175" i="24"/>
  <c r="K169" i="24"/>
  <c r="K163" i="24"/>
  <c r="K139" i="24"/>
  <c r="K121" i="24"/>
  <c r="K107" i="24"/>
  <c r="K103" i="24"/>
  <c r="K54" i="24"/>
  <c r="K72" i="24"/>
  <c r="K80" i="24"/>
  <c r="K30" i="24"/>
  <c r="K15" i="24"/>
  <c r="K13" i="26" s="1"/>
  <c r="K44" i="24"/>
  <c r="K32" i="24"/>
  <c r="L15" i="24"/>
  <c r="L13" i="26" s="1"/>
  <c r="L26" i="24"/>
  <c r="K40" i="24"/>
  <c r="K26" i="24"/>
  <c r="D39" i="26"/>
  <c r="K39" i="26" s="1"/>
  <c r="K71" i="24"/>
  <c r="K106" i="24"/>
  <c r="L135" i="24"/>
  <c r="L123" i="24"/>
  <c r="K123" i="24"/>
  <c r="K70" i="24"/>
  <c r="K42" i="24"/>
  <c r="K17" i="24"/>
  <c r="K135" i="24"/>
  <c r="L112" i="24"/>
  <c r="I182" i="24" l="1"/>
  <c r="E41" i="11"/>
  <c r="F41" i="11" s="1"/>
  <c r="C182" i="24"/>
  <c r="F37" i="11"/>
  <c r="B36" i="11"/>
  <c r="B35" i="11" s="1"/>
  <c r="B33" i="11" s="1"/>
  <c r="B50" i="11" s="1"/>
  <c r="B15" i="12"/>
  <c r="C41" i="11"/>
  <c r="C33" i="11" s="1"/>
  <c r="C50" i="11" s="1"/>
  <c r="D182" i="24"/>
  <c r="I33" i="26"/>
  <c r="D21" i="26"/>
  <c r="C15" i="10"/>
  <c r="C20" i="12"/>
  <c r="L144" i="24"/>
  <c r="G43" i="26"/>
  <c r="L43" i="26" s="1"/>
  <c r="E39" i="11"/>
  <c r="D43" i="26"/>
  <c r="D33" i="26" s="1"/>
  <c r="B17" i="12"/>
  <c r="B20" i="12"/>
  <c r="B15" i="10"/>
  <c r="B18" i="12"/>
  <c r="C49" i="26"/>
  <c r="C33" i="26"/>
  <c r="C21" i="26"/>
  <c r="C9" i="26"/>
  <c r="E16" i="12"/>
  <c r="E20" i="12"/>
  <c r="E18" i="12"/>
  <c r="E17" i="12"/>
  <c r="E38" i="11"/>
  <c r="H15" i="12"/>
  <c r="J162" i="24"/>
  <c r="J168" i="24"/>
  <c r="L73" i="24"/>
  <c r="L55" i="24"/>
  <c r="I21" i="26"/>
  <c r="L38" i="26"/>
  <c r="L38" i="24"/>
  <c r="H20" i="12"/>
  <c r="F33" i="26"/>
  <c r="J144" i="24"/>
  <c r="G22" i="26"/>
  <c r="G23" i="26"/>
  <c r="L23" i="26" s="1"/>
  <c r="L29" i="26"/>
  <c r="J55" i="24"/>
  <c r="D60" i="23"/>
  <c r="M60" i="23" s="1"/>
  <c r="M30" i="23"/>
  <c r="J114" i="24"/>
  <c r="J38" i="26" s="1"/>
  <c r="G51" i="26"/>
  <c r="G52" i="26"/>
  <c r="K52" i="26" s="1"/>
  <c r="L114" i="24"/>
  <c r="F45" i="26"/>
  <c r="K55" i="24"/>
  <c r="F21" i="26"/>
  <c r="G25" i="26"/>
  <c r="K25" i="26" s="1"/>
  <c r="J45" i="24"/>
  <c r="K155" i="24"/>
  <c r="D46" i="26"/>
  <c r="L155" i="24"/>
  <c r="K178" i="24"/>
  <c r="D55" i="26"/>
  <c r="K55" i="26" s="1"/>
  <c r="F49" i="26"/>
  <c r="D54" i="26"/>
  <c r="K54" i="26" s="1"/>
  <c r="D50" i="26"/>
  <c r="J38" i="24"/>
  <c r="J155" i="24"/>
  <c r="J73" i="24"/>
  <c r="L162" i="24"/>
  <c r="L160" i="24"/>
  <c r="L12" i="24"/>
  <c r="L10" i="26" s="1"/>
  <c r="L16" i="24"/>
  <c r="L14" i="26" s="1"/>
  <c r="K22" i="24"/>
  <c r="K17" i="26" s="1"/>
  <c r="K157" i="24"/>
  <c r="K144" i="24"/>
  <c r="K38" i="24"/>
  <c r="K160" i="24"/>
  <c r="K168" i="24"/>
  <c r="E9" i="8"/>
  <c r="K104" i="24"/>
  <c r="K174" i="24"/>
  <c r="K58" i="24"/>
  <c r="K62" i="24"/>
  <c r="K67" i="24"/>
  <c r="K128" i="24"/>
  <c r="K120" i="24"/>
  <c r="L120" i="24"/>
  <c r="K12" i="24"/>
  <c r="K16" i="24"/>
  <c r="K14" i="26" s="1"/>
  <c r="D9" i="12"/>
  <c r="K76" i="24"/>
  <c r="K162" i="24"/>
  <c r="K98" i="24"/>
  <c r="K73" i="24"/>
  <c r="K45" i="24"/>
  <c r="L22" i="24"/>
  <c r="L17" i="26" s="1"/>
  <c r="L110" i="24"/>
  <c r="K110" i="24"/>
  <c r="K114" i="24"/>
  <c r="L95" i="24"/>
  <c r="K95" i="24"/>
  <c r="K9" i="23"/>
  <c r="L134" i="24"/>
  <c r="K134" i="24"/>
  <c r="B13" i="12" l="1"/>
  <c r="B11" i="12" s="1"/>
  <c r="F38" i="11"/>
  <c r="F39" i="11"/>
  <c r="C56" i="26"/>
  <c r="C14" i="10"/>
  <c r="J46" i="26"/>
  <c r="L45" i="26"/>
  <c r="L46" i="26"/>
  <c r="K38" i="26"/>
  <c r="G33" i="26"/>
  <c r="G21" i="26"/>
  <c r="K21" i="26" s="1"/>
  <c r="L51" i="26"/>
  <c r="G49" i="26"/>
  <c r="L22" i="26"/>
  <c r="J94" i="24"/>
  <c r="L154" i="24"/>
  <c r="K29" i="26"/>
  <c r="J29" i="26"/>
  <c r="K22" i="26"/>
  <c r="J22" i="26"/>
  <c r="J43" i="26"/>
  <c r="K43" i="26"/>
  <c r="J154" i="24"/>
  <c r="K154" i="24"/>
  <c r="F18" i="12"/>
  <c r="J18" i="12" s="1"/>
  <c r="K23" i="26"/>
  <c r="J23" i="26"/>
  <c r="J51" i="26"/>
  <c r="G15" i="10"/>
  <c r="J159" i="24"/>
  <c r="F20" i="12"/>
  <c r="K51" i="26"/>
  <c r="L52" i="26"/>
  <c r="F17" i="12"/>
  <c r="J52" i="26"/>
  <c r="J25" i="26"/>
  <c r="L25" i="26"/>
  <c r="J37" i="24"/>
  <c r="D45" i="26"/>
  <c r="K46" i="26"/>
  <c r="D49" i="26"/>
  <c r="K50" i="26"/>
  <c r="L37" i="24"/>
  <c r="F16" i="12"/>
  <c r="K37" i="24"/>
  <c r="D19" i="10"/>
  <c r="D14" i="10"/>
  <c r="K32" i="12"/>
  <c r="J32" i="12"/>
  <c r="I32" i="12"/>
  <c r="D15" i="10"/>
  <c r="K159" i="24"/>
  <c r="L159" i="24"/>
  <c r="K94" i="24"/>
  <c r="L9" i="23"/>
  <c r="L94" i="24"/>
  <c r="B14" i="10" l="1"/>
  <c r="B12" i="10" s="1"/>
  <c r="B9" i="12"/>
  <c r="C11" i="12"/>
  <c r="C12" i="10" s="1"/>
  <c r="D56" i="26"/>
  <c r="J33" i="26"/>
  <c r="J45" i="26"/>
  <c r="K45" i="26"/>
  <c r="K33" i="26"/>
  <c r="L33" i="26"/>
  <c r="L49" i="26"/>
  <c r="L21" i="26"/>
  <c r="J49" i="26"/>
  <c r="K49" i="26"/>
  <c r="J21" i="26"/>
  <c r="K18" i="12"/>
  <c r="I18" i="12"/>
  <c r="J20" i="12"/>
  <c r="K20" i="12"/>
  <c r="I20" i="12"/>
  <c r="K17" i="12"/>
  <c r="I17" i="12"/>
  <c r="J17" i="12"/>
  <c r="J16" i="12"/>
  <c r="K16" i="12"/>
  <c r="I16" i="12"/>
  <c r="C9" i="12" l="1"/>
  <c r="I22" i="12"/>
  <c r="I28" i="12" s="1"/>
  <c r="K22" i="12"/>
  <c r="J22" i="12"/>
  <c r="J28" i="12" s="1"/>
  <c r="K28" i="12"/>
  <c r="K21" i="24" l="1"/>
  <c r="K16" i="26" s="1"/>
  <c r="D12" i="10" l="1"/>
  <c r="M39" i="23" l="1"/>
  <c r="J90" i="24" l="1"/>
  <c r="K90" i="24"/>
  <c r="K92" i="24"/>
  <c r="J92" i="24"/>
  <c r="J33" i="60"/>
  <c r="J34" i="60" l="1"/>
  <c r="M25" i="23"/>
  <c r="J25" i="23"/>
  <c r="J10" i="60" l="1"/>
  <c r="J26" i="60"/>
  <c r="K15" i="60"/>
  <c r="I19" i="60"/>
  <c r="I9" i="60"/>
  <c r="I17" i="60" l="1"/>
  <c r="K19" i="60"/>
  <c r="K10" i="60"/>
  <c r="K8" i="60"/>
  <c r="K9" i="60"/>
  <c r="K43" i="12"/>
  <c r="J43" i="12"/>
  <c r="I43" i="12"/>
  <c r="I10" i="60"/>
  <c r="I26" i="60"/>
  <c r="J15" i="60"/>
  <c r="J19" i="60"/>
  <c r="I31" i="60"/>
  <c r="K31" i="60"/>
  <c r="J9" i="60"/>
  <c r="I15" i="60"/>
  <c r="J31" i="60"/>
  <c r="K17" i="60"/>
  <c r="I8" i="60" l="1"/>
  <c r="F41" i="12"/>
  <c r="J8" i="60"/>
  <c r="J41" i="12" l="1"/>
  <c r="I41" i="12"/>
  <c r="K41" i="12"/>
  <c r="I56" i="26" l="1"/>
  <c r="H13" i="12" l="1"/>
  <c r="L23" i="15"/>
  <c r="L27" i="15"/>
  <c r="K15" i="15"/>
  <c r="L29" i="15"/>
  <c r="K13" i="15"/>
  <c r="K17" i="15"/>
  <c r="H11" i="12" l="1"/>
  <c r="H9" i="12" s="1"/>
  <c r="J25" i="15"/>
  <c r="K25" i="15"/>
  <c r="J13" i="15"/>
  <c r="L25" i="15"/>
  <c r="J15" i="15"/>
  <c r="L13" i="15"/>
  <c r="L9" i="15"/>
  <c r="J27" i="15"/>
  <c r="L19" i="15"/>
  <c r="J17" i="15"/>
  <c r="J29" i="15"/>
  <c r="J23" i="15"/>
  <c r="L17" i="15"/>
  <c r="L15" i="15"/>
  <c r="K11" i="15" l="1"/>
  <c r="L21" i="15"/>
  <c r="J21" i="15"/>
  <c r="L11" i="15"/>
  <c r="J11" i="15"/>
  <c r="G47" i="8" l="1"/>
  <c r="I23" i="8"/>
  <c r="I41" i="8"/>
  <c r="I47" i="8" l="1"/>
  <c r="I45" i="8"/>
  <c r="H45" i="8"/>
  <c r="H47" i="8"/>
  <c r="H23" i="8"/>
  <c r="H41" i="8"/>
  <c r="G28" i="10" l="1"/>
  <c r="G26" i="10"/>
  <c r="I27" i="8" l="1"/>
  <c r="H27" i="8"/>
  <c r="I28" i="8" l="1"/>
  <c r="H28" i="8"/>
  <c r="H32" i="8" l="1"/>
  <c r="I32" i="8"/>
  <c r="I31" i="8" l="1"/>
  <c r="H31" i="8"/>
  <c r="I39" i="8" l="1"/>
  <c r="H21" i="8"/>
  <c r="I21" i="8"/>
  <c r="I38" i="8" l="1"/>
  <c r="I37" i="8"/>
  <c r="I36" i="8" s="1"/>
  <c r="I34" i="8" l="1"/>
  <c r="H29" i="8"/>
  <c r="I29" i="8"/>
  <c r="H40" i="8" l="1"/>
  <c r="I40" i="8"/>
  <c r="H19" i="8" l="1"/>
  <c r="I19" i="8"/>
  <c r="H17" i="8" l="1"/>
  <c r="I17" i="8"/>
  <c r="H15" i="8"/>
  <c r="I15" i="8"/>
  <c r="H13" i="8" l="1"/>
  <c r="I13" i="8"/>
  <c r="I11" i="8"/>
  <c r="H11" i="8" l="1"/>
  <c r="G10" i="10"/>
  <c r="H9" i="8" l="1"/>
  <c r="I9" i="8"/>
  <c r="H26" i="8"/>
  <c r="I26" i="8"/>
  <c r="H18" i="8" l="1"/>
  <c r="I18" i="8"/>
  <c r="E42" i="12" l="1"/>
  <c r="E39" i="12" s="1"/>
  <c r="E36" i="12" s="1"/>
  <c r="E40" i="60"/>
  <c r="J16" i="60"/>
  <c r="I16" i="60"/>
  <c r="E45" i="11" l="1"/>
  <c r="E43" i="11"/>
  <c r="F45" i="11"/>
  <c r="I40" i="60"/>
  <c r="J40" i="60"/>
  <c r="K40" i="60"/>
  <c r="F42" i="12"/>
  <c r="F39" i="12" s="1"/>
  <c r="K16" i="60"/>
  <c r="F43" i="11" l="1"/>
  <c r="I42" i="12"/>
  <c r="J42" i="12"/>
  <c r="K42" i="12"/>
  <c r="G21" i="10"/>
  <c r="G19" i="10" l="1"/>
  <c r="I39" i="12"/>
  <c r="K39" i="12"/>
  <c r="F36" i="12"/>
  <c r="J39" i="12"/>
  <c r="J36" i="12" l="1"/>
  <c r="I36" i="12"/>
  <c r="K36" i="12"/>
  <c r="F19" i="26"/>
  <c r="F9" i="26" s="1"/>
  <c r="F56" i="26" s="1"/>
  <c r="K29" i="24"/>
  <c r="K19" i="26" s="1"/>
  <c r="F182" i="24"/>
  <c r="E15" i="12" l="1"/>
  <c r="E13" i="12" s="1"/>
  <c r="E11" i="12" s="1"/>
  <c r="E9" i="12" s="1"/>
  <c r="J29" i="24"/>
  <c r="J19" i="26" s="1"/>
  <c r="G19" i="26"/>
  <c r="G9" i="26" s="1"/>
  <c r="E36" i="11" l="1"/>
  <c r="J11" i="24"/>
  <c r="K9" i="26"/>
  <c r="J9" i="26"/>
  <c r="G56" i="26"/>
  <c r="L11" i="24"/>
  <c r="L9" i="26" s="1"/>
  <c r="K11" i="24"/>
  <c r="F15" i="12"/>
  <c r="F36" i="11" l="1"/>
  <c r="E35" i="11"/>
  <c r="K182" i="24"/>
  <c r="J182" i="24"/>
  <c r="L182" i="24"/>
  <c r="I15" i="12"/>
  <c r="J15" i="12"/>
  <c r="K15" i="12"/>
  <c r="F13" i="12"/>
  <c r="K56" i="26"/>
  <c r="J56" i="26"/>
  <c r="L56" i="26"/>
  <c r="E33" i="11" l="1"/>
  <c r="F35" i="11"/>
  <c r="F11" i="12"/>
  <c r="F9" i="12" s="1"/>
  <c r="I13" i="12"/>
  <c r="J13" i="12"/>
  <c r="K13" i="12"/>
  <c r="G12" i="10"/>
  <c r="G14" i="10"/>
  <c r="E50" i="11" l="1"/>
  <c r="F33" i="11"/>
  <c r="I11" i="12"/>
  <c r="J11" i="12"/>
  <c r="K11" i="12"/>
  <c r="F50" i="11" l="1"/>
  <c r="E52" i="11"/>
  <c r="K9" i="12"/>
  <c r="J9" i="12"/>
  <c r="I9" i="12"/>
  <c r="F26" i="12"/>
  <c r="E26" i="12"/>
  <c r="F24" i="12"/>
  <c r="E24" i="12"/>
  <c r="F23" i="12"/>
  <c r="E23" i="12"/>
  <c r="E25" i="12"/>
  <c r="F25" i="12"/>
  <c r="U54" i="24"/>
</calcChain>
</file>

<file path=xl/sharedStrings.xml><?xml version="1.0" encoding="utf-8"?>
<sst xmlns="http://schemas.openxmlformats.org/spreadsheetml/2006/main" count="1315" uniqueCount="560">
  <si>
    <t>DETALLE</t>
  </si>
  <si>
    <t>VARIACION</t>
  </si>
  <si>
    <t>ASIGNADO</t>
  </si>
  <si>
    <t>ACUMULADO</t>
  </si>
  <si>
    <t>ABSOLUTA</t>
  </si>
  <si>
    <t>RELATIVA</t>
  </si>
  <si>
    <t xml:space="preserve"> </t>
  </si>
  <si>
    <t xml:space="preserve">            T  O  T   A   L...</t>
  </si>
  <si>
    <t xml:space="preserve"> I  Ingresos Corrientes</t>
  </si>
  <si>
    <t xml:space="preserve">    3. Tasa y Derechos</t>
  </si>
  <si>
    <t xml:space="preserve">    4. Ingresos Varios</t>
  </si>
  <si>
    <t xml:space="preserve"> II  Ingreso de Capital</t>
  </si>
  <si>
    <t>MODIFICADO</t>
  </si>
  <si>
    <t>EJECUTADO</t>
  </si>
  <si>
    <t>T   O   T   A   L</t>
  </si>
  <si>
    <t>INGRESOS PROPIOS</t>
  </si>
  <si>
    <t xml:space="preserve">   VENTA DE SERVICIOS</t>
  </si>
  <si>
    <t xml:space="preserve">   OTROS SER. AUTOGESTION</t>
  </si>
  <si>
    <t xml:space="preserve">   MATRICULA-DERECHOS</t>
  </si>
  <si>
    <t xml:space="preserve">   OTROS - BIBLIOTECA</t>
  </si>
  <si>
    <t xml:space="preserve">   TASAS</t>
  </si>
  <si>
    <t xml:space="preserve">   INGRESOS VARIOS</t>
  </si>
  <si>
    <t>APORTE ESTATAL</t>
  </si>
  <si>
    <t>EJECUCION PORCENTUAL</t>
  </si>
  <si>
    <t>INGRESOS</t>
  </si>
  <si>
    <t xml:space="preserve"> I. Ingresos Corrientes</t>
  </si>
  <si>
    <t>GASTOS</t>
  </si>
  <si>
    <t xml:space="preserve"> I.   Gastos Corrientes</t>
  </si>
  <si>
    <t xml:space="preserve"> II     Gastos de Capital</t>
  </si>
  <si>
    <t>Resultados Presupuestarios</t>
  </si>
  <si>
    <t>TOTAL</t>
  </si>
  <si>
    <t>PRESUPUESTO</t>
  </si>
  <si>
    <t>DIRECCION Y ADMON  GENERAL</t>
  </si>
  <si>
    <t>EDUC. SUPERIOR TECNOLOGICA</t>
  </si>
  <si>
    <t>INV.POSTGRADO Y EXTENSION</t>
  </si>
  <si>
    <t>RECAUDACION</t>
  </si>
  <si>
    <t>MENSUAL</t>
  </si>
  <si>
    <t xml:space="preserve">       Gobierno Central.</t>
  </si>
  <si>
    <t xml:space="preserve">  </t>
  </si>
  <si>
    <t xml:space="preserve">  CODIFICACION PRESUPUESTARIA</t>
  </si>
  <si>
    <t xml:space="preserve">           RECAUDACION</t>
  </si>
  <si>
    <t>ACUMULADA</t>
  </si>
  <si>
    <t xml:space="preserve"> 1.2.1.4.07</t>
  </si>
  <si>
    <t xml:space="preserve"> 1.2.1.4.99</t>
  </si>
  <si>
    <t>1.2.4.1.24</t>
  </si>
  <si>
    <t>1.2.4.1.99</t>
  </si>
  <si>
    <t>1.2.4.2.26</t>
  </si>
  <si>
    <t>1.2.6.0.99</t>
  </si>
  <si>
    <t>1.4.2.0.01</t>
  </si>
  <si>
    <t>2.4.2.0.01</t>
  </si>
  <si>
    <t>TRANSFERENCIAS CORRIENTES</t>
  </si>
  <si>
    <t>1.2.3.1.07</t>
  </si>
  <si>
    <t>TRANSFERENCIAS DE CAPITAL</t>
  </si>
  <si>
    <t>2.3.2.1.07</t>
  </si>
  <si>
    <t xml:space="preserve"> I.  Ingresos Corrientes</t>
  </si>
  <si>
    <t xml:space="preserve"> II. Gastos Corrientes</t>
  </si>
  <si>
    <t xml:space="preserve">        Transferencias Corrientes  (6)</t>
  </si>
  <si>
    <t xml:space="preserve"> IV.  Gasto  de Capital</t>
  </si>
  <si>
    <t xml:space="preserve"> V.   Ingresos de Capital ( 2 )</t>
  </si>
  <si>
    <t xml:space="preserve">        Saldo Inicial en Caja y Banco</t>
  </si>
  <si>
    <t xml:space="preserve">        Transferencias de Capital</t>
  </si>
  <si>
    <t xml:space="preserve"> VI. Resultado Presupuestario (III -1V + V)</t>
  </si>
  <si>
    <t xml:space="preserve">   A. Ingresos Tributarios</t>
  </si>
  <si>
    <t xml:space="preserve">   B. Ingresos No Tributarios</t>
  </si>
  <si>
    <t xml:space="preserve">       1.Renta de Activos.</t>
  </si>
  <si>
    <t xml:space="preserve">       3. Tasas y Derechos</t>
  </si>
  <si>
    <t xml:space="preserve">       4. Ingresos Varios</t>
  </si>
  <si>
    <t xml:space="preserve">   B.  Recursos del Crédito</t>
  </si>
  <si>
    <t xml:space="preserve">   D.   Menos S. Final en Caja</t>
  </si>
  <si>
    <t xml:space="preserve">      Total Final en Caja</t>
  </si>
  <si>
    <t xml:space="preserve">        3.  Materiales y Suministro</t>
  </si>
  <si>
    <t xml:space="preserve">      B.  Inversiones Financieras</t>
  </si>
  <si>
    <t xml:space="preserve">      D  Amortización de la Deuda.</t>
  </si>
  <si>
    <t xml:space="preserve">           Total de Gastos </t>
  </si>
  <si>
    <t xml:space="preserve">         P R E S U P U E S T O</t>
  </si>
  <si>
    <t>PAGADO ACUMULADO</t>
  </si>
  <si>
    <t xml:space="preserve">                T   O   T    A    L</t>
  </si>
  <si>
    <t xml:space="preserve">    I  Gastos Corrientes</t>
  </si>
  <si>
    <t xml:space="preserve">       A. Operación</t>
  </si>
  <si>
    <t xml:space="preserve">          I.  Servicios Personales</t>
  </si>
  <si>
    <t xml:space="preserve">          3.  Materiales y Suministro</t>
  </si>
  <si>
    <t xml:space="preserve">       B. Transferencias</t>
  </si>
  <si>
    <t xml:space="preserve">               a. Gobierno Central</t>
  </si>
  <si>
    <t xml:space="preserve">               d. Municipios</t>
  </si>
  <si>
    <t xml:space="preserve">    II  Gastos DE CAPITAL</t>
  </si>
  <si>
    <t xml:space="preserve">       A.  Inversiones Físicas</t>
  </si>
  <si>
    <t>EJECUCIÓN</t>
  </si>
  <si>
    <t>LEY</t>
  </si>
  <si>
    <t>0</t>
  </si>
  <si>
    <t>SERVICIOS PERSONALES</t>
  </si>
  <si>
    <t>000</t>
  </si>
  <si>
    <t>SUELDOS FIJOS</t>
  </si>
  <si>
    <t>001</t>
  </si>
  <si>
    <t>002</t>
  </si>
  <si>
    <t>SUELDO PERSONAL TRANS.</t>
  </si>
  <si>
    <t>003</t>
  </si>
  <si>
    <t>CONTINGENTE</t>
  </si>
  <si>
    <t>010</t>
  </si>
  <si>
    <t xml:space="preserve">SOBRESUELDOS </t>
  </si>
  <si>
    <t>011</t>
  </si>
  <si>
    <t>SOBRESUELDO POR ANTIG.</t>
  </si>
  <si>
    <t>SOBRESUELDOS POR JEF.</t>
  </si>
  <si>
    <t>019</t>
  </si>
  <si>
    <t>OTROS SOBRESUELDOS</t>
  </si>
  <si>
    <t>030</t>
  </si>
  <si>
    <t>GASTOS DE REPRES.</t>
  </si>
  <si>
    <t>050</t>
  </si>
  <si>
    <t>XIII MES</t>
  </si>
  <si>
    <t>070</t>
  </si>
  <si>
    <t>CONTRIBUC. A LA S.S.</t>
  </si>
  <si>
    <t>071</t>
  </si>
  <si>
    <t>C.P. SEG. SOCIAL</t>
  </si>
  <si>
    <t>072</t>
  </si>
  <si>
    <t>C.P. SEG. EDUCATIVO</t>
  </si>
  <si>
    <t>073</t>
  </si>
  <si>
    <t>C.P. RIESGO PROF.</t>
  </si>
  <si>
    <t>074</t>
  </si>
  <si>
    <t>C.P. FDO COMPLEM.</t>
  </si>
  <si>
    <t>080</t>
  </si>
  <si>
    <t>OTROS SERV. PERSONALES</t>
  </si>
  <si>
    <t>090</t>
  </si>
  <si>
    <t>CR.REC.POR S. PERSONAL</t>
  </si>
  <si>
    <t>091</t>
  </si>
  <si>
    <t>CRED.REC.POR SUELDO</t>
  </si>
  <si>
    <t>092</t>
  </si>
  <si>
    <t>1</t>
  </si>
  <si>
    <t>SERV. NO PERSONALES</t>
  </si>
  <si>
    <t>ALQUILERES</t>
  </si>
  <si>
    <t>101</t>
  </si>
  <si>
    <t>DE EDIFICIOS</t>
  </si>
  <si>
    <t>102</t>
  </si>
  <si>
    <t>EQUIPO ELECTRONICO</t>
  </si>
  <si>
    <t>103</t>
  </si>
  <si>
    <t>EQUIPO DE OFICINA</t>
  </si>
  <si>
    <t>104</t>
  </si>
  <si>
    <t>ALQ. DE EQ. DE PROD.</t>
  </si>
  <si>
    <t>105</t>
  </si>
  <si>
    <t>ALQ. DE EQ. DE TRANSPORTE</t>
  </si>
  <si>
    <t>109</t>
  </si>
  <si>
    <t>OTROS ALQUILERES</t>
  </si>
  <si>
    <t>110</t>
  </si>
  <si>
    <t>SERVICIOS BASICOS</t>
  </si>
  <si>
    <t>111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</si>
  <si>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</si>
  <si>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</si>
  <si>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</si>
  <si>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</si>
  <si>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</si>
  <si>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</si>
  <si>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</si>
  <si>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</si>
  <si>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</si>
  <si>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120</t>
  </si>
  <si>
    <t>IMPRESOS Y ENCUADER.</t>
  </si>
  <si>
    <t>130</t>
  </si>
  <si>
    <t>INF.Y PUBLICIDAD</t>
  </si>
  <si>
    <t>131</t>
  </si>
  <si>
    <t>ANUNCIOS Y AVISOS</t>
  </si>
  <si>
    <t>140</t>
  </si>
  <si>
    <t>VIATICOS</t>
  </si>
  <si>
    <t>141</t>
  </si>
  <si>
    <t>DENTRO DEL PAIS</t>
  </si>
  <si>
    <t>142</t>
  </si>
  <si>
    <t>EN EL EXTERIOR</t>
  </si>
  <si>
    <t>A PERSONAS</t>
  </si>
  <si>
    <t>150</t>
  </si>
  <si>
    <t>TRANSPORTE</t>
  </si>
  <si>
    <t>151</t>
  </si>
  <si>
    <t>152</t>
  </si>
  <si>
    <t>DE OTRAS PERSONAS</t>
  </si>
  <si>
    <t>160</t>
  </si>
  <si>
    <t>S. COMERCIALES</t>
  </si>
  <si>
    <t>164</t>
  </si>
  <si>
    <t>GASTOS DE SEGURO</t>
  </si>
  <si>
    <t>SERVICIOS ADUANEROS</t>
  </si>
  <si>
    <t>169</t>
  </si>
  <si>
    <t>OTROS SERVICIOS</t>
  </si>
  <si>
    <t>172</t>
  </si>
  <si>
    <t>SERVICIOS ESPECIALES</t>
  </si>
  <si>
    <t>180</t>
  </si>
  <si>
    <t>MANTO Y REPARACION</t>
  </si>
  <si>
    <t>MANT. Y REPARACION  EDIF.</t>
  </si>
  <si>
    <t>182</t>
  </si>
  <si>
    <t>OTROS MANTENIMIENTO</t>
  </si>
  <si>
    <t>CR.REC.POR S. NO PERS.</t>
  </si>
  <si>
    <t>2</t>
  </si>
  <si>
    <t>MATER.Y SUMINISTROS</t>
  </si>
  <si>
    <t>200</t>
  </si>
  <si>
    <t>ALIMENTOS Y BEBIDAS</t>
  </si>
  <si>
    <t>201</t>
  </si>
  <si>
    <t>PARA CONSUMO HUMANO</t>
  </si>
  <si>
    <t>203</t>
  </si>
  <si>
    <t>BEBIDAS</t>
  </si>
  <si>
    <t>210</t>
  </si>
  <si>
    <t>TEXTILES Y VESTUARIOS</t>
  </si>
  <si>
    <t>211</t>
  </si>
  <si>
    <t>ACABADO TEXTIL</t>
  </si>
  <si>
    <t>212</t>
  </si>
  <si>
    <t>CALZADOS</t>
  </si>
  <si>
    <t>213</t>
  </si>
  <si>
    <t>HILADOS Y TELAS</t>
  </si>
  <si>
    <t>214</t>
  </si>
  <si>
    <t>PRENDAS DE VESTIR</t>
  </si>
  <si>
    <t>219</t>
  </si>
  <si>
    <t>OTROS TEXTILES</t>
  </si>
  <si>
    <t>220</t>
  </si>
  <si>
    <t>COMBUSTIBLES Y LUB.</t>
  </si>
  <si>
    <t>221</t>
  </si>
  <si>
    <t>DIESEL</t>
  </si>
  <si>
    <t>223</t>
  </si>
  <si>
    <t>GASOLINA</t>
  </si>
  <si>
    <t>224</t>
  </si>
  <si>
    <t>LUBRICANTES</t>
  </si>
  <si>
    <t>OTROS COMBUSTIBLES</t>
  </si>
  <si>
    <t>230</t>
  </si>
  <si>
    <t>PROD. DE PAPEL</t>
  </si>
  <si>
    <t>231</t>
  </si>
  <si>
    <t>IMPRESOS</t>
  </si>
  <si>
    <t>232</t>
  </si>
  <si>
    <t>PAPELERIA</t>
  </si>
  <si>
    <t>239</t>
  </si>
  <si>
    <t>OTROS PROD. DE PAPEL</t>
  </si>
  <si>
    <t>240</t>
  </si>
  <si>
    <t>OTROS PROD. QUIMICOS</t>
  </si>
  <si>
    <t>241</t>
  </si>
  <si>
    <t>ABONOS Y FERTILIZANTES</t>
  </si>
  <si>
    <t>242</t>
  </si>
  <si>
    <t>INSECT. FUMIGANTES Y OTROS</t>
  </si>
  <si>
    <t>243</t>
  </si>
  <si>
    <t>PINTURAS</t>
  </si>
  <si>
    <t>244</t>
  </si>
  <si>
    <t>PRODUCTOS MEDICINALES</t>
  </si>
  <si>
    <t>249</t>
  </si>
  <si>
    <t>OTROS P. QUIMICOS</t>
  </si>
  <si>
    <t>250</t>
  </si>
  <si>
    <t>MAT. DE CONSTRUCCION</t>
  </si>
  <si>
    <t>252</t>
  </si>
  <si>
    <t>CEMENTO</t>
  </si>
  <si>
    <t>253</t>
  </si>
  <si>
    <t>MADERAS</t>
  </si>
  <si>
    <t>M. DE PLOMERIA</t>
  </si>
  <si>
    <t>255</t>
  </si>
  <si>
    <t>M. DE ELECTRICIDAD</t>
  </si>
  <si>
    <t>256</t>
  </si>
  <si>
    <t>M. METALICOS</t>
  </si>
  <si>
    <t>PIEDRA Y ARENA</t>
  </si>
  <si>
    <t>259</t>
  </si>
  <si>
    <t>OROS MATERIALES</t>
  </si>
  <si>
    <t>260</t>
  </si>
  <si>
    <t>PRODUCTOS VARIOS</t>
  </si>
  <si>
    <t>ARTICULOS PARA RECEPCION</t>
  </si>
  <si>
    <t>262</t>
  </si>
  <si>
    <t>265</t>
  </si>
  <si>
    <t>269</t>
  </si>
  <si>
    <t>OTROS P. VARIOS</t>
  </si>
  <si>
    <t>270</t>
  </si>
  <si>
    <t>UTILES DE M. DIVERSOS</t>
  </si>
  <si>
    <t>271</t>
  </si>
  <si>
    <t>UTILES DE COCINA Y COMEDOR</t>
  </si>
  <si>
    <t>272</t>
  </si>
  <si>
    <t>UTILES DEPORTIVOS</t>
  </si>
  <si>
    <t>273</t>
  </si>
  <si>
    <t>UTILES DE ASEO</t>
  </si>
  <si>
    <t>274</t>
  </si>
  <si>
    <t>UTILES DE LABORATORIOS</t>
  </si>
  <si>
    <t>275</t>
  </si>
  <si>
    <t>UTILES DE OFICINA</t>
  </si>
  <si>
    <t>INSTRUMENTOS MEDICOS</t>
  </si>
  <si>
    <t>ARTICULOS DE PROTESIS Y REHA.</t>
  </si>
  <si>
    <t>279</t>
  </si>
  <si>
    <t>OTROS U. Y MATERIALES</t>
  </si>
  <si>
    <t>280</t>
  </si>
  <si>
    <t>REPUESTOS</t>
  </si>
  <si>
    <t>CR.REC.POR MAT. Y SUM.</t>
  </si>
  <si>
    <t>CR.REC. POR ALIMENTOS</t>
  </si>
  <si>
    <t>CD.REC. COMB. Y LUB.</t>
  </si>
  <si>
    <t>CD.REC. PROD. VARIOS</t>
  </si>
  <si>
    <t>CRED.REC.UTILES Y MAT.</t>
  </si>
  <si>
    <t>3</t>
  </si>
  <si>
    <t>MAQUINARIA Y EQUIPO</t>
  </si>
  <si>
    <t>MAQ.Y EQ. DE PRODUCCION</t>
  </si>
  <si>
    <t>EQUIPO DE LABORATORIO</t>
  </si>
  <si>
    <t>MOBILIARIO DE OFICINA</t>
  </si>
  <si>
    <t>MAQ. Y EQUIPOS VARIOS</t>
  </si>
  <si>
    <t>EQUIPO DE COMPUTACION</t>
  </si>
  <si>
    <t>INV. FINANCIERAS</t>
  </si>
  <si>
    <t>COMPRA DE EXISTENCIA</t>
  </si>
  <si>
    <t>OTRAS EXISTENCIAS</t>
  </si>
  <si>
    <t>CR. REC. INVERSIONES FIN.</t>
  </si>
  <si>
    <t>CR. REC.  COMPRA EXISTENCIA</t>
  </si>
  <si>
    <t>6</t>
  </si>
  <si>
    <t>TRANSFERECIAS CORR.</t>
  </si>
  <si>
    <t>600</t>
  </si>
  <si>
    <t>PENSIONES Y JUBILACIONES</t>
  </si>
  <si>
    <t>609</t>
  </si>
  <si>
    <t>610</t>
  </si>
  <si>
    <t>BECAS DE ESTUDIO</t>
  </si>
  <si>
    <t>ADIEST. Y ESTUDIOS</t>
  </si>
  <si>
    <t>660</t>
  </si>
  <si>
    <t>TRANSF. AL EXTERIOR</t>
  </si>
  <si>
    <t>CUOTA  ORG. CENTROAM.</t>
  </si>
  <si>
    <t>663</t>
  </si>
  <si>
    <t>CUOTA  ORG. INTERAM.</t>
  </si>
  <si>
    <t>664</t>
  </si>
  <si>
    <t>CUOTA A ORG. MUNDIALES</t>
  </si>
  <si>
    <t>TOTAL FUNCIONAMIENTO</t>
  </si>
  <si>
    <t>P</t>
  </si>
  <si>
    <t>SALDO A LA FECHA</t>
  </si>
  <si>
    <t xml:space="preserve">       T   O  T   A     L</t>
  </si>
  <si>
    <t>DIRECCION SUPERIOR</t>
  </si>
  <si>
    <t>PLANIFICACION UNIVERSITARIA</t>
  </si>
  <si>
    <t>ADMINISTRACION GENERAL</t>
  </si>
  <si>
    <t>SECRETARIA GENERAL</t>
  </si>
  <si>
    <t>ADMON DE LA EDUC.SUPERIOR</t>
  </si>
  <si>
    <t>DOCENCIA CENTRAL</t>
  </si>
  <si>
    <t>DOCENCIA REGIONAL</t>
  </si>
  <si>
    <t>163</t>
  </si>
  <si>
    <t>GASTOS JUDICIALES</t>
  </si>
  <si>
    <t>GAS</t>
  </si>
  <si>
    <t>PROGRAMA DE CONSTRUCCIONES</t>
  </si>
  <si>
    <t>CONSTRUCCION II FASE DEL PROYECTO DEL CAMPUS CENTRAL</t>
  </si>
  <si>
    <t>PROGRAMA DE MOBILIARIO</t>
  </si>
  <si>
    <t>PROGRAMAS-PROYECTOS</t>
  </si>
  <si>
    <t>099</t>
  </si>
  <si>
    <t>132</t>
  </si>
  <si>
    <t>PROMOCION Y PUBLICIDAD</t>
  </si>
  <si>
    <t>MANT. Y REPARACION MAQ. OTROS</t>
  </si>
  <si>
    <t>MANT. Y REPARACION  MOBILIARIOS</t>
  </si>
  <si>
    <t>MANT. Y REPARACION  OBRAS</t>
  </si>
  <si>
    <t>622</t>
  </si>
  <si>
    <t>BECAS UNIVERSITARIAS</t>
  </si>
  <si>
    <t>DONATIVOS A PERSONAS</t>
  </si>
  <si>
    <t>096</t>
  </si>
  <si>
    <t>CRED.REC.POR DECIMO III</t>
  </si>
  <si>
    <t>CRED. REC. POR TRANSF.COM</t>
  </si>
  <si>
    <t>MANT. DE EQUIPOS DE COMP.</t>
  </si>
  <si>
    <t xml:space="preserve">        1.  Servicios Personales</t>
  </si>
  <si>
    <t xml:space="preserve">     </t>
  </si>
  <si>
    <t>OTRAS TRANSFERENCIAS</t>
  </si>
  <si>
    <t>CONSULTORIAS Y SERV</t>
  </si>
  <si>
    <t>INDEMNIZ. POR RETIRO VOL.</t>
  </si>
  <si>
    <t>INDEMNIZ. ESPECIALES</t>
  </si>
  <si>
    <t>CRED.REC.POR REPUESTOS</t>
  </si>
  <si>
    <t>CR. REC.TRASNF. EXTERIOR</t>
  </si>
  <si>
    <t xml:space="preserve">   SALDO EN CAJA (CAPITAL)</t>
  </si>
  <si>
    <t>FORTALECIMIENTO DE LA SEDE REGIONAL</t>
  </si>
  <si>
    <t>094</t>
  </si>
  <si>
    <t>CRED. REC. GASTOS E REPRES.</t>
  </si>
  <si>
    <t>MAT. Y EQUIPO DE SEGURIDAD</t>
  </si>
  <si>
    <t>004</t>
  </si>
  <si>
    <t>PERSONAL TRANSITORIO</t>
  </si>
  <si>
    <t>CONSTRUCCIONES POR CONTRATO</t>
  </si>
  <si>
    <t>EDIFICACIONES</t>
  </si>
  <si>
    <t>TOTAL INVERSION</t>
  </si>
  <si>
    <t>PRODUCTOS DE PAPEL Y CARTON</t>
  </si>
  <si>
    <t>PAGADO</t>
  </si>
  <si>
    <t>FORTALECIMIENTO DE LA GESTIÓN DE PATENTES TECNOLÓGICAS</t>
  </si>
  <si>
    <t>BECAS DE ESTUDIOS</t>
  </si>
  <si>
    <t>CD.REC. TEXTILES Y VESTUARIOS</t>
  </si>
  <si>
    <t>MANTENIMIENTO PREVENTIVO Y CORRECTIVO DE LA INFRAESTRUCTURA FISICA Y PATRIMONIAL DE LA UTP A NIVEL NACIONAL.</t>
  </si>
  <si>
    <t>INVESTIGACION Y TRANSFERENCIA DE TECNOLOGÍA</t>
  </si>
  <si>
    <t>CD.REC.POR MATERIALES CONST.</t>
  </si>
  <si>
    <t>EQUIIPO MEDICO, LABORATORIOS</t>
  </si>
  <si>
    <t>INDEMNIZACIONES LABORALES</t>
  </si>
  <si>
    <t>DECIMO TERCER MES</t>
  </si>
  <si>
    <t>CONTRIBUCIÓN SEG. SOCIAL</t>
  </si>
  <si>
    <t>081</t>
  </si>
  <si>
    <t>GRATIFICACIÓN O AGUINALDO</t>
  </si>
  <si>
    <t>DESARROLLO DEL CENTRO DE ESTUDIOS MULTIDISCIPLINARIO EN CIENCIAS</t>
  </si>
  <si>
    <t>CR.REC.PROD. QUIMICOS Y CONEXOS</t>
  </si>
  <si>
    <t>TRANSPORTE DE BIENES</t>
  </si>
  <si>
    <t>MAT. Y SUMINISTROS DE COMP.</t>
  </si>
  <si>
    <t>TRANSFERENCIAS CORR.</t>
  </si>
  <si>
    <t>IMPRESIÓN Y ENCUADERNACIÓN</t>
  </si>
  <si>
    <t>PORCENTUAL</t>
  </si>
  <si>
    <t xml:space="preserve">   B. Transf. de Capital</t>
  </si>
  <si>
    <t>ABOLUTA</t>
  </si>
  <si>
    <t>O/G</t>
  </si>
  <si>
    <t>CTA.</t>
  </si>
  <si>
    <t>EJECUCIÓN  PORCENTUAL</t>
  </si>
  <si>
    <t>EJECUCIÓN PORCENTUAL</t>
  </si>
  <si>
    <t>SALDO ANUAL</t>
  </si>
  <si>
    <t>MEJORAMIENTO DEL CENTRO DE DATOS DE LA UTP</t>
  </si>
  <si>
    <t>CRED.REC. POR SERVICIOS NO PERS.</t>
  </si>
  <si>
    <t>CRED.REC.POR SERV. BÁSICOS</t>
  </si>
  <si>
    <t>CRED.REC.POR TRANSP. PERSONAS</t>
  </si>
  <si>
    <t>UNIVERSIDAD TECNOLÓGICA DE PANAMÁ</t>
  </si>
  <si>
    <t>DIRECCIÓN NACIONAL DE PRESUPUESTO</t>
  </si>
  <si>
    <t>UNIVERSIDAD TECNOLÓGICA DE PANAMA</t>
  </si>
  <si>
    <t xml:space="preserve">CUADRO A-6A. EJECUCION PRESUPUESTARIA  DE FUNCIONAMIENTO </t>
  </si>
  <si>
    <t>OTRAS PENSIONES Y JUBILACIONES</t>
  </si>
  <si>
    <t>CRED.REC.POR AlQUILERES</t>
  </si>
  <si>
    <t>CRED.REC.POR IMPRESIÓN Y ENC.</t>
  </si>
  <si>
    <t>CRED.REC.POR VIÁTICOS</t>
  </si>
  <si>
    <t>CRED.REC.POR SERV. COMERCIALES</t>
  </si>
  <si>
    <t>CRED.REC.POR MANTO. Y REPARAC.</t>
  </si>
  <si>
    <t>CRÉDITO REC.  MATER.Y SUMIN.</t>
  </si>
  <si>
    <t xml:space="preserve">MATERIALES DE CONSTRUCCION </t>
  </si>
  <si>
    <t>MAQUINARIA Y EQ.  TRANSPORTE</t>
  </si>
  <si>
    <t>CRÉDITO REC. DE MAQ.Y EQUIPO</t>
  </si>
  <si>
    <t>TRANSF.CORRIENTES  INSTITUC.</t>
  </si>
  <si>
    <t>CRED. REC. POR TRANSF.</t>
  </si>
  <si>
    <t>PENSIÓN Y JUBILACIONES</t>
  </si>
  <si>
    <t>SERVICIO TRASMISION DATOS</t>
  </si>
  <si>
    <t>CD.REC. PRODUCTO DE PAPEL</t>
  </si>
  <si>
    <t>MEJORAMIENTO LABORATORIOS FACULTADES Y CENTROS REGIONALES</t>
  </si>
  <si>
    <t>CONSULTORÍA</t>
  </si>
  <si>
    <t>CR.REC.  SERV. NO PERSONALES</t>
  </si>
  <si>
    <t>CRED. REC. POR SOBRESURLDOS</t>
  </si>
  <si>
    <t>SERVICIO DE TELEFONÍA CELULAR</t>
  </si>
  <si>
    <t xml:space="preserve"> III. Ahorro  en Cta Corriente ( I-II )</t>
  </si>
  <si>
    <t xml:space="preserve">        Inversiòn Fisica  </t>
  </si>
  <si>
    <t xml:space="preserve">        Recursos del Credito</t>
  </si>
  <si>
    <t xml:space="preserve">       2. Transf. Corrientes</t>
  </si>
  <si>
    <t xml:space="preserve">   A.  Saldo Inicial en Caja y Bco.</t>
  </si>
  <si>
    <t xml:space="preserve">   C.  Otros Rec. de Capital</t>
  </si>
  <si>
    <t xml:space="preserve">        1. Transf. de Capital</t>
  </si>
  <si>
    <t xml:space="preserve">    A. Operaciòn</t>
  </si>
  <si>
    <t xml:space="preserve">        2.  Serv. No Personales</t>
  </si>
  <si>
    <t xml:space="preserve">      A.  Inversiones Fìsicas</t>
  </si>
  <si>
    <t xml:space="preserve">      C   Transf. de Capital</t>
  </si>
  <si>
    <t xml:space="preserve">          2.  Serv. No Personales</t>
  </si>
  <si>
    <t xml:space="preserve">               b. Ent. Descentral.</t>
  </si>
  <si>
    <t xml:space="preserve">               c. Empresas Pùblicas</t>
  </si>
  <si>
    <t xml:space="preserve">          I. Obras y Construcciones</t>
  </si>
  <si>
    <t xml:space="preserve">          2. Maquinaria y Equipo.</t>
  </si>
  <si>
    <t xml:space="preserve">          3. Investig. Y Transf. de Tec.</t>
  </si>
  <si>
    <t>013</t>
  </si>
  <si>
    <t>SERVICIOS BÁSICOS</t>
  </si>
  <si>
    <t>CODIFICACIÓN</t>
  </si>
  <si>
    <t>1.95.1.2.1</t>
  </si>
  <si>
    <t>1.95.1.2</t>
  </si>
  <si>
    <t>1.95.1.2.1.4.99</t>
  </si>
  <si>
    <t>1.95.1.2.3</t>
  </si>
  <si>
    <t xml:space="preserve">    2.  Transferencias Corrientes</t>
  </si>
  <si>
    <t xml:space="preserve"> 1.95.1.2.3.1</t>
  </si>
  <si>
    <t>1.95.2.3.1.07</t>
  </si>
  <si>
    <t>1.95.1.2.4</t>
  </si>
  <si>
    <t>1.95.1.2.4.1.26</t>
  </si>
  <si>
    <t>1.95.1.2.4.1.99</t>
  </si>
  <si>
    <t>1.95.1.2.4.1.24</t>
  </si>
  <si>
    <t>1.95.1.2.6</t>
  </si>
  <si>
    <t>1.95.1.2.6.0.99</t>
  </si>
  <si>
    <t>1.95.2</t>
  </si>
  <si>
    <t>1.95.2.3</t>
  </si>
  <si>
    <t>1.95.2.3.2</t>
  </si>
  <si>
    <t>1.95.2.3.2.1</t>
  </si>
  <si>
    <t>1.95.2.3.2.1.07</t>
  </si>
  <si>
    <t>1.95.2.4</t>
  </si>
  <si>
    <t>1.95.1</t>
  </si>
  <si>
    <t xml:space="preserve">    1.  No Tributarios</t>
  </si>
  <si>
    <t xml:space="preserve">           2.1.1  Ministerio de Educación.</t>
  </si>
  <si>
    <t xml:space="preserve">             1.1.1.1 Ministerio de Educación</t>
  </si>
  <si>
    <t>1.95.1.2.1.4</t>
  </si>
  <si>
    <t>CR. REC.TRASNF. CORRIENTES</t>
  </si>
  <si>
    <t xml:space="preserve">                                                                                                                            </t>
  </si>
  <si>
    <t>GASTOS BANCARIOS</t>
  </si>
  <si>
    <t>INFORMACIÓN Y PUBLICIDAD</t>
  </si>
  <si>
    <t>CRE.REC.POR CONT. SGURIDAD SOC.</t>
  </si>
  <si>
    <t>CRE.REC.POR OTROS SERVICIOS ESP.</t>
  </si>
  <si>
    <t>HERRAMIENTAS  E INSTRUMENTOS</t>
  </si>
  <si>
    <t>CR. REC.P'OR BECAS DE ESTUDIOS</t>
  </si>
  <si>
    <t>OTROS SERVICIOS BASICOS</t>
  </si>
  <si>
    <t xml:space="preserve">CONSULTORIAS </t>
  </si>
  <si>
    <t>OTRAS BECAS</t>
  </si>
  <si>
    <t>TRANSF. CORRIENTES A INST. PUB.</t>
  </si>
  <si>
    <t>AL GOBIERNO CENTRAL</t>
  </si>
  <si>
    <t>.</t>
  </si>
  <si>
    <t>REPARACIÓN DEL EDIFICIO 70 Y TALLER DE METAL MECANICA DE COLÓN</t>
  </si>
  <si>
    <t>IMPLEMENTACIÓN DE LA MOVILIDAD ELECTRICA EN LA UTP</t>
  </si>
  <si>
    <t>MEJORAMIENTO DE LA INFRAESTRUCTURA TECNOLÓGICA DE LA UTP</t>
  </si>
  <si>
    <t>FORTALECIMIENTO DE LA GESTIÓN ADMINISTRATIVA DE LA UTP</t>
  </si>
  <si>
    <t>MEJORAMIENTO DE LOS LABORATORIOS DE LA FAC. DE ING. MECÁNICA UTP</t>
  </si>
  <si>
    <t>EQUIPAMIENTO DE LABORATORIO ACADÉMICOS C.REG. DE BOCAS DEL TORO</t>
  </si>
  <si>
    <t>EQUIPAMIENTO DE LABORATORIO DE SUELDOS Y MATERIALES (LASYMA)</t>
  </si>
  <si>
    <t>HABILITACIÓN DEL LABORATORIO DE ANÁLISIS INDUSTRIALES Y CIENCIA (LABAICA</t>
  </si>
  <si>
    <t>HABILITACIÓN DE LABORATORIOS DE DOCENCIA PARA EL CENTRO CITT</t>
  </si>
  <si>
    <t>FORTALECIMIENTO DE CAPACIDADES DEL LABORATORIO DE BIOSÓLIDOS</t>
  </si>
  <si>
    <t>MEJORAMIENTO DE LAB. ACADÉMICOS Y DE ÁREAS DOCENTES Y ADM. FII-UTP</t>
  </si>
  <si>
    <t>HABILITACIÓN DE LABORATORIOS DE QUÍMICA CAMPUS CENTRAL</t>
  </si>
  <si>
    <t>MEJORAMIENTO DEL LABORATORIO DE SUELOS Y MAT. C.REG. CHIRIQUÍ</t>
  </si>
  <si>
    <t>DESARROLLO DE CONSULTORÍAS PARA PROYECOTS DE ESTADO</t>
  </si>
  <si>
    <t>DESARROLLO DEL HUB DE FORMACIÓN PARA LA TRANSFORMACIÓN DIGITAL E INDUSTRA 4.0</t>
  </si>
  <si>
    <t>HABILITACIÓN DE INFRAEST. Y EQUIP. DE LAB. PARA EL IMPULSO DE INVESTIGACIÓN Y LA INNOVACIÓN.</t>
  </si>
  <si>
    <t>HABILITACIÓN DEL CENTRO NACIONALDE SUPERCOMPUTACIÓN PARA INV. DE DIFERENTES FENÓMENOS Y ESCALAS (IBEROGUN)-UTP</t>
  </si>
  <si>
    <t>HABILITACIÓN DE UN CENTRO DE TEC. AVANZADA PARA LA INDUSTRIA DE SEMICONDUCTORES DE PANAMA (C-TASC PANAMÁ)</t>
  </si>
  <si>
    <t>DESARROLLO DEL PLAN DE FORMACIÓN PARA DOCENTES INVESTIGADORES</t>
  </si>
  <si>
    <t>REHABILITACIÓN DE LOS ESTACIONAMIENTOS DEL CENTRO REGIONAL CHIRIQUÍ</t>
  </si>
  <si>
    <t>CONSTRUCCIÓN II ETAPA DE EDIFICIO DE AULAS  DE PANAMA OESTE</t>
  </si>
  <si>
    <t>CONSTRUCCIÓN DE EDIFICIO DE FACILIDADES ESTUDIANTILES Y CAFETERIA COLÓN</t>
  </si>
  <si>
    <t>TRANSF. CORRIENTES A INST.PUB.</t>
  </si>
  <si>
    <t>DEVENGADO ACUMULADO</t>
  </si>
  <si>
    <t>DEVENGADO        ACUMULADO</t>
  </si>
  <si>
    <t>SALDO  A LA FECHA</t>
  </si>
  <si>
    <t>1.95.1.2.1.4.12</t>
  </si>
  <si>
    <t>1.95.2.4.1</t>
  </si>
  <si>
    <t>1.95.2.4.1.2</t>
  </si>
  <si>
    <t>1.95.2.4.1.2.01</t>
  </si>
  <si>
    <t>EJECUCIÓN ACUMULADA</t>
  </si>
  <si>
    <t>TRANSPORTE DE PERSONAS Y  B.</t>
  </si>
  <si>
    <t>097</t>
  </si>
  <si>
    <t>CRED.REC.POR INFORMACIÓN Y PUB.</t>
  </si>
  <si>
    <t>CUOTA PATRONAL DEL S. SOCIAL</t>
  </si>
  <si>
    <t>CUOTA PATRONAL DEL S. EDUCATIVO</t>
  </si>
  <si>
    <t>CUOTA PATRONAL DEL R. PROFESIONALES</t>
  </si>
  <si>
    <t>CUOTA PATRONAL F. COMPLEMENTARIO</t>
  </si>
  <si>
    <t xml:space="preserve">        4.  Inversiones Fínancieras</t>
  </si>
  <si>
    <t xml:space="preserve">          4.  Inversiones Directas</t>
  </si>
  <si>
    <t>Fuente: Dirección Nacional de Presupuesto.</t>
  </si>
  <si>
    <t xml:space="preserve">   Fuente: Dirección Nacional de Presupuesto.</t>
  </si>
  <si>
    <t xml:space="preserve">  Fuente: Dirección Nacional de Presupuesto.</t>
  </si>
  <si>
    <t xml:space="preserve"> OBJETO DE GASTO: AL 30 DE MARZO  DE 2025</t>
  </si>
  <si>
    <t xml:space="preserve">    Fuente: Dirección Nacional de Presupuesto.</t>
  </si>
  <si>
    <t xml:space="preserve">        Inversión Financiera</t>
  </si>
  <si>
    <t xml:space="preserve">        Transferencia de capital (7)</t>
  </si>
  <si>
    <t xml:space="preserve">        Amortización de la Deuda (8)</t>
  </si>
  <si>
    <t xml:space="preserve">        Gastos  de Operación ( 0-1-2-3-4-9 )</t>
  </si>
  <si>
    <t xml:space="preserve">    1. Otros Ingresos de Capital</t>
  </si>
  <si>
    <t xml:space="preserve">     2. Saldo en Caja y Banco</t>
  </si>
  <si>
    <t xml:space="preserve">      1.1  Renta de Activos</t>
  </si>
  <si>
    <t xml:space="preserve">          1.1.1 Ing. por Vtas. de Servicios</t>
  </si>
  <si>
    <t xml:space="preserve">              1.1.1.1 Lab. y C. Especializados.</t>
  </si>
  <si>
    <t xml:space="preserve">              1.1.1.2 Otros Servicios-Autogestión.</t>
  </si>
  <si>
    <t xml:space="preserve">      2. 1  Gobierno Central</t>
  </si>
  <si>
    <t xml:space="preserve">      3.1 Tasas por Servicios</t>
  </si>
  <si>
    <t xml:space="preserve">      3.2. Derechos</t>
  </si>
  <si>
    <t xml:space="preserve">      3.3. Otros  -Biblioteca</t>
  </si>
  <si>
    <t xml:space="preserve">       4.1. Otros Ing. Varios</t>
  </si>
  <si>
    <t xml:space="preserve">      1.1  Transferencias de Capital</t>
  </si>
  <si>
    <t xml:space="preserve">      2.1. Disponible  Libre en Bco.</t>
  </si>
  <si>
    <t xml:space="preserve">          2.1.1  Instituc. Descentralizadas</t>
  </si>
  <si>
    <t xml:space="preserve">             2.1.1.1 Saldo en Caja</t>
  </si>
  <si>
    <t xml:space="preserve">          1.1.1  Gobierno Central</t>
  </si>
  <si>
    <t xml:space="preserve">   SALDO EN CAJA  (CORRIENTE)</t>
  </si>
  <si>
    <t xml:space="preserve">   APORTE LIBRE</t>
  </si>
  <si>
    <t xml:space="preserve">   I.D.A.A.N.</t>
  </si>
  <si>
    <t xml:space="preserve">   CONTRIBUCION A LA S.S.</t>
  </si>
  <si>
    <t xml:space="preserve"> BALANCE PRESUPUESTARIO ACUMULADO DE INGRESOS</t>
  </si>
  <si>
    <t xml:space="preserve"> EJECUCION DE INGRESOS SEGÚN OBJETO</t>
  </si>
  <si>
    <t xml:space="preserve">  FINANCIAMIENTO PRESUPUESTARIO DE INGRESOS Y GASTOS</t>
  </si>
  <si>
    <t xml:space="preserve">  FLUJO PRESUPUESTARIO DE INGRESOS Y GASTOS</t>
  </si>
  <si>
    <t xml:space="preserve"> BALANCE PRESUPUESTARIO ACUMULADO DE GASTO</t>
  </si>
  <si>
    <t xml:space="preserve">  EJECUCION PRESUPUESTARIA SEGÚN ESTRUCTURA PROGRAMATICA  </t>
  </si>
  <si>
    <t xml:space="preserve"> EJECUCION PRESUPUESTARIA  DE FUNCIONAMIENTO </t>
  </si>
  <si>
    <t xml:space="preserve">   EJECUCION PRESUPUESTARIA DE INVERSIONES</t>
  </si>
  <si>
    <t xml:space="preserve">  EJECUCIÓN PRESUPUESTARIA DE INVERSIONES </t>
  </si>
  <si>
    <t xml:space="preserve">        2. Transferencias al Exterior</t>
  </si>
  <si>
    <t xml:space="preserve">         1.  Al Sector Público.</t>
  </si>
  <si>
    <t xml:space="preserve">           a. Gobierno Central</t>
  </si>
  <si>
    <t xml:space="preserve">           b. Entidades   Descent.ral. </t>
  </si>
  <si>
    <t xml:space="preserve">           c. Empresasa Públicas</t>
  </si>
  <si>
    <t xml:space="preserve">    B.  Transf. Corrientes</t>
  </si>
  <si>
    <t>Fuente: Dirección Nacional de Presupuesto</t>
  </si>
  <si>
    <t>DEVENGADO</t>
  </si>
  <si>
    <t>AL 30 DE MARZO DE 2025 (En Balboas)</t>
  </si>
  <si>
    <t xml:space="preserve"> NIVEL DE CUENTA :AL 30 DE MARZO DE 2025 (En Balboas)</t>
  </si>
  <si>
    <t>AL 30 DE MARZO DE 2025 (En Miles de Balboas)</t>
  </si>
  <si>
    <t xml:space="preserve">   AL 30 DE MARZO DE 2025 (En Balboas)</t>
  </si>
  <si>
    <t>POR PROGRAMA  AL 30 DE  MARZO DE 2025 (En Balboas)</t>
  </si>
  <si>
    <t xml:space="preserve">  A NIVEL DE CUENTAS  AL 30 DE MARZO DE 2025 (En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</si>
</sst>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[$€]#,##0.00\ ;[$€]\(#,##0.00\);[$€]\-#\ ;@\ "/>
    <numFmt numFmtId="165" formatCode="#,##0\ ;\(#,##0\)"/>
    <numFmt numFmtId="166" formatCode="0.0"/>
    <numFmt numFmtId="167" formatCode="&quot; B/.&quot;#,##0.00\ ;&quot; B/.(&quot;#,##0.00\);&quot; B/.-&quot;#\ ;@\ "/>
    <numFmt numFmtId="168" formatCode="#,##0.0"/>
    <numFmt numFmtId="169" formatCode="0.00\ "/>
    <numFmt numFmtId="170" formatCode="#"/>
    <numFmt numFmtId="171" formatCode="#,###"/>
    <numFmt numFmtId="172" formatCode="dd/mmm"/>
    <numFmt numFmtId="173" formatCode="#,##0.0\ ;\(#,##0.0\)"/>
    <numFmt numFmtId="174" formatCode="#,##0\ ;[Red]\-#,##0\ "/>
    <numFmt numFmtId="176" formatCode="#,##0.0\ ;\(#,###\)"/>
  </numFmts>
  <fonts count="63" x14ac:knownFonts="1">
    <font>
      <sz val="10"/>
      <name val="Arial"/>
      <family val="2"/>
    </font>
    <font>
      <sz val="7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sz val="10"/>
      <color indexed="1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18"/>
      <name val="Franklin Gothic Book"/>
      <family val="2"/>
    </font>
    <font>
      <sz val="7"/>
      <name val="Arial"/>
      <family val="2"/>
    </font>
    <font>
      <sz val="10"/>
      <name val="Arial"/>
      <family val="2"/>
    </font>
    <font>
      <sz val="10"/>
      <name val="Franklin Gothic Book"/>
      <family val="2"/>
    </font>
    <font>
      <b/>
      <sz val="8"/>
      <name val="Franklin Gothic Book"/>
      <family val="2"/>
    </font>
    <font>
      <sz val="9"/>
      <color rgb="FF000099"/>
      <name val="Arial"/>
      <family val="2"/>
    </font>
    <font>
      <b/>
      <sz val="8"/>
      <color rgb="FF0000FF"/>
      <name val="Arial"/>
      <family val="2"/>
    </font>
    <font>
      <b/>
      <sz val="10"/>
      <color rgb="FF062948"/>
      <name val="Arial"/>
      <family val="2"/>
    </font>
    <font>
      <sz val="10"/>
      <color rgb="FF002060"/>
      <name val="Arial"/>
      <family val="2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sz val="8"/>
      <color rgb="FF002060"/>
      <name val="Arial"/>
      <family val="2"/>
    </font>
    <font>
      <b/>
      <i/>
      <sz val="10"/>
      <color rgb="FF002060"/>
      <name val="Arial"/>
      <family val="2"/>
    </font>
    <font>
      <sz val="9"/>
      <color rgb="FF002060"/>
      <name val="Arial"/>
      <family val="2"/>
    </font>
    <font>
      <b/>
      <sz val="12"/>
      <color rgb="FF002060"/>
      <name val="Georgia"/>
      <family val="1"/>
    </font>
    <font>
      <b/>
      <sz val="12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3" tint="-0.499984740745262"/>
      <name val="Arial"/>
      <family val="2"/>
    </font>
    <font>
      <sz val="8"/>
      <color rgb="FFFF0000"/>
      <name val="Arial"/>
      <family val="2"/>
    </font>
    <font>
      <sz val="12"/>
      <color rgb="FF002060"/>
      <name val="Georgia"/>
      <family val="1"/>
    </font>
    <font>
      <sz val="9"/>
      <name val="Arial"/>
      <family val="2"/>
    </font>
    <font>
      <sz val="10"/>
      <name val="Arial Black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.5"/>
      <color rgb="FF002060"/>
      <name val="Arial Black"/>
      <family val="2"/>
    </font>
    <font>
      <sz val="10.5"/>
      <color rgb="FF062948"/>
      <name val="Arial Black"/>
      <family val="2"/>
    </font>
    <font>
      <sz val="10.5"/>
      <name val="Arial Black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sz val="10.5"/>
      <color rgb="FF062948"/>
      <name val="Arial"/>
      <family val="2"/>
    </font>
    <font>
      <sz val="10.5"/>
      <color rgb="FF002060"/>
      <name val="Arial"/>
      <family val="2"/>
    </font>
    <font>
      <b/>
      <sz val="10.5"/>
      <color rgb="FF002060"/>
      <name val="Arial"/>
      <family val="2"/>
    </font>
    <font>
      <b/>
      <sz val="10.5"/>
      <color rgb="FFFF0000"/>
      <name val="Arial"/>
      <family val="2"/>
    </font>
    <font>
      <sz val="10.5"/>
      <color rgb="FFFF0000"/>
      <name val="Arial"/>
      <family val="2"/>
    </font>
    <font>
      <sz val="10.5"/>
      <name val="Arial"/>
      <family val="2"/>
    </font>
    <font>
      <i/>
      <sz val="10.5"/>
      <name val="Arial Black"/>
      <family val="2"/>
    </font>
    <font>
      <sz val="9"/>
      <name val="Arial Black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Arial Black"/>
      <family val="2"/>
    </font>
    <font>
      <b/>
      <sz val="11"/>
      <name val="Arial Black"/>
      <family val="2"/>
    </font>
    <font>
      <b/>
      <sz val="9"/>
      <name val="Franklin Gothic Book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31"/>
      </patternFill>
    </fill>
  </fills>
  <borders count="216">
    <border>
      <left/>
      <right/>
      <top/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/>
      <right/>
      <top style="double">
        <color indexed="1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/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/>
      <right style="thin">
        <color theme="3" tint="-0.499984740745262"/>
      </right>
      <top/>
      <bottom/>
      <diagonal/>
    </border>
    <border>
      <left/>
      <right style="thin">
        <color theme="3" tint="-0.499984740745262"/>
      </right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indexed="64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indexed="62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 style="thin">
        <color theme="3" tint="-0.499984740745262"/>
      </right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rgb="FF002060"/>
      </left>
      <right style="thin">
        <color indexed="62"/>
      </right>
      <top/>
      <bottom/>
      <diagonal/>
    </border>
    <border>
      <left/>
      <right style="thin">
        <color theme="3" tint="-0.499984740745262"/>
      </right>
      <top/>
      <bottom style="thin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rgb="FF000066"/>
      </left>
      <right style="thin">
        <color rgb="FF000066"/>
      </right>
      <top/>
      <bottom/>
      <diagonal/>
    </border>
    <border>
      <left style="thin">
        <color rgb="FF000066"/>
      </left>
      <right/>
      <top/>
      <bottom/>
      <diagonal/>
    </border>
    <border>
      <left style="thin">
        <color rgb="FF000066"/>
      </left>
      <right style="thin">
        <color rgb="FF000066"/>
      </right>
      <top/>
      <bottom style="medium">
        <color rgb="FF000066"/>
      </bottom>
      <diagonal/>
    </border>
    <border>
      <left style="thin">
        <color rgb="FF000066"/>
      </left>
      <right/>
      <top/>
      <bottom style="medium">
        <color rgb="FF000066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theme="3" tint="-0.499984740745262"/>
      </bottom>
      <diagonal/>
    </border>
    <border>
      <left style="thin">
        <color rgb="FF000066"/>
      </left>
      <right style="thin">
        <color rgb="FF000066"/>
      </right>
      <top/>
      <bottom style="medium">
        <color theme="3" tint="-0.499984740745262"/>
      </bottom>
      <diagonal/>
    </border>
    <border>
      <left style="thin">
        <color rgb="FF000066"/>
      </left>
      <right/>
      <top style="thin">
        <color theme="3" tint="-0.499984740745262"/>
      </top>
      <bottom style="medium">
        <color theme="3" tint="-0.499984740745262"/>
      </bottom>
      <diagonal/>
    </border>
    <border>
      <left style="thin">
        <color indexed="62"/>
      </left>
      <right style="thin">
        <color indexed="62"/>
      </right>
      <top style="thin">
        <color rgb="FF000066"/>
      </top>
      <bottom style="thin">
        <color rgb="FF000066"/>
      </bottom>
      <diagonal/>
    </border>
    <border>
      <left style="thin">
        <color indexed="62"/>
      </left>
      <right style="thin">
        <color indexed="62"/>
      </right>
      <top style="medium">
        <color rgb="FF000066"/>
      </top>
      <bottom style="medium">
        <color rgb="FF000066"/>
      </bottom>
      <diagonal/>
    </border>
    <border>
      <left style="thin">
        <color indexed="62"/>
      </left>
      <right/>
      <top style="medium">
        <color rgb="FF000066"/>
      </top>
      <bottom style="medium">
        <color rgb="FF000066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rgb="FF000066"/>
      </top>
      <bottom style="medium">
        <color rgb="FF000066"/>
      </bottom>
      <diagonal/>
    </border>
    <border>
      <left/>
      <right style="thin">
        <color rgb="FF000066"/>
      </right>
      <top/>
      <bottom/>
      <diagonal/>
    </border>
    <border>
      <left/>
      <right/>
      <top style="medium">
        <color rgb="FF000066"/>
      </top>
      <bottom/>
      <diagonal/>
    </border>
    <border>
      <left/>
      <right style="thin">
        <color indexed="62"/>
      </right>
      <top style="thin">
        <color rgb="FF000066"/>
      </top>
      <bottom style="thin">
        <color rgb="FF000066"/>
      </bottom>
      <diagonal/>
    </border>
    <border>
      <left style="thin">
        <color theme="3" tint="-0.499984740745262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2"/>
      </right>
      <top style="medium">
        <color rgb="FF000066"/>
      </top>
      <bottom style="medium">
        <color rgb="FF000066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/>
      <top style="thin">
        <color auto="1"/>
      </top>
      <bottom style="thin">
        <color auto="1"/>
      </bottom>
      <diagonal/>
    </border>
    <border>
      <left style="thin">
        <color indexed="62"/>
      </left>
      <right/>
      <top style="thin">
        <color rgb="FF000066"/>
      </top>
      <bottom style="thin">
        <color rgb="FF000066"/>
      </bottom>
      <diagonal/>
    </border>
    <border>
      <left style="thin">
        <color rgb="FF000066"/>
      </left>
      <right/>
      <top style="medium">
        <color theme="3" tint="-0.499984740745262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auto="1"/>
      </top>
      <bottom/>
      <diagonal/>
    </border>
    <border>
      <left/>
      <right style="thin">
        <color theme="3" tint="-0.499984740745262"/>
      </right>
      <top style="medium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medium">
        <color auto="1"/>
      </top>
      <bottom style="thin">
        <color indexed="62"/>
      </bottom>
      <diagonal/>
    </border>
    <border>
      <left style="thin">
        <color theme="3" tint="-0.499984740745262"/>
      </left>
      <right/>
      <top style="medium">
        <color auto="1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medium">
        <color auto="1"/>
      </top>
      <bottom style="medium">
        <color auto="1"/>
      </bottom>
      <diagonal/>
    </border>
    <border>
      <left style="thin">
        <color indexed="62"/>
      </left>
      <right/>
      <top style="medium">
        <color auto="1"/>
      </top>
      <bottom style="medium">
        <color auto="1"/>
      </bottom>
      <diagonal/>
    </border>
    <border>
      <left/>
      <right style="thin">
        <color theme="3" tint="-0.499984740745262"/>
      </right>
      <top style="medium">
        <color theme="3" tint="-0.499984740745262"/>
      </top>
      <bottom/>
      <diagonal/>
    </border>
    <border>
      <left style="thin">
        <color theme="3" tint="-0.499984740745262"/>
      </left>
      <right/>
      <top style="medium">
        <color theme="3" tint="-0.499984740745262"/>
      </top>
      <bottom/>
      <diagonal/>
    </border>
    <border>
      <left/>
      <right/>
      <top/>
      <bottom style="medium">
        <color theme="3" tint="-0.499984740745262"/>
      </bottom>
      <diagonal/>
    </border>
    <border>
      <left/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theme="3" tint="-0.499984740745262"/>
      </left>
      <right/>
      <top/>
      <bottom style="thick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66"/>
      </left>
      <right style="thin">
        <color rgb="FF000066"/>
      </right>
      <top style="thin">
        <color auto="1"/>
      </top>
      <bottom style="thin">
        <color auto="1"/>
      </bottom>
      <diagonal/>
    </border>
    <border>
      <left/>
      <right style="thin">
        <color theme="3" tint="-0.499984740745262"/>
      </right>
      <top style="thin">
        <color auto="1"/>
      </top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theme="3" tint="-0.499984740745262"/>
      </right>
      <top style="thin">
        <color auto="1"/>
      </top>
      <bottom/>
      <diagonal/>
    </border>
    <border>
      <left style="thin">
        <color theme="3" tint="-0.499984740745262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/>
      <bottom style="thin">
        <color auto="1"/>
      </bottom>
      <diagonal/>
    </border>
    <border>
      <left/>
      <right style="thin">
        <color rgb="FF002060"/>
      </right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18"/>
      </bottom>
      <diagonal/>
    </border>
    <border>
      <left style="thin">
        <color rgb="FF002060"/>
      </left>
      <right/>
      <top/>
      <bottom style="thin">
        <color theme="3" tint="-0.499984740745262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/>
      <bottom style="thin">
        <color auto="1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/>
      <right/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rgb="FF000066"/>
      </right>
      <top/>
      <bottom style="medium">
        <color theme="3" tint="-0.499984740745262"/>
      </bottom>
      <diagonal/>
    </border>
    <border>
      <left/>
      <right style="thin">
        <color rgb="FF000066"/>
      </right>
      <top/>
      <bottom style="medium">
        <color rgb="FF000066"/>
      </bottom>
      <diagonal/>
    </border>
    <border>
      <left/>
      <right style="thin">
        <color rgb="FF002060"/>
      </right>
      <top style="thin">
        <color rgb="FF002060"/>
      </top>
      <bottom style="thin">
        <color indexed="62"/>
      </bottom>
      <diagonal/>
    </border>
    <border>
      <left/>
      <right style="thin">
        <color rgb="FF002060"/>
      </right>
      <top style="thin">
        <color indexed="62"/>
      </top>
      <bottom style="thin">
        <color indexed="62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/>
      <diagonal/>
    </border>
    <border>
      <left/>
      <right style="thin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 style="thin">
        <color indexed="62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/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/>
      <top style="thin">
        <color theme="3" tint="-0.499984740745262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3" tint="-0.499984740745262"/>
      </top>
      <bottom/>
      <diagonal/>
    </border>
    <border>
      <left/>
      <right style="thin">
        <color indexed="64"/>
      </right>
      <top/>
      <bottom style="thin">
        <color rgb="FF002060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rgb="FF000066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 style="thin">
        <color indexed="62"/>
      </top>
      <bottom/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indexed="64"/>
      </left>
      <right style="thin">
        <color rgb="FF000066"/>
      </right>
      <top/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2"/>
      </top>
      <bottom style="thin">
        <color indexed="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2"/>
      </top>
      <bottom style="thin">
        <color auto="1"/>
      </bottom>
      <diagonal/>
    </border>
    <border>
      <left style="thin">
        <color theme="3" tint="-0.499984740745262"/>
      </left>
      <right/>
      <top style="thin">
        <color indexed="62"/>
      </top>
      <bottom style="thin">
        <color indexed="62"/>
      </bottom>
      <diagonal/>
    </border>
    <border>
      <left/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auto="1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indexed="62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theme="3" tint="-0.499984740745262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theme="3" tint="-0.499984740745262"/>
      </left>
      <right/>
      <top style="medium">
        <color auto="1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rgb="FF002060"/>
      </left>
      <right/>
      <top style="thin">
        <color auto="1"/>
      </top>
      <bottom/>
      <diagonal/>
    </border>
    <border>
      <left/>
      <right style="thin">
        <color rgb="FF002060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rgb="FF002060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theme="3" tint="-0.499984740745262"/>
      </bottom>
      <diagonal/>
    </border>
    <border>
      <left/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indexed="64"/>
      </bottom>
      <diagonal/>
    </border>
    <border>
      <left/>
      <right/>
      <top style="medium">
        <color theme="3" tint="-0.499984740745262"/>
      </top>
      <bottom style="thin">
        <color indexed="64"/>
      </bottom>
      <diagonal/>
    </border>
    <border>
      <left/>
      <right style="thin">
        <color rgb="FF000066"/>
      </right>
      <top style="medium">
        <color theme="3" tint="-0.499984740745262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indexed="18"/>
      </bottom>
      <diagonal/>
    </border>
    <border>
      <left style="thin">
        <color rgb="FF002060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66"/>
      </left>
      <right style="thin">
        <color rgb="FF000066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66"/>
      </right>
      <top style="thin">
        <color auto="1"/>
      </top>
      <bottom style="thin">
        <color auto="1"/>
      </bottom>
      <diagonal/>
    </border>
    <border>
      <left style="thin">
        <color rgb="FF000066"/>
      </left>
      <right style="thin">
        <color rgb="FF000066"/>
      </right>
      <top style="thin">
        <color auto="1"/>
      </top>
      <bottom/>
      <diagonal/>
    </border>
    <border>
      <left style="thin">
        <color rgb="FF000066"/>
      </left>
      <right style="thin">
        <color rgb="FF000066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theme="3" tint="-0.499984740745262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rgb="FF002060"/>
      </left>
      <right/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auto="1"/>
      </top>
      <bottom style="thin">
        <color indexed="64"/>
      </bottom>
      <diagonal/>
    </border>
    <border>
      <left/>
      <right style="thin">
        <color theme="3" tint="-0.499984740745262"/>
      </right>
      <top/>
      <bottom style="thin">
        <color auto="1"/>
      </bottom>
      <diagonal/>
    </border>
    <border>
      <left style="thin">
        <color theme="3" tint="-0.499984740745262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auto="1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auto="1"/>
      </top>
      <bottom/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18"/>
      </bottom>
      <diagonal/>
    </border>
    <border>
      <left style="thin">
        <color theme="3" tint="-0.499984740745262"/>
      </left>
      <right/>
      <top style="medium">
        <color theme="3" tint="-0.499984740745262"/>
      </top>
      <bottom style="thin">
        <color indexed="64"/>
      </bottom>
      <diagonal/>
    </border>
    <border>
      <left/>
      <right style="thin">
        <color theme="3" tint="-0.499984740745262"/>
      </right>
      <top style="medium">
        <color theme="3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thin">
        <color auto="1"/>
      </top>
      <bottom style="thin">
        <color indexed="64"/>
      </bottom>
      <diagonal/>
    </border>
    <border>
      <left/>
      <right style="thin">
        <color rgb="FF002060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164" fontId="14" fillId="0" borderId="0" applyFill="0" applyBorder="0" applyAlignment="0" applyProtection="0"/>
    <xf numFmtId="167" fontId="14" fillId="0" borderId="0" applyFill="0" applyBorder="0" applyAlignment="0" applyProtection="0"/>
    <xf numFmtId="0" fontId="14" fillId="0" borderId="0"/>
  </cellStyleXfs>
  <cellXfs count="716">
    <xf numFmtId="0" fontId="0" fillId="0" borderId="0" xfId="0"/>
    <xf numFmtId="3" fontId="0" fillId="0" borderId="0" xfId="0" applyNumberForma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0" fillId="0" borderId="2" xfId="0" applyBorder="1"/>
    <xf numFmtId="0" fontId="10" fillId="0" borderId="0" xfId="0" applyFont="1"/>
    <xf numFmtId="3" fontId="2" fillId="0" borderId="0" xfId="0" applyNumberFormat="1" applyFont="1" applyAlignment="1">
      <alignment horizontal="center"/>
    </xf>
    <xf numFmtId="3" fontId="9" fillId="0" borderId="0" xfId="0" applyNumberFormat="1" applyFont="1"/>
    <xf numFmtId="169" fontId="8" fillId="0" borderId="0" xfId="0" applyNumberFormat="1" applyFont="1" applyAlignment="1">
      <alignment horizontal="left"/>
    </xf>
    <xf numFmtId="174" fontId="9" fillId="0" borderId="0" xfId="0" applyNumberFormat="1" applyFont="1"/>
    <xf numFmtId="0" fontId="13" fillId="0" borderId="0" xfId="0" applyFont="1"/>
    <xf numFmtId="49" fontId="8" fillId="0" borderId="0" xfId="0" applyNumberFormat="1" applyFont="1" applyAlignment="1">
      <alignment horizontal="left"/>
    </xf>
    <xf numFmtId="3" fontId="9" fillId="0" borderId="3" xfId="0" applyNumberFormat="1" applyFont="1" applyBorder="1"/>
    <xf numFmtId="17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4" fontId="11" fillId="0" borderId="0" xfId="0" applyNumberFormat="1" applyFont="1"/>
    <xf numFmtId="4" fontId="11" fillId="0" borderId="4" xfId="0" applyNumberFormat="1" applyFont="1" applyBorder="1"/>
    <xf numFmtId="0" fontId="0" fillId="3" borderId="0" xfId="0" applyFill="1"/>
    <xf numFmtId="0" fontId="15" fillId="0" borderId="0" xfId="0" applyFont="1"/>
    <xf numFmtId="3" fontId="12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1" fontId="0" fillId="0" borderId="0" xfId="0" applyNumberFormat="1"/>
    <xf numFmtId="0" fontId="20" fillId="0" borderId="0" xfId="0" applyFont="1"/>
    <xf numFmtId="3" fontId="23" fillId="0" borderId="0" xfId="0" applyNumberFormat="1" applyFont="1"/>
    <xf numFmtId="0" fontId="23" fillId="0" borderId="0" xfId="0" applyFont="1"/>
    <xf numFmtId="0" fontId="25" fillId="0" borderId="0" xfId="0" applyFont="1"/>
    <xf numFmtId="0" fontId="22" fillId="0" borderId="0" xfId="0" applyFont="1"/>
    <xf numFmtId="0" fontId="20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3" fontId="25" fillId="0" borderId="0" xfId="0" applyNumberFormat="1" applyFont="1"/>
    <xf numFmtId="3" fontId="20" fillId="0" borderId="0" xfId="0" applyNumberFormat="1" applyFont="1"/>
    <xf numFmtId="2" fontId="27" fillId="0" borderId="0" xfId="0" applyNumberFormat="1" applyFont="1"/>
    <xf numFmtId="0" fontId="24" fillId="0" borderId="0" xfId="0" applyFont="1"/>
    <xf numFmtId="3" fontId="21" fillId="0" borderId="0" xfId="0" applyNumberFormat="1" applyFont="1"/>
    <xf numFmtId="0" fontId="21" fillId="0" borderId="0" xfId="0" applyFont="1"/>
    <xf numFmtId="3" fontId="8" fillId="0" borderId="0" xfId="0" applyNumberFormat="1" applyFont="1"/>
    <xf numFmtId="0" fontId="19" fillId="0" borderId="0" xfId="0" applyFont="1"/>
    <xf numFmtId="3" fontId="32" fillId="0" borderId="0" xfId="0" applyNumberFormat="1" applyFont="1" applyAlignment="1">
      <alignment horizontal="left"/>
    </xf>
    <xf numFmtId="49" fontId="32" fillId="0" borderId="0" xfId="0" applyNumberFormat="1" applyFont="1"/>
    <xf numFmtId="4" fontId="0" fillId="0" borderId="0" xfId="0" applyNumberFormat="1"/>
    <xf numFmtId="0" fontId="30" fillId="0" borderId="0" xfId="0" applyFont="1"/>
    <xf numFmtId="4" fontId="30" fillId="0" borderId="0" xfId="0" applyNumberFormat="1" applyFont="1"/>
    <xf numFmtId="0" fontId="31" fillId="0" borderId="0" xfId="0" applyFont="1" applyAlignment="1">
      <alignment horizontal="center"/>
    </xf>
    <xf numFmtId="0" fontId="31" fillId="0" borderId="0" xfId="0" applyFont="1"/>
    <xf numFmtId="3" fontId="33" fillId="0" borderId="0" xfId="0" applyNumberFormat="1" applyFont="1"/>
    <xf numFmtId="166" fontId="0" fillId="0" borderId="0" xfId="0" applyNumberFormat="1"/>
    <xf numFmtId="0" fontId="18" fillId="5" borderId="0" xfId="0" applyFont="1" applyFill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/>
    <xf numFmtId="0" fontId="26" fillId="0" borderId="0" xfId="0" applyFont="1" applyAlignment="1">
      <alignment horizontal="center"/>
    </xf>
    <xf numFmtId="3" fontId="17" fillId="0" borderId="0" xfId="0" applyNumberFormat="1" applyFont="1"/>
    <xf numFmtId="0" fontId="35" fillId="0" borderId="0" xfId="0" applyFont="1"/>
    <xf numFmtId="0" fontId="0" fillId="0" borderId="0" xfId="0" applyAlignment="1">
      <alignment horizontal="center"/>
    </xf>
    <xf numFmtId="0" fontId="36" fillId="0" borderId="0" xfId="0" applyFont="1"/>
    <xf numFmtId="0" fontId="37" fillId="0" borderId="0" xfId="0" applyFont="1" applyAlignment="1">
      <alignment vertical="center"/>
    </xf>
    <xf numFmtId="4" fontId="37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4" fontId="38" fillId="0" borderId="0" xfId="0" applyNumberFormat="1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4" fontId="39" fillId="0" borderId="0" xfId="0" applyNumberFormat="1" applyFont="1" applyAlignment="1">
      <alignment vertical="center"/>
    </xf>
    <xf numFmtId="0" fontId="38" fillId="0" borderId="0" xfId="0" applyFont="1" applyAlignment="1">
      <alignment horizontal="left" vertical="center"/>
    </xf>
    <xf numFmtId="4" fontId="40" fillId="0" borderId="0" xfId="0" applyNumberFormat="1" applyFont="1" applyAlignment="1">
      <alignment vertical="center"/>
    </xf>
    <xf numFmtId="169" fontId="1" fillId="0" borderId="0" xfId="0" applyNumberFormat="1" applyFont="1" applyAlignment="1">
      <alignment horizontal="left"/>
    </xf>
    <xf numFmtId="0" fontId="0" fillId="0" borderId="56" xfId="0" applyBorder="1"/>
    <xf numFmtId="3" fontId="6" fillId="0" borderId="0" xfId="0" applyNumberFormat="1" applyFont="1"/>
    <xf numFmtId="0" fontId="43" fillId="0" borderId="0" xfId="0" applyFont="1"/>
    <xf numFmtId="3" fontId="35" fillId="0" borderId="14" xfId="0" applyNumberFormat="1" applyFont="1" applyBorder="1" applyAlignment="1">
      <alignment horizontal="left"/>
    </xf>
    <xf numFmtId="3" fontId="35" fillId="0" borderId="9" xfId="0" applyNumberFormat="1" applyFont="1" applyBorder="1" applyAlignment="1">
      <alignment horizontal="left"/>
    </xf>
    <xf numFmtId="3" fontId="35" fillId="0" borderId="9" xfId="0" applyNumberFormat="1" applyFont="1" applyBorder="1"/>
    <xf numFmtId="3" fontId="44" fillId="0" borderId="14" xfId="0" applyNumberFormat="1" applyFont="1" applyBorder="1" applyAlignment="1">
      <alignment horizontal="left"/>
    </xf>
    <xf numFmtId="3" fontId="44" fillId="0" borderId="9" xfId="0" applyNumberFormat="1" applyFont="1" applyBorder="1" applyAlignment="1">
      <alignment horizontal="left"/>
    </xf>
    <xf numFmtId="3" fontId="44" fillId="0" borderId="9" xfId="0" applyNumberFormat="1" applyFont="1" applyBorder="1"/>
    <xf numFmtId="3" fontId="35" fillId="0" borderId="9" xfId="0" applyNumberFormat="1" applyFont="1" applyBorder="1" applyAlignment="1">
      <alignment horizontal="right"/>
    </xf>
    <xf numFmtId="3" fontId="35" fillId="0" borderId="14" xfId="0" applyNumberFormat="1" applyFont="1" applyBorder="1"/>
    <xf numFmtId="3" fontId="44" fillId="0" borderId="14" xfId="0" applyNumberFormat="1" applyFont="1" applyBorder="1"/>
    <xf numFmtId="3" fontId="44" fillId="0" borderId="14" xfId="0" applyNumberFormat="1" applyFont="1" applyBorder="1" applyAlignment="1">
      <alignment horizontal="left" vertical="center" wrapText="1"/>
    </xf>
    <xf numFmtId="3" fontId="44" fillId="0" borderId="0" xfId="0" applyNumberFormat="1" applyFont="1" applyAlignment="1">
      <alignment horizontal="left"/>
    </xf>
    <xf numFmtId="3" fontId="35" fillId="0" borderId="0" xfId="0" applyNumberFormat="1" applyFont="1" applyAlignment="1">
      <alignment horizontal="left"/>
    </xf>
    <xf numFmtId="0" fontId="35" fillId="0" borderId="0" xfId="0" applyFont="1" applyAlignment="1">
      <alignment horizontal="left"/>
    </xf>
    <xf numFmtId="3" fontId="44" fillId="0" borderId="1" xfId="0" applyNumberFormat="1" applyFont="1" applyBorder="1" applyAlignment="1">
      <alignment horizontal="left" vertical="center"/>
    </xf>
    <xf numFmtId="3" fontId="35" fillId="0" borderId="0" xfId="0" applyNumberFormat="1" applyFont="1"/>
    <xf numFmtId="3" fontId="44" fillId="0" borderId="0" xfId="0" applyNumberFormat="1" applyFont="1"/>
    <xf numFmtId="3" fontId="44" fillId="0" borderId="0" xfId="0" applyNumberFormat="1" applyFont="1" applyAlignment="1">
      <alignment vertical="center"/>
    </xf>
    <xf numFmtId="3" fontId="35" fillId="0" borderId="48" xfId="0" applyNumberFormat="1" applyFont="1" applyBorder="1" applyAlignment="1">
      <alignment horizontal="left"/>
    </xf>
    <xf numFmtId="3" fontId="44" fillId="0" borderId="9" xfId="0" applyNumberFormat="1" applyFont="1" applyBorder="1" applyAlignment="1">
      <alignment vertical="center" wrapText="1"/>
    </xf>
    <xf numFmtId="3" fontId="35" fillId="0" borderId="31" xfId="0" applyNumberFormat="1" applyFont="1" applyBorder="1" applyAlignment="1">
      <alignment horizontal="left"/>
    </xf>
    <xf numFmtId="0" fontId="35" fillId="0" borderId="31" xfId="0" applyFont="1" applyBorder="1"/>
    <xf numFmtId="3" fontId="35" fillId="0" borderId="33" xfId="0" applyNumberFormat="1" applyFont="1" applyBorder="1" applyAlignment="1">
      <alignment horizontal="left"/>
    </xf>
    <xf numFmtId="3" fontId="35" fillId="0" borderId="33" xfId="0" applyNumberFormat="1" applyFont="1" applyBorder="1"/>
    <xf numFmtId="3" fontId="44" fillId="0" borderId="29" xfId="0" applyNumberFormat="1" applyFont="1" applyBorder="1" applyAlignment="1">
      <alignment vertical="center"/>
    </xf>
    <xf numFmtId="3" fontId="44" fillId="0" borderId="9" xfId="0" applyNumberFormat="1" applyFont="1" applyBorder="1" applyAlignment="1">
      <alignment vertical="center"/>
    </xf>
    <xf numFmtId="3" fontId="35" fillId="0" borderId="29" xfId="0" applyNumberFormat="1" applyFont="1" applyBorder="1"/>
    <xf numFmtId="3" fontId="44" fillId="0" borderId="29" xfId="0" applyNumberFormat="1" applyFont="1" applyBorder="1"/>
    <xf numFmtId="3" fontId="35" fillId="0" borderId="23" xfId="0" applyNumberFormat="1" applyFont="1" applyBorder="1"/>
    <xf numFmtId="3" fontId="44" fillId="0" borderId="21" xfId="0" applyNumberFormat="1" applyFont="1" applyBorder="1" applyAlignment="1">
      <alignment vertical="center"/>
    </xf>
    <xf numFmtId="3" fontId="44" fillId="0" borderId="24" xfId="0" applyNumberFormat="1" applyFont="1" applyBorder="1" applyAlignment="1">
      <alignment vertical="center"/>
    </xf>
    <xf numFmtId="3" fontId="35" fillId="0" borderId="20" xfId="0" applyNumberFormat="1" applyFont="1" applyBorder="1"/>
    <xf numFmtId="3" fontId="35" fillId="0" borderId="21" xfId="0" applyNumberFormat="1" applyFont="1" applyBorder="1"/>
    <xf numFmtId="3" fontId="44" fillId="0" borderId="20" xfId="0" applyNumberFormat="1" applyFont="1" applyBorder="1" applyAlignment="1">
      <alignment vertical="center"/>
    </xf>
    <xf numFmtId="3" fontId="44" fillId="0" borderId="27" xfId="0" applyNumberFormat="1" applyFont="1" applyBorder="1"/>
    <xf numFmtId="3" fontId="35" fillId="0" borderId="27" xfId="0" applyNumberFormat="1" applyFont="1" applyBorder="1" applyAlignment="1">
      <alignment horizontal="left"/>
    </xf>
    <xf numFmtId="3" fontId="35" fillId="0" borderId="27" xfId="0" applyNumberFormat="1" applyFont="1" applyBorder="1"/>
    <xf numFmtId="0" fontId="35" fillId="0" borderId="27" xfId="0" applyFont="1" applyBorder="1"/>
    <xf numFmtId="4" fontId="35" fillId="0" borderId="27" xfId="0" applyNumberFormat="1" applyFont="1" applyBorder="1"/>
    <xf numFmtId="3" fontId="44" fillId="0" borderId="23" xfId="0" applyNumberFormat="1" applyFont="1" applyBorder="1"/>
    <xf numFmtId="3" fontId="35" fillId="0" borderId="45" xfId="0" applyNumberFormat="1" applyFont="1" applyBorder="1"/>
    <xf numFmtId="3" fontId="10" fillId="0" borderId="25" xfId="0" applyNumberFormat="1" applyFont="1" applyBorder="1" applyAlignment="1">
      <alignment horizontal="left" vertical="center"/>
    </xf>
    <xf numFmtId="3" fontId="44" fillId="0" borderId="10" xfId="0" applyNumberFormat="1" applyFont="1" applyBorder="1" applyAlignment="1">
      <alignment horizontal="left" vertical="center"/>
    </xf>
    <xf numFmtId="3" fontId="44" fillId="0" borderId="10" xfId="0" applyNumberFormat="1" applyFont="1" applyBorder="1" applyAlignment="1">
      <alignment vertical="center"/>
    </xf>
    <xf numFmtId="3" fontId="10" fillId="0" borderId="15" xfId="0" applyNumberFormat="1" applyFont="1" applyBorder="1" applyAlignment="1">
      <alignment horizontal="left" vertical="center"/>
    </xf>
    <xf numFmtId="3" fontId="44" fillId="0" borderId="47" xfId="0" applyNumberFormat="1" applyFont="1" applyBorder="1" applyAlignment="1">
      <alignment horizontal="left" vertical="center"/>
    </xf>
    <xf numFmtId="3" fontId="44" fillId="0" borderId="39" xfId="0" applyNumberFormat="1" applyFont="1" applyBorder="1" applyAlignment="1">
      <alignment vertical="center"/>
    </xf>
    <xf numFmtId="3" fontId="44" fillId="0" borderId="40" xfId="0" applyNumberFormat="1" applyFont="1" applyBorder="1" applyAlignment="1">
      <alignment vertical="center"/>
    </xf>
    <xf numFmtId="3" fontId="44" fillId="0" borderId="41" xfId="0" applyNumberFormat="1" applyFont="1" applyBorder="1" applyAlignment="1">
      <alignment vertical="center"/>
    </xf>
    <xf numFmtId="3" fontId="44" fillId="0" borderId="6" xfId="0" applyNumberFormat="1" applyFont="1" applyBorder="1" applyAlignment="1">
      <alignment horizontal="left" vertical="center"/>
    </xf>
    <xf numFmtId="3" fontId="44" fillId="0" borderId="60" xfId="0" applyNumberFormat="1" applyFont="1" applyBorder="1" applyAlignment="1">
      <alignment horizontal="left" vertical="center"/>
    </xf>
    <xf numFmtId="3" fontId="44" fillId="0" borderId="60" xfId="0" applyNumberFormat="1" applyFont="1" applyBorder="1" applyAlignment="1">
      <alignment vertical="center"/>
    </xf>
    <xf numFmtId="3" fontId="44" fillId="0" borderId="54" xfId="0" applyNumberFormat="1" applyFont="1" applyBorder="1" applyAlignment="1">
      <alignment horizontal="left" vertical="center"/>
    </xf>
    <xf numFmtId="3" fontId="44" fillId="0" borderId="23" xfId="0" applyNumberFormat="1" applyFont="1" applyBorder="1" applyAlignment="1">
      <alignment vertical="center"/>
    </xf>
    <xf numFmtId="3" fontId="35" fillId="0" borderId="30" xfId="0" applyNumberFormat="1" applyFont="1" applyBorder="1"/>
    <xf numFmtId="3" fontId="35" fillId="0" borderId="23" xfId="0" applyNumberFormat="1" applyFont="1" applyBorder="1" applyAlignment="1">
      <alignment horizontal="left"/>
    </xf>
    <xf numFmtId="3" fontId="44" fillId="0" borderId="30" xfId="0" applyNumberFormat="1" applyFont="1" applyBorder="1" applyAlignment="1">
      <alignment vertical="center"/>
    </xf>
    <xf numFmtId="3" fontId="35" fillId="0" borderId="55" xfId="0" applyNumberFormat="1" applyFont="1" applyBorder="1" applyAlignment="1">
      <alignment horizontal="left"/>
    </xf>
    <xf numFmtId="3" fontId="35" fillId="0" borderId="54" xfId="0" applyNumberFormat="1" applyFont="1" applyBorder="1"/>
    <xf numFmtId="3" fontId="44" fillId="0" borderId="55" xfId="0" applyNumberFormat="1" applyFont="1" applyBorder="1" applyAlignment="1">
      <alignment vertical="center"/>
    </xf>
    <xf numFmtId="3" fontId="44" fillId="0" borderId="54" xfId="0" applyNumberFormat="1" applyFont="1" applyBorder="1" applyAlignment="1">
      <alignment vertical="center"/>
    </xf>
    <xf numFmtId="3" fontId="44" fillId="0" borderId="59" xfId="0" applyNumberFormat="1" applyFont="1" applyBorder="1" applyAlignment="1">
      <alignment vertical="center"/>
    </xf>
    <xf numFmtId="3" fontId="44" fillId="0" borderId="61" xfId="0" applyNumberFormat="1" applyFont="1" applyBorder="1" applyAlignment="1">
      <alignment vertical="center"/>
    </xf>
    <xf numFmtId="3" fontId="44" fillId="0" borderId="62" xfId="0" applyNumberFormat="1" applyFont="1" applyBorder="1" applyAlignment="1">
      <alignment vertical="center"/>
    </xf>
    <xf numFmtId="3" fontId="44" fillId="0" borderId="63" xfId="0" applyNumberFormat="1" applyFont="1" applyBorder="1" applyAlignment="1">
      <alignment vertical="center"/>
    </xf>
    <xf numFmtId="3" fontId="44" fillId="0" borderId="30" xfId="0" applyNumberFormat="1" applyFont="1" applyBorder="1"/>
    <xf numFmtId="3" fontId="44" fillId="0" borderId="26" xfId="0" applyNumberFormat="1" applyFont="1" applyBorder="1"/>
    <xf numFmtId="3" fontId="35" fillId="0" borderId="26" xfId="0" applyNumberFormat="1" applyFont="1" applyBorder="1"/>
    <xf numFmtId="3" fontId="44" fillId="0" borderId="63" xfId="0" applyNumberFormat="1" applyFont="1" applyBorder="1" applyAlignment="1">
      <alignment horizontal="left" vertical="center"/>
    </xf>
    <xf numFmtId="3" fontId="44" fillId="0" borderId="23" xfId="0" applyNumberFormat="1" applyFont="1" applyBorder="1" applyAlignment="1">
      <alignment horizontal="left"/>
    </xf>
    <xf numFmtId="3" fontId="10" fillId="0" borderId="68" xfId="0" applyNumberFormat="1" applyFont="1" applyBorder="1" applyAlignment="1">
      <alignment horizontal="left" vertical="center"/>
    </xf>
    <xf numFmtId="3" fontId="10" fillId="0" borderId="68" xfId="0" applyNumberFormat="1" applyFont="1" applyBorder="1" applyAlignment="1">
      <alignment vertical="center"/>
    </xf>
    <xf numFmtId="3" fontId="10" fillId="0" borderId="69" xfId="0" applyNumberFormat="1" applyFont="1" applyBorder="1" applyAlignment="1">
      <alignment vertical="center"/>
    </xf>
    <xf numFmtId="3" fontId="10" fillId="0" borderId="49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0" fillId="0" borderId="9" xfId="0" applyNumberFormat="1" applyBorder="1" applyAlignment="1">
      <alignment horizontal="right"/>
    </xf>
    <xf numFmtId="3" fontId="42" fillId="0" borderId="0" xfId="0" applyNumberFormat="1" applyFont="1"/>
    <xf numFmtId="3" fontId="47" fillId="0" borderId="0" xfId="0" applyNumberFormat="1" applyFont="1"/>
    <xf numFmtId="3" fontId="46" fillId="0" borderId="0" xfId="0" applyNumberFormat="1" applyFont="1"/>
    <xf numFmtId="0" fontId="44" fillId="0" borderId="0" xfId="0" applyFont="1"/>
    <xf numFmtId="49" fontId="35" fillId="0" borderId="14" xfId="0" applyNumberFormat="1" applyFont="1" applyBorder="1" applyAlignment="1">
      <alignment horizontal="left"/>
    </xf>
    <xf numFmtId="4" fontId="23" fillId="0" borderId="0" xfId="0" applyNumberFormat="1" applyFont="1"/>
    <xf numFmtId="166" fontId="20" fillId="0" borderId="0" xfId="0" applyNumberFormat="1" applyFont="1"/>
    <xf numFmtId="166" fontId="44" fillId="0" borderId="19" xfId="0" applyNumberFormat="1" applyFont="1" applyBorder="1" applyAlignment="1">
      <alignment horizontal="center" vertical="center"/>
    </xf>
    <xf numFmtId="166" fontId="44" fillId="0" borderId="12" xfId="0" applyNumberFormat="1" applyFont="1" applyBorder="1" applyAlignment="1">
      <alignment horizontal="center"/>
    </xf>
    <xf numFmtId="166" fontId="35" fillId="0" borderId="12" xfId="0" applyNumberFormat="1" applyFont="1" applyBorder="1" applyAlignment="1">
      <alignment horizontal="center"/>
    </xf>
    <xf numFmtId="166" fontId="44" fillId="0" borderId="16" xfId="0" applyNumberFormat="1" applyFont="1" applyBorder="1" applyAlignment="1">
      <alignment horizontal="center"/>
    </xf>
    <xf numFmtId="166" fontId="44" fillId="0" borderId="40" xfId="0" applyNumberFormat="1" applyFont="1" applyBorder="1" applyAlignment="1">
      <alignment horizontal="center" vertical="center"/>
    </xf>
    <xf numFmtId="166" fontId="44" fillId="0" borderId="5" xfId="0" applyNumberFormat="1" applyFont="1" applyBorder="1" applyAlignment="1">
      <alignment horizontal="center" vertical="center"/>
    </xf>
    <xf numFmtId="166" fontId="35" fillId="0" borderId="5" xfId="0" applyNumberFormat="1" applyFont="1" applyBorder="1" applyAlignment="1">
      <alignment horizontal="center"/>
    </xf>
    <xf numFmtId="166" fontId="44" fillId="0" borderId="5" xfId="0" applyNumberFormat="1" applyFont="1" applyBorder="1" applyAlignment="1">
      <alignment horizontal="center"/>
    </xf>
    <xf numFmtId="166" fontId="44" fillId="0" borderId="7" xfId="0" applyNumberFormat="1" applyFont="1" applyBorder="1" applyAlignment="1">
      <alignment horizontal="center" vertical="center"/>
    </xf>
    <xf numFmtId="166" fontId="10" fillId="0" borderId="69" xfId="0" applyNumberFormat="1" applyFont="1" applyBorder="1" applyAlignment="1">
      <alignment horizontal="center" vertical="center"/>
    </xf>
    <xf numFmtId="3" fontId="7" fillId="0" borderId="0" xfId="0" applyNumberFormat="1" applyFont="1"/>
    <xf numFmtId="3" fontId="44" fillId="0" borderId="145" xfId="0" applyNumberFormat="1" applyFont="1" applyBorder="1" applyAlignment="1">
      <alignment vertical="center"/>
    </xf>
    <xf numFmtId="3" fontId="44" fillId="0" borderId="146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3" fontId="35" fillId="0" borderId="28" xfId="0" applyNumberFormat="1" applyFont="1" applyBorder="1"/>
    <xf numFmtId="3" fontId="35" fillId="0" borderId="12" xfId="0" applyNumberFormat="1" applyFont="1" applyBorder="1"/>
    <xf numFmtId="4" fontId="44" fillId="0" borderId="10" xfId="0" applyNumberFormat="1" applyFont="1" applyBorder="1" applyAlignment="1">
      <alignment vertical="center"/>
    </xf>
    <xf numFmtId="4" fontId="44" fillId="0" borderId="9" xfId="0" applyNumberFormat="1" applyFont="1" applyBorder="1"/>
    <xf numFmtId="4" fontId="35" fillId="0" borderId="9" xfId="0" applyNumberFormat="1" applyFont="1" applyBorder="1"/>
    <xf numFmtId="4" fontId="35" fillId="0" borderId="9" xfId="0" applyNumberFormat="1" applyFont="1" applyBorder="1" applyAlignment="1">
      <alignment horizontal="right"/>
    </xf>
    <xf numFmtId="3" fontId="35" fillId="0" borderId="14" xfId="0" applyNumberFormat="1" applyFont="1" applyBorder="1" applyAlignment="1">
      <alignment horizontal="left" vertical="center" wrapText="1"/>
    </xf>
    <xf numFmtId="3" fontId="35" fillId="0" borderId="9" xfId="0" applyNumberFormat="1" applyFont="1" applyBorder="1" applyAlignment="1">
      <alignment vertical="center" wrapText="1"/>
    </xf>
    <xf numFmtId="166" fontId="35" fillId="0" borderId="30" xfId="0" applyNumberFormat="1" applyFont="1" applyBorder="1" applyAlignment="1">
      <alignment horizontal="center"/>
    </xf>
    <xf numFmtId="3" fontId="10" fillId="0" borderId="159" xfId="0" applyNumberFormat="1" applyFont="1" applyBorder="1" applyAlignment="1">
      <alignment vertical="center"/>
    </xf>
    <xf numFmtId="3" fontId="48" fillId="0" borderId="0" xfId="0" applyNumberFormat="1" applyFont="1"/>
    <xf numFmtId="0" fontId="44" fillId="8" borderId="164" xfId="0" applyFont="1" applyFill="1" applyBorder="1" applyAlignment="1">
      <alignment horizontal="center" vertical="center" wrapText="1"/>
    </xf>
    <xf numFmtId="3" fontId="44" fillId="8" borderId="164" xfId="0" applyNumberFormat="1" applyFont="1" applyFill="1" applyBorder="1" applyAlignment="1">
      <alignment horizontal="center" vertical="center" wrapText="1"/>
    </xf>
    <xf numFmtId="3" fontId="10" fillId="0" borderId="160" xfId="0" applyNumberFormat="1" applyFont="1" applyBorder="1"/>
    <xf numFmtId="3" fontId="49" fillId="0" borderId="0" xfId="0" applyNumberFormat="1" applyFont="1"/>
    <xf numFmtId="3" fontId="41" fillId="4" borderId="0" xfId="0" applyNumberFormat="1" applyFont="1" applyFill="1"/>
    <xf numFmtId="2" fontId="35" fillId="0" borderId="9" xfId="0" applyNumberFormat="1" applyFont="1" applyBorder="1"/>
    <xf numFmtId="2" fontId="44" fillId="0" borderId="9" xfId="0" applyNumberFormat="1" applyFont="1" applyBorder="1"/>
    <xf numFmtId="2" fontId="44" fillId="0" borderId="63" xfId="0" applyNumberFormat="1" applyFont="1" applyBorder="1" applyAlignment="1">
      <alignment vertical="center"/>
    </xf>
    <xf numFmtId="2" fontId="44" fillId="0" borderId="23" xfId="0" applyNumberFormat="1" applyFont="1" applyBorder="1"/>
    <xf numFmtId="2" fontId="35" fillId="0" borderId="23" xfId="0" applyNumberFormat="1" applyFont="1" applyBorder="1"/>
    <xf numFmtId="2" fontId="35" fillId="0" borderId="0" xfId="0" applyNumberFormat="1" applyFont="1"/>
    <xf numFmtId="4" fontId="44" fillId="0" borderId="40" xfId="0" applyNumberFormat="1" applyFont="1" applyBorder="1" applyAlignment="1">
      <alignment vertical="center"/>
    </xf>
    <xf numFmtId="4" fontId="44" fillId="0" borderId="23" xfId="0" applyNumberFormat="1" applyFont="1" applyBorder="1" applyAlignment="1">
      <alignment vertical="center"/>
    </xf>
    <xf numFmtId="4" fontId="44" fillId="0" borderId="9" xfId="0" applyNumberFormat="1" applyFont="1" applyBorder="1" applyAlignment="1">
      <alignment vertical="center"/>
    </xf>
    <xf numFmtId="4" fontId="44" fillId="0" borderId="29" xfId="0" applyNumberFormat="1" applyFont="1" applyBorder="1" applyAlignment="1">
      <alignment vertical="center"/>
    </xf>
    <xf numFmtId="3" fontId="10" fillId="0" borderId="0" xfId="0" applyNumberFormat="1" applyFont="1"/>
    <xf numFmtId="3" fontId="50" fillId="0" borderId="0" xfId="0" applyNumberFormat="1" applyFont="1"/>
    <xf numFmtId="3" fontId="51" fillId="0" borderId="0" xfId="0" applyNumberFormat="1" applyFont="1"/>
    <xf numFmtId="0" fontId="29" fillId="0" borderId="0" xfId="0" applyFont="1" applyAlignment="1">
      <alignment horizontal="center"/>
    </xf>
    <xf numFmtId="0" fontId="44" fillId="8" borderId="11" xfId="0" applyFont="1" applyFill="1" applyBorder="1" applyAlignment="1">
      <alignment horizontal="center" vertical="center"/>
    </xf>
    <xf numFmtId="3" fontId="0" fillId="0" borderId="20" xfId="0" applyNumberFormat="1" applyBorder="1"/>
    <xf numFmtId="0" fontId="45" fillId="0" borderId="0" xfId="0" applyFont="1"/>
    <xf numFmtId="0" fontId="44" fillId="8" borderId="107" xfId="0" applyFont="1" applyFill="1" applyBorder="1" applyAlignment="1">
      <alignment horizontal="center" vertical="center" wrapText="1"/>
    </xf>
    <xf numFmtId="0" fontId="44" fillId="8" borderId="154" xfId="0" applyFont="1" applyFill="1" applyBorder="1" applyAlignment="1">
      <alignment horizontal="center" vertical="center" wrapText="1"/>
    </xf>
    <xf numFmtId="0" fontId="44" fillId="8" borderId="111" xfId="0" applyFont="1" applyFill="1" applyBorder="1" applyAlignment="1">
      <alignment horizontal="center" vertical="center" wrapText="1"/>
    </xf>
    <xf numFmtId="0" fontId="44" fillId="8" borderId="112" xfId="0" applyFont="1" applyFill="1" applyBorder="1" applyAlignment="1">
      <alignment horizontal="center" vertical="center" wrapText="1"/>
    </xf>
    <xf numFmtId="0" fontId="44" fillId="8" borderId="110" xfId="0" applyFont="1" applyFill="1" applyBorder="1" applyAlignment="1">
      <alignment horizontal="center" vertical="center" wrapText="1"/>
    </xf>
    <xf numFmtId="0" fontId="44" fillId="8" borderId="155" xfId="0" applyFont="1" applyFill="1" applyBorder="1" applyAlignment="1">
      <alignment horizontal="center" vertical="center" wrapText="1"/>
    </xf>
    <xf numFmtId="0" fontId="44" fillId="8" borderId="108" xfId="0" applyFont="1" applyFill="1" applyBorder="1" applyAlignment="1">
      <alignment horizontal="center" vertical="center" wrapText="1"/>
    </xf>
    <xf numFmtId="0" fontId="10" fillId="0" borderId="90" xfId="0" applyFont="1" applyBorder="1"/>
    <xf numFmtId="3" fontId="0" fillId="0" borderId="21" xfId="0" applyNumberFormat="1" applyBorder="1"/>
    <xf numFmtId="3" fontId="0" fillId="0" borderId="90" xfId="0" applyNumberFormat="1" applyBorder="1"/>
    <xf numFmtId="0" fontId="0" fillId="0" borderId="21" xfId="0" applyBorder="1"/>
    <xf numFmtId="0" fontId="46" fillId="0" borderId="90" xfId="0" applyFont="1" applyBorder="1"/>
    <xf numFmtId="3" fontId="46" fillId="0" borderId="90" xfId="0" applyNumberFormat="1" applyFont="1" applyBorder="1"/>
    <xf numFmtId="3" fontId="46" fillId="2" borderId="20" xfId="0" applyNumberFormat="1" applyFont="1" applyFill="1" applyBorder="1"/>
    <xf numFmtId="165" fontId="46" fillId="2" borderId="20" xfId="0" applyNumberFormat="1" applyFont="1" applyFill="1" applyBorder="1"/>
    <xf numFmtId="166" fontId="46" fillId="0" borderId="21" xfId="0" applyNumberFormat="1" applyFont="1" applyBorder="1" applyAlignment="1">
      <alignment horizontal="center"/>
    </xf>
    <xf numFmtId="3" fontId="46" fillId="0" borderId="20" xfId="0" applyNumberFormat="1" applyFont="1" applyBorder="1"/>
    <xf numFmtId="165" fontId="46" fillId="0" borderId="20" xfId="0" applyNumberFormat="1" applyFont="1" applyBorder="1"/>
    <xf numFmtId="0" fontId="46" fillId="0" borderId="21" xfId="0" applyFont="1" applyBorder="1" applyAlignment="1">
      <alignment horizontal="center"/>
    </xf>
    <xf numFmtId="0" fontId="46" fillId="0" borderId="90" xfId="0" applyFont="1" applyBorder="1" applyAlignment="1">
      <alignment horizontal="left"/>
    </xf>
    <xf numFmtId="3" fontId="46" fillId="0" borderId="90" xfId="0" applyNumberFormat="1" applyFont="1" applyBorder="1" applyAlignment="1">
      <alignment horizontal="right"/>
    </xf>
    <xf numFmtId="0" fontId="52" fillId="0" borderId="90" xfId="0" applyFont="1" applyBorder="1" applyAlignment="1">
      <alignment horizontal="left"/>
    </xf>
    <xf numFmtId="3" fontId="52" fillId="0" borderId="90" xfId="0" applyNumberFormat="1" applyFont="1" applyBorder="1" applyAlignment="1">
      <alignment horizontal="left"/>
    </xf>
    <xf numFmtId="0" fontId="52" fillId="0" borderId="20" xfId="0" applyFont="1" applyBorder="1"/>
    <xf numFmtId="3" fontId="52" fillId="0" borderId="20" xfId="0" applyNumberFormat="1" applyFont="1" applyBorder="1"/>
    <xf numFmtId="165" fontId="52" fillId="2" borderId="20" xfId="0" applyNumberFormat="1" applyFont="1" applyFill="1" applyBorder="1"/>
    <xf numFmtId="166" fontId="52" fillId="0" borderId="21" xfId="0" applyNumberFormat="1" applyFont="1" applyBorder="1" applyAlignment="1">
      <alignment horizontal="center"/>
    </xf>
    <xf numFmtId="0" fontId="52" fillId="0" borderId="90" xfId="0" applyFont="1" applyBorder="1"/>
    <xf numFmtId="3" fontId="52" fillId="0" borderId="90" xfId="0" applyNumberFormat="1" applyFont="1" applyBorder="1"/>
    <xf numFmtId="167" fontId="46" fillId="0" borderId="90" xfId="2" applyFont="1" applyFill="1" applyBorder="1" applyAlignment="1" applyProtection="1"/>
    <xf numFmtId="3" fontId="46" fillId="0" borderId="90" xfId="2" applyNumberFormat="1" applyFont="1" applyFill="1" applyBorder="1" applyAlignment="1" applyProtection="1"/>
    <xf numFmtId="3" fontId="46" fillId="0" borderId="20" xfId="0" applyNumberFormat="1" applyFont="1" applyBorder="1" applyAlignment="1">
      <alignment horizontal="right"/>
    </xf>
    <xf numFmtId="3" fontId="52" fillId="0" borderId="20" xfId="0" applyNumberFormat="1" applyFont="1" applyBorder="1" applyAlignment="1">
      <alignment horizontal="right"/>
    </xf>
    <xf numFmtId="170" fontId="52" fillId="0" borderId="20" xfId="0" applyNumberFormat="1" applyFont="1" applyBorder="1"/>
    <xf numFmtId="0" fontId="46" fillId="0" borderId="121" xfId="0" applyFont="1" applyBorder="1" applyAlignment="1">
      <alignment horizontal="left"/>
    </xf>
    <xf numFmtId="3" fontId="52" fillId="0" borderId="103" xfId="0" applyNumberFormat="1" applyFont="1" applyBorder="1"/>
    <xf numFmtId="166" fontId="52" fillId="0" borderId="104" xfId="0" applyNumberFormat="1" applyFont="1" applyBorder="1" applyAlignment="1">
      <alignment horizontal="center"/>
    </xf>
    <xf numFmtId="37" fontId="52" fillId="0" borderId="20" xfId="0" applyNumberFormat="1" applyFont="1" applyBorder="1"/>
    <xf numFmtId="0" fontId="52" fillId="0" borderId="91" xfId="0" applyFont="1" applyBorder="1"/>
    <xf numFmtId="0" fontId="52" fillId="0" borderId="179" xfId="0" applyFont="1" applyBorder="1"/>
    <xf numFmtId="0" fontId="52" fillId="0" borderId="103" xfId="0" applyFont="1" applyBorder="1"/>
    <xf numFmtId="37" fontId="52" fillId="0" borderId="103" xfId="0" applyNumberFormat="1" applyFont="1" applyBorder="1"/>
    <xf numFmtId="0" fontId="52" fillId="0" borderId="104" xfId="0" applyFont="1" applyBorder="1"/>
    <xf numFmtId="0" fontId="52" fillId="0" borderId="88" xfId="0" applyFont="1" applyBorder="1"/>
    <xf numFmtId="0" fontId="52" fillId="0" borderId="0" xfId="0" applyFont="1"/>
    <xf numFmtId="3" fontId="52" fillId="0" borderId="88" xfId="0" applyNumberFormat="1" applyFont="1" applyBorder="1"/>
    <xf numFmtId="37" fontId="52" fillId="0" borderId="88" xfId="0" applyNumberFormat="1" applyFont="1" applyBorder="1"/>
    <xf numFmtId="0" fontId="44" fillId="0" borderId="0" xfId="0" applyFont="1" applyAlignment="1">
      <alignment horizontal="left"/>
    </xf>
    <xf numFmtId="37" fontId="0" fillId="0" borderId="0" xfId="0" applyNumberFormat="1"/>
    <xf numFmtId="0" fontId="44" fillId="8" borderId="167" xfId="0" applyFont="1" applyFill="1" applyBorder="1" applyAlignment="1">
      <alignment horizontal="center" vertical="center"/>
    </xf>
    <xf numFmtId="0" fontId="44" fillId="8" borderId="103" xfId="0" applyFont="1" applyFill="1" applyBorder="1" applyAlignment="1">
      <alignment horizontal="center" vertical="center"/>
    </xf>
    <xf numFmtId="0" fontId="44" fillId="8" borderId="95" xfId="0" applyFont="1" applyFill="1" applyBorder="1" applyAlignment="1">
      <alignment horizontal="center" vertical="center" wrapText="1"/>
    </xf>
    <xf numFmtId="0" fontId="0" fillId="0" borderId="90" xfId="0" applyBorder="1"/>
    <xf numFmtId="0" fontId="0" fillId="0" borderId="120" xfId="0" applyBorder="1"/>
    <xf numFmtId="0" fontId="10" fillId="0" borderId="20" xfId="0" applyFont="1" applyBorder="1" applyAlignment="1">
      <alignment horizontal="center"/>
    </xf>
    <xf numFmtId="172" fontId="10" fillId="0" borderId="21" xfId="0" applyNumberFormat="1" applyFont="1" applyBorder="1" applyAlignment="1">
      <alignment horizontal="center"/>
    </xf>
    <xf numFmtId="3" fontId="46" fillId="4" borderId="20" xfId="0" applyNumberFormat="1" applyFont="1" applyFill="1" applyBorder="1"/>
    <xf numFmtId="168" fontId="46" fillId="4" borderId="21" xfId="0" applyNumberFormat="1" applyFont="1" applyFill="1" applyBorder="1"/>
    <xf numFmtId="168" fontId="46" fillId="0" borderId="21" xfId="0" applyNumberFormat="1" applyFont="1" applyBorder="1"/>
    <xf numFmtId="0" fontId="46" fillId="4" borderId="90" xfId="0" applyFont="1" applyFill="1" applyBorder="1" applyAlignment="1">
      <alignment horizontal="left"/>
    </xf>
    <xf numFmtId="3" fontId="46" fillId="4" borderId="90" xfId="0" applyNumberFormat="1" applyFont="1" applyFill="1" applyBorder="1"/>
    <xf numFmtId="0" fontId="43" fillId="4" borderId="90" xfId="0" applyFont="1" applyFill="1" applyBorder="1" applyAlignment="1">
      <alignment horizontal="left"/>
    </xf>
    <xf numFmtId="3" fontId="43" fillId="4" borderId="20" xfId="0" applyNumberFormat="1" applyFont="1" applyFill="1" applyBorder="1"/>
    <xf numFmtId="168" fontId="43" fillId="4" borderId="21" xfId="0" applyNumberFormat="1" applyFont="1" applyFill="1" applyBorder="1"/>
    <xf numFmtId="0" fontId="52" fillId="4" borderId="90" xfId="0" applyFont="1" applyFill="1" applyBorder="1"/>
    <xf numFmtId="3" fontId="52" fillId="4" borderId="20" xfId="0" applyNumberFormat="1" applyFont="1" applyFill="1" applyBorder="1"/>
    <xf numFmtId="168" fontId="52" fillId="4" borderId="21" xfId="0" applyNumberFormat="1" applyFont="1" applyFill="1" applyBorder="1"/>
    <xf numFmtId="0" fontId="52" fillId="4" borderId="90" xfId="0" applyFont="1" applyFill="1" applyBorder="1" applyAlignment="1">
      <alignment horizontal="left"/>
    </xf>
    <xf numFmtId="0" fontId="52" fillId="4" borderId="20" xfId="0" applyFont="1" applyFill="1" applyBorder="1" applyAlignment="1">
      <alignment horizontal="left"/>
    </xf>
    <xf numFmtId="0" fontId="46" fillId="4" borderId="20" xfId="0" applyFont="1" applyFill="1" applyBorder="1" applyAlignment="1">
      <alignment horizontal="left"/>
    </xf>
    <xf numFmtId="3" fontId="46" fillId="4" borderId="20" xfId="0" applyNumberFormat="1" applyFont="1" applyFill="1" applyBorder="1" applyAlignment="1">
      <alignment horizontal="right"/>
    </xf>
    <xf numFmtId="165" fontId="46" fillId="4" borderId="20" xfId="0" applyNumberFormat="1" applyFont="1" applyFill="1" applyBorder="1" applyAlignment="1">
      <alignment horizontal="right"/>
    </xf>
    <xf numFmtId="3" fontId="46" fillId="4" borderId="90" xfId="0" applyNumberFormat="1" applyFont="1" applyFill="1" applyBorder="1" applyAlignment="1">
      <alignment horizontal="right"/>
    </xf>
    <xf numFmtId="0" fontId="53" fillId="4" borderId="90" xfId="0" applyFont="1" applyFill="1" applyBorder="1" applyAlignment="1">
      <alignment horizontal="left"/>
    </xf>
    <xf numFmtId="0" fontId="53" fillId="4" borderId="20" xfId="0" applyFont="1" applyFill="1" applyBorder="1" applyAlignment="1">
      <alignment horizontal="left"/>
    </xf>
    <xf numFmtId="3" fontId="43" fillId="6" borderId="20" xfId="0" applyNumberFormat="1" applyFont="1" applyFill="1" applyBorder="1"/>
    <xf numFmtId="0" fontId="46" fillId="4" borderId="121" xfId="0" applyFont="1" applyFill="1" applyBorder="1" applyAlignment="1">
      <alignment horizontal="left"/>
    </xf>
    <xf numFmtId="0" fontId="46" fillId="4" borderId="179" xfId="0" applyFont="1" applyFill="1" applyBorder="1" applyAlignment="1">
      <alignment horizontal="left"/>
    </xf>
    <xf numFmtId="0" fontId="46" fillId="4" borderId="93" xfId="0" applyFont="1" applyFill="1" applyBorder="1" applyAlignment="1">
      <alignment horizontal="left"/>
    </xf>
    <xf numFmtId="165" fontId="46" fillId="4" borderId="93" xfId="0" applyNumberFormat="1" applyFont="1" applyFill="1" applyBorder="1"/>
    <xf numFmtId="176" fontId="46" fillId="4" borderId="93" xfId="0" applyNumberFormat="1" applyFont="1" applyFill="1" applyBorder="1" applyAlignment="1">
      <alignment horizontal="right"/>
    </xf>
    <xf numFmtId="168" fontId="43" fillId="4" borderId="77" xfId="0" applyNumberFormat="1" applyFont="1" applyFill="1" applyBorder="1"/>
    <xf numFmtId="0" fontId="44" fillId="4" borderId="0" xfId="0" applyFont="1" applyFill="1"/>
    <xf numFmtId="0" fontId="10" fillId="4" borderId="0" xfId="0" applyFont="1" applyFill="1"/>
    <xf numFmtId="0" fontId="29" fillId="0" borderId="0" xfId="0" applyFont="1"/>
    <xf numFmtId="0" fontId="44" fillId="8" borderId="189" xfId="0" applyFont="1" applyFill="1" applyBorder="1" applyAlignment="1">
      <alignment horizontal="center" vertical="center" wrapText="1"/>
    </xf>
    <xf numFmtId="0" fontId="44" fillId="8" borderId="93" xfId="0" applyFont="1" applyFill="1" applyBorder="1" applyAlignment="1">
      <alignment horizontal="center" vertical="center" wrapText="1"/>
    </xf>
    <xf numFmtId="0" fontId="54" fillId="5" borderId="90" xfId="0" applyFont="1" applyFill="1" applyBorder="1" applyAlignment="1">
      <alignment horizontal="center" vertical="center" wrapText="1"/>
    </xf>
    <xf numFmtId="0" fontId="54" fillId="5" borderId="20" xfId="0" applyFont="1" applyFill="1" applyBorder="1" applyAlignment="1">
      <alignment horizontal="center" vertical="center" wrapText="1"/>
    </xf>
    <xf numFmtId="0" fontId="54" fillId="4" borderId="20" xfId="0" applyFont="1" applyFill="1" applyBorder="1" applyAlignment="1">
      <alignment horizontal="center"/>
    </xf>
    <xf numFmtId="0" fontId="54" fillId="4" borderId="21" xfId="0" applyFont="1" applyFill="1" applyBorder="1" applyAlignment="1">
      <alignment horizontal="center" vertical="center" wrapText="1"/>
    </xf>
    <xf numFmtId="0" fontId="45" fillId="0" borderId="90" xfId="0" applyFont="1" applyBorder="1" applyAlignment="1">
      <alignment horizontal="center"/>
    </xf>
    <xf numFmtId="0" fontId="43" fillId="0" borderId="20" xfId="0" applyFont="1" applyBorder="1" applyAlignment="1">
      <alignment horizontal="center"/>
    </xf>
    <xf numFmtId="0" fontId="43" fillId="0" borderId="20" xfId="0" applyFont="1" applyBorder="1"/>
    <xf numFmtId="0" fontId="43" fillId="0" borderId="21" xfId="0" applyFont="1" applyBorder="1" applyAlignment="1">
      <alignment horizontal="center"/>
    </xf>
    <xf numFmtId="0" fontId="46" fillId="0" borderId="20" xfId="0" applyFont="1" applyBorder="1"/>
    <xf numFmtId="168" fontId="46" fillId="0" borderId="20" xfId="0" applyNumberFormat="1" applyFont="1" applyBorder="1"/>
    <xf numFmtId="0" fontId="43" fillId="0" borderId="90" xfId="0" applyFont="1" applyBorder="1"/>
    <xf numFmtId="168" fontId="43" fillId="0" borderId="20" xfId="0" applyNumberFormat="1" applyFont="1" applyBorder="1"/>
    <xf numFmtId="166" fontId="43" fillId="0" borderId="21" xfId="0" applyNumberFormat="1" applyFont="1" applyBorder="1" applyAlignment="1">
      <alignment horizontal="center"/>
    </xf>
    <xf numFmtId="168" fontId="52" fillId="0" borderId="20" xfId="0" applyNumberFormat="1" applyFont="1" applyBorder="1"/>
    <xf numFmtId="0" fontId="52" fillId="0" borderId="20" xfId="0" applyFont="1" applyBorder="1" applyAlignment="1">
      <alignment horizontal="center"/>
    </xf>
    <xf numFmtId="0" fontId="45" fillId="0" borderId="121" xfId="0" applyFont="1" applyBorder="1" applyAlignment="1">
      <alignment horizontal="center"/>
    </xf>
    <xf numFmtId="0" fontId="45" fillId="0" borderId="189" xfId="0" applyFont="1" applyBorder="1" applyAlignment="1">
      <alignment horizontal="center"/>
    </xf>
    <xf numFmtId="0" fontId="52" fillId="0" borderId="93" xfId="0" applyFont="1" applyBorder="1" applyAlignment="1">
      <alignment horizontal="center"/>
    </xf>
    <xf numFmtId="168" fontId="52" fillId="0" borderId="93" xfId="0" applyNumberFormat="1" applyFont="1" applyBorder="1"/>
    <xf numFmtId="173" fontId="45" fillId="0" borderId="93" xfId="0" applyNumberFormat="1" applyFont="1" applyBorder="1"/>
    <xf numFmtId="166" fontId="52" fillId="0" borderId="77" xfId="0" applyNumberFormat="1" applyFont="1" applyBorder="1" applyAlignment="1">
      <alignment horizontal="center"/>
    </xf>
    <xf numFmtId="0" fontId="10" fillId="0" borderId="122" xfId="0" applyFont="1" applyBorder="1"/>
    <xf numFmtId="2" fontId="10" fillId="0" borderId="122" xfId="0" applyNumberFormat="1" applyFont="1" applyBorder="1"/>
    <xf numFmtId="0" fontId="0" fillId="0" borderId="122" xfId="0" applyBorder="1" applyAlignment="1">
      <alignment horizontal="center"/>
    </xf>
    <xf numFmtId="0" fontId="46" fillId="0" borderId="14" xfId="0" applyFont="1" applyBorder="1"/>
    <xf numFmtId="3" fontId="46" fillId="0" borderId="14" xfId="0" applyNumberFormat="1" applyFont="1" applyBorder="1"/>
    <xf numFmtId="3" fontId="46" fillId="0" borderId="9" xfId="0" applyNumberFormat="1" applyFont="1" applyBorder="1"/>
    <xf numFmtId="168" fontId="46" fillId="0" borderId="12" xfId="0" applyNumberFormat="1" applyFont="1" applyBorder="1" applyAlignment="1">
      <alignment horizontal="center"/>
    </xf>
    <xf numFmtId="0" fontId="46" fillId="0" borderId="9" xfId="0" applyFont="1" applyBorder="1"/>
    <xf numFmtId="3" fontId="45" fillId="0" borderId="9" xfId="0" applyNumberFormat="1" applyFont="1" applyBorder="1"/>
    <xf numFmtId="168" fontId="45" fillId="0" borderId="12" xfId="0" applyNumberFormat="1" applyFont="1" applyBorder="1" applyAlignment="1">
      <alignment horizontal="center"/>
    </xf>
    <xf numFmtId="0" fontId="52" fillId="0" borderId="14" xfId="0" applyFont="1" applyBorder="1"/>
    <xf numFmtId="3" fontId="52" fillId="0" borderId="9" xfId="0" applyNumberFormat="1" applyFont="1" applyBorder="1"/>
    <xf numFmtId="168" fontId="52" fillId="0" borderId="12" xfId="0" applyNumberFormat="1" applyFont="1" applyBorder="1" applyAlignment="1">
      <alignment horizontal="center"/>
    </xf>
    <xf numFmtId="0" fontId="46" fillId="0" borderId="14" xfId="0" applyFont="1" applyBorder="1" applyAlignment="1">
      <alignment horizontal="center" vertical="center"/>
    </xf>
    <xf numFmtId="3" fontId="46" fillId="0" borderId="9" xfId="0" applyNumberFormat="1" applyFont="1" applyBorder="1" applyAlignment="1">
      <alignment vertical="center"/>
    </xf>
    <xf numFmtId="168" fontId="46" fillId="0" borderId="12" xfId="0" applyNumberFormat="1" applyFont="1" applyBorder="1" applyAlignment="1">
      <alignment horizontal="center" vertical="center"/>
    </xf>
    <xf numFmtId="0" fontId="45" fillId="0" borderId="14" xfId="0" applyFont="1" applyBorder="1"/>
    <xf numFmtId="3" fontId="45" fillId="0" borderId="11" xfId="0" applyNumberFormat="1" applyFont="1" applyBorder="1"/>
    <xf numFmtId="3" fontId="45" fillId="0" borderId="8" xfId="0" applyNumberFormat="1" applyFont="1" applyBorder="1"/>
    <xf numFmtId="168" fontId="45" fillId="0" borderId="13" xfId="0" applyNumberFormat="1" applyFont="1" applyBorder="1" applyAlignment="1">
      <alignment horizontal="center"/>
    </xf>
    <xf numFmtId="3" fontId="46" fillId="0" borderId="9" xfId="0" applyNumberFormat="1" applyFont="1" applyBorder="1" applyAlignment="1">
      <alignment horizontal="center"/>
    </xf>
    <xf numFmtId="0" fontId="43" fillId="0" borderId="14" xfId="0" applyFont="1" applyBorder="1"/>
    <xf numFmtId="0" fontId="53" fillId="0" borderId="9" xfId="0" applyFont="1" applyBorder="1"/>
    <xf numFmtId="3" fontId="43" fillId="0" borderId="9" xfId="0" applyNumberFormat="1" applyFont="1" applyBorder="1"/>
    <xf numFmtId="168" fontId="43" fillId="0" borderId="12" xfId="0" applyNumberFormat="1" applyFont="1" applyBorder="1" applyAlignment="1">
      <alignment horizontal="center"/>
    </xf>
    <xf numFmtId="0" fontId="29" fillId="0" borderId="123" xfId="0" applyFont="1" applyBorder="1"/>
    <xf numFmtId="0" fontId="29" fillId="0" borderId="124" xfId="0" applyFont="1" applyBorder="1"/>
    <xf numFmtId="3" fontId="3" fillId="0" borderId="124" xfId="0" applyNumberFormat="1" applyFont="1" applyBorder="1"/>
    <xf numFmtId="3" fontId="2" fillId="0" borderId="124" xfId="0" applyNumberFormat="1" applyFont="1" applyBorder="1"/>
    <xf numFmtId="168" fontId="3" fillId="0" borderId="125" xfId="0" applyNumberFormat="1" applyFont="1" applyBorder="1" applyAlignment="1">
      <alignment horizontal="center"/>
    </xf>
    <xf numFmtId="0" fontId="0" fillId="0" borderId="126" xfId="0" applyBorder="1" applyAlignment="1">
      <alignment horizontal="center"/>
    </xf>
    <xf numFmtId="0" fontId="44" fillId="8" borderId="130" xfId="0" applyFont="1" applyFill="1" applyBorder="1" applyAlignment="1">
      <alignment horizontal="center" vertical="center"/>
    </xf>
    <xf numFmtId="3" fontId="44" fillId="8" borderId="130" xfId="0" applyNumberFormat="1" applyFont="1" applyFill="1" applyBorder="1" applyAlignment="1">
      <alignment horizontal="center"/>
    </xf>
    <xf numFmtId="3" fontId="10" fillId="0" borderId="132" xfId="0" applyNumberFormat="1" applyFont="1" applyBorder="1" applyAlignment="1">
      <alignment horizontal="left" vertical="center"/>
    </xf>
    <xf numFmtId="3" fontId="10" fillId="0" borderId="128" xfId="0" applyNumberFormat="1" applyFont="1" applyBorder="1" applyAlignment="1">
      <alignment horizontal="left" vertical="center"/>
    </xf>
    <xf numFmtId="3" fontId="10" fillId="0" borderId="128" xfId="0" applyNumberFormat="1" applyFont="1" applyBorder="1" applyAlignment="1">
      <alignment vertical="center"/>
    </xf>
    <xf numFmtId="168" fontId="10" fillId="0" borderId="133" xfId="0" applyNumberFormat="1" applyFont="1" applyBorder="1" applyAlignment="1">
      <alignment vertical="center"/>
    </xf>
    <xf numFmtId="3" fontId="10" fillId="0" borderId="54" xfId="0" applyNumberFormat="1" applyFont="1" applyBorder="1" applyAlignment="1">
      <alignment horizontal="left"/>
    </xf>
    <xf numFmtId="3" fontId="10" fillId="0" borderId="23" xfId="0" applyNumberFormat="1" applyFont="1" applyBorder="1" applyAlignment="1">
      <alignment horizontal="left"/>
    </xf>
    <xf numFmtId="3" fontId="10" fillId="0" borderId="23" xfId="0" applyNumberFormat="1" applyFont="1" applyBorder="1"/>
    <xf numFmtId="168" fontId="10" fillId="0" borderId="30" xfId="0" applyNumberFormat="1" applyFont="1" applyBorder="1"/>
    <xf numFmtId="3" fontId="0" fillId="0" borderId="54" xfId="0" applyNumberFormat="1" applyBorder="1" applyAlignment="1">
      <alignment horizontal="left"/>
    </xf>
    <xf numFmtId="3" fontId="0" fillId="0" borderId="23" xfId="0" applyNumberFormat="1" applyBorder="1" applyAlignment="1">
      <alignment horizontal="left"/>
    </xf>
    <xf numFmtId="3" fontId="0" fillId="0" borderId="23" xfId="0" applyNumberFormat="1" applyBorder="1"/>
    <xf numFmtId="168" fontId="0" fillId="0" borderId="30" xfId="0" applyNumberFormat="1" applyBorder="1"/>
    <xf numFmtId="0" fontId="0" fillId="0" borderId="159" xfId="0" applyBorder="1"/>
    <xf numFmtId="3" fontId="10" fillId="0" borderId="134" xfId="0" applyNumberFormat="1" applyFont="1" applyBorder="1" applyAlignment="1">
      <alignment horizontal="left" vertical="center"/>
    </xf>
    <xf numFmtId="3" fontId="10" fillId="0" borderId="50" xfId="0" applyNumberFormat="1" applyFont="1" applyBorder="1" applyAlignment="1">
      <alignment horizontal="left" vertical="center"/>
    </xf>
    <xf numFmtId="3" fontId="10" fillId="0" borderId="50" xfId="0" applyNumberFormat="1" applyFont="1" applyBorder="1" applyAlignment="1">
      <alignment vertical="center"/>
    </xf>
    <xf numFmtId="3" fontId="10" fillId="0" borderId="160" xfId="0" applyNumberFormat="1" applyFont="1" applyBorder="1" applyAlignment="1">
      <alignment vertical="center"/>
    </xf>
    <xf numFmtId="166" fontId="10" fillId="0" borderId="51" xfId="0" applyNumberFormat="1" applyFont="1" applyBorder="1" applyAlignment="1">
      <alignment vertical="center"/>
    </xf>
    <xf numFmtId="166" fontId="0" fillId="0" borderId="30" xfId="0" applyNumberFormat="1" applyBorder="1"/>
    <xf numFmtId="3" fontId="0" fillId="0" borderId="54" xfId="0" applyNumberFormat="1" applyBorder="1"/>
    <xf numFmtId="3" fontId="0" fillId="0" borderId="54" xfId="0" applyNumberFormat="1" applyBorder="1" applyAlignment="1">
      <alignment horizontal="left" vertical="center" wrapText="1"/>
    </xf>
    <xf numFmtId="3" fontId="0" fillId="0" borderId="23" xfId="0" applyNumberFormat="1" applyBorder="1" applyAlignment="1">
      <alignment vertical="center" wrapText="1"/>
    </xf>
    <xf numFmtId="0" fontId="0" fillId="0" borderId="0" xfId="0" applyAlignment="1">
      <alignment horizontal="left"/>
    </xf>
    <xf numFmtId="166" fontId="10" fillId="0" borderId="129" xfId="0" applyNumberFormat="1" applyFont="1" applyBorder="1" applyAlignment="1">
      <alignment vertical="center"/>
    </xf>
    <xf numFmtId="3" fontId="10" fillId="0" borderId="58" xfId="0" applyNumberFormat="1" applyFont="1" applyBorder="1" applyAlignment="1">
      <alignment horizontal="left" vertical="center"/>
    </xf>
    <xf numFmtId="3" fontId="10" fillId="0" borderId="63" xfId="0" applyNumberFormat="1" applyFont="1" applyBorder="1" applyAlignment="1">
      <alignment vertical="center"/>
    </xf>
    <xf numFmtId="166" fontId="10" fillId="0" borderId="61" xfId="0" applyNumberFormat="1" applyFont="1" applyBorder="1" applyAlignment="1">
      <alignment vertical="center"/>
    </xf>
    <xf numFmtId="3" fontId="0" fillId="0" borderId="135" xfId="0" applyNumberFormat="1" applyBorder="1"/>
    <xf numFmtId="0" fontId="0" fillId="0" borderId="54" xfId="0" applyBorder="1"/>
    <xf numFmtId="0" fontId="0" fillId="0" borderId="130" xfId="0" applyBorder="1"/>
    <xf numFmtId="0" fontId="0" fillId="0" borderId="23" xfId="0" applyBorder="1"/>
    <xf numFmtId="0" fontId="0" fillId="0" borderId="30" xfId="0" applyBorder="1"/>
    <xf numFmtId="3" fontId="10" fillId="0" borderId="63" xfId="0" applyNumberFormat="1" applyFont="1" applyBorder="1" applyAlignment="1">
      <alignment horizontal="left" vertical="center"/>
    </xf>
    <xf numFmtId="3" fontId="0" fillId="0" borderId="44" xfId="0" applyNumberFormat="1" applyBorder="1" applyAlignment="1">
      <alignment horizontal="left"/>
    </xf>
    <xf numFmtId="3" fontId="46" fillId="0" borderId="38" xfId="0" applyNumberFormat="1" applyFont="1" applyBorder="1" applyAlignment="1">
      <alignment horizontal="left" vertical="center"/>
    </xf>
    <xf numFmtId="3" fontId="46" fillId="0" borderId="38" xfId="0" applyNumberFormat="1" applyFont="1" applyBorder="1" applyAlignment="1">
      <alignment vertical="center"/>
    </xf>
    <xf numFmtId="166" fontId="46" fillId="0" borderId="52" xfId="0" applyNumberFormat="1" applyFont="1" applyBorder="1" applyAlignment="1">
      <alignment vertical="center"/>
    </xf>
    <xf numFmtId="3" fontId="0" fillId="0" borderId="0" xfId="0" applyNumberFormat="1" applyAlignment="1">
      <alignment horizontal="left"/>
    </xf>
    <xf numFmtId="3" fontId="46" fillId="0" borderId="0" xfId="0" applyNumberFormat="1" applyFont="1" applyAlignment="1">
      <alignment horizontal="left" vertical="center"/>
    </xf>
    <xf numFmtId="3" fontId="46" fillId="0" borderId="0" xfId="0" applyNumberFormat="1" applyFont="1" applyAlignment="1">
      <alignment vertical="center"/>
    </xf>
    <xf numFmtId="166" fontId="46" fillId="0" borderId="0" xfId="0" applyNumberFormat="1" applyFont="1" applyAlignment="1">
      <alignment vertical="center"/>
    </xf>
    <xf numFmtId="0" fontId="44" fillId="8" borderId="11" xfId="0" applyFont="1" applyFill="1" applyBorder="1" applyAlignment="1">
      <alignment horizontal="center" vertical="center" wrapText="1"/>
    </xf>
    <xf numFmtId="0" fontId="35" fillId="5" borderId="14" xfId="0" applyFont="1" applyFill="1" applyBorder="1" applyAlignment="1">
      <alignment horizontal="center" vertical="center" wrapText="1"/>
    </xf>
    <xf numFmtId="0" fontId="35" fillId="5" borderId="9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44" fillId="0" borderId="14" xfId="0" applyFont="1" applyBorder="1"/>
    <xf numFmtId="0" fontId="10" fillId="0" borderId="9" xfId="0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right" vertical="center"/>
    </xf>
    <xf numFmtId="3" fontId="10" fillId="0" borderId="22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vertical="center"/>
    </xf>
    <xf numFmtId="166" fontId="10" fillId="0" borderId="12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3" fontId="55" fillId="0" borderId="9" xfId="0" applyNumberFormat="1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6" fillId="0" borderId="14" xfId="0" applyFont="1" applyBorder="1" applyAlignment="1">
      <alignment horizontal="center"/>
    </xf>
    <xf numFmtId="0" fontId="44" fillId="0" borderId="9" xfId="0" applyFont="1" applyBorder="1" applyAlignment="1">
      <alignment horizontal="center" vertical="center"/>
    </xf>
    <xf numFmtId="171" fontId="10" fillId="0" borderId="9" xfId="0" applyNumberFormat="1" applyFont="1" applyBorder="1" applyAlignment="1">
      <alignment vertical="center"/>
    </xf>
    <xf numFmtId="171" fontId="10" fillId="0" borderId="22" xfId="0" applyNumberFormat="1" applyFont="1" applyBorder="1" applyAlignment="1">
      <alignment vertical="center"/>
    </xf>
    <xf numFmtId="0" fontId="35" fillId="0" borderId="9" xfId="0" applyFont="1" applyBorder="1"/>
    <xf numFmtId="171" fontId="0" fillId="0" borderId="9" xfId="0" applyNumberFormat="1" applyBorder="1"/>
    <xf numFmtId="171" fontId="0" fillId="0" borderId="22" xfId="0" applyNumberFormat="1" applyBorder="1"/>
    <xf numFmtId="0" fontId="0" fillId="0" borderId="9" xfId="0" applyBorder="1" applyAlignment="1">
      <alignment horizontal="center"/>
    </xf>
    <xf numFmtId="3" fontId="0" fillId="0" borderId="9" xfId="0" applyNumberFormat="1" applyBorder="1"/>
    <xf numFmtId="166" fontId="0" fillId="0" borderId="12" xfId="0" applyNumberFormat="1" applyBorder="1"/>
    <xf numFmtId="0" fontId="0" fillId="0" borderId="14" xfId="0" applyBorder="1" applyAlignment="1">
      <alignment horizontal="right"/>
    </xf>
    <xf numFmtId="166" fontId="0" fillId="0" borderId="12" xfId="0" applyNumberFormat="1" applyBorder="1" applyAlignment="1">
      <alignment horizontal="right"/>
    </xf>
    <xf numFmtId="0" fontId="35" fillId="0" borderId="9" xfId="0" applyFont="1" applyBorder="1" applyAlignment="1">
      <alignment horizontal="left"/>
    </xf>
    <xf numFmtId="0" fontId="10" fillId="0" borderId="14" xfId="0" applyFont="1" applyBorder="1" applyAlignment="1">
      <alignment horizontal="right"/>
    </xf>
    <xf numFmtId="49" fontId="0" fillId="0" borderId="14" xfId="0" applyNumberFormat="1" applyBorder="1" applyAlignment="1">
      <alignment horizontal="right"/>
    </xf>
    <xf numFmtId="4" fontId="0" fillId="0" borderId="9" xfId="0" applyNumberFormat="1" applyBorder="1"/>
    <xf numFmtId="49" fontId="10" fillId="0" borderId="14" xfId="0" applyNumberFormat="1" applyFont="1" applyBorder="1" applyAlignment="1">
      <alignment horizontal="right"/>
    </xf>
    <xf numFmtId="49" fontId="56" fillId="0" borderId="14" xfId="0" applyNumberFormat="1" applyFont="1" applyBorder="1" applyAlignment="1">
      <alignment horizontal="center"/>
    </xf>
    <xf numFmtId="49" fontId="10" fillId="0" borderId="73" xfId="0" applyNumberFormat="1" applyFont="1" applyBorder="1" applyAlignment="1">
      <alignment horizontal="right"/>
    </xf>
    <xf numFmtId="0" fontId="35" fillId="0" borderId="74" xfId="0" applyFont="1" applyBorder="1"/>
    <xf numFmtId="3" fontId="0" fillId="0" borderId="74" xfId="0" applyNumberFormat="1" applyBorder="1"/>
    <xf numFmtId="3" fontId="0" fillId="0" borderId="76" xfId="0" applyNumberFormat="1" applyBorder="1"/>
    <xf numFmtId="0" fontId="0" fillId="0" borderId="75" xfId="0" applyBorder="1"/>
    <xf numFmtId="49" fontId="10" fillId="0" borderId="0" xfId="0" applyNumberFormat="1" applyFont="1" applyAlignment="1">
      <alignment horizontal="right"/>
    </xf>
    <xf numFmtId="3" fontId="3" fillId="0" borderId="0" xfId="0" applyNumberFormat="1" applyFont="1"/>
    <xf numFmtId="49" fontId="57" fillId="0" borderId="0" xfId="0" applyNumberFormat="1" applyFont="1"/>
    <xf numFmtId="3" fontId="2" fillId="0" borderId="0" xfId="0" applyNumberFormat="1" applyFont="1"/>
    <xf numFmtId="37" fontId="2" fillId="0" borderId="0" xfId="0" applyNumberFormat="1" applyFont="1" applyAlignment="1">
      <alignment horizontal="right"/>
    </xf>
    <xf numFmtId="0" fontId="3" fillId="0" borderId="0" xfId="0" applyFont="1"/>
    <xf numFmtId="0" fontId="58" fillId="0" borderId="0" xfId="0" applyFont="1"/>
    <xf numFmtId="0" fontId="10" fillId="7" borderId="82" xfId="0" applyFont="1" applyFill="1" applyBorder="1" applyAlignment="1">
      <alignment horizontal="center" vertical="center" wrapText="1"/>
    </xf>
    <xf numFmtId="0" fontId="10" fillId="7" borderId="46" xfId="0" applyFont="1" applyFill="1" applyBorder="1" applyAlignment="1">
      <alignment horizontal="center" vertical="center" wrapText="1"/>
    </xf>
    <xf numFmtId="0" fontId="10" fillId="7" borderId="190" xfId="0" applyFont="1" applyFill="1" applyBorder="1" applyAlignment="1">
      <alignment horizontal="center" vertical="center"/>
    </xf>
    <xf numFmtId="0" fontId="10" fillId="7" borderId="191" xfId="0" applyFont="1" applyFill="1" applyBorder="1" applyAlignment="1">
      <alignment horizontal="center" vertical="center" wrapText="1"/>
    </xf>
    <xf numFmtId="0" fontId="10" fillId="7" borderId="192" xfId="0" applyFont="1" applyFill="1" applyBorder="1" applyAlignment="1">
      <alignment horizontal="center" vertical="center" wrapText="1"/>
    </xf>
    <xf numFmtId="0" fontId="10" fillId="0" borderId="79" xfId="0" applyFont="1" applyBorder="1" applyAlignment="1">
      <alignment horizontal="center" vertical="center"/>
    </xf>
    <xf numFmtId="3" fontId="29" fillId="0" borderId="80" xfId="0" applyNumberFormat="1" applyFont="1" applyBorder="1"/>
    <xf numFmtId="3" fontId="29" fillId="0" borderId="82" xfId="0" applyNumberFormat="1" applyFont="1" applyBorder="1"/>
    <xf numFmtId="3" fontId="29" fillId="0" borderId="46" xfId="0" applyNumberFormat="1" applyFont="1" applyBorder="1"/>
    <xf numFmtId="166" fontId="29" fillId="0" borderId="81" xfId="0" applyNumberFormat="1" applyFont="1" applyBorder="1"/>
    <xf numFmtId="3" fontId="58" fillId="0" borderId="9" xfId="0" applyNumberFormat="1" applyFont="1" applyBorder="1"/>
    <xf numFmtId="3" fontId="58" fillId="0" borderId="31" xfId="0" applyNumberFormat="1" applyFont="1" applyBorder="1"/>
    <xf numFmtId="3" fontId="58" fillId="0" borderId="0" xfId="0" applyNumberFormat="1" applyFont="1"/>
    <xf numFmtId="166" fontId="58" fillId="0" borderId="26" xfId="0" applyNumberFormat="1" applyFont="1" applyBorder="1"/>
    <xf numFmtId="0" fontId="0" fillId="0" borderId="14" xfId="0" applyBorder="1" applyAlignment="1">
      <alignment horizontal="left" vertical="center" wrapText="1"/>
    </xf>
    <xf numFmtId="3" fontId="58" fillId="0" borderId="9" xfId="0" applyNumberFormat="1" applyFont="1" applyBorder="1" applyAlignment="1">
      <alignment vertical="center"/>
    </xf>
    <xf numFmtId="3" fontId="58" fillId="0" borderId="31" xfId="0" applyNumberFormat="1" applyFont="1" applyBorder="1" applyAlignment="1">
      <alignment vertical="center"/>
    </xf>
    <xf numFmtId="3" fontId="58" fillId="0" borderId="0" xfId="0" applyNumberFormat="1" applyFont="1" applyAlignment="1">
      <alignment vertical="center"/>
    </xf>
    <xf numFmtId="166" fontId="58" fillId="0" borderId="26" xfId="0" applyNumberFormat="1" applyFont="1" applyBorder="1" applyAlignment="1">
      <alignment vertical="center"/>
    </xf>
    <xf numFmtId="0" fontId="0" fillId="0" borderId="0" xfId="0" applyAlignment="1">
      <alignment horizontal="left" wrapText="1"/>
    </xf>
    <xf numFmtId="166" fontId="58" fillId="0" borderId="78" xfId="0" applyNumberFormat="1" applyFont="1" applyBorder="1"/>
    <xf numFmtId="166" fontId="58" fillId="0" borderId="78" xfId="0" applyNumberFormat="1" applyFont="1" applyBorder="1" applyAlignment="1">
      <alignment vertical="center"/>
    </xf>
    <xf numFmtId="0" fontId="10" fillId="0" borderId="83" xfId="0" applyFont="1" applyBorder="1" applyAlignment="1">
      <alignment horizontal="center" vertical="center"/>
    </xf>
    <xf numFmtId="3" fontId="29" fillId="4" borderId="84" xfId="0" applyNumberFormat="1" applyFont="1" applyFill="1" applyBorder="1"/>
    <xf numFmtId="3" fontId="29" fillId="4" borderId="82" xfId="0" applyNumberFormat="1" applyFont="1" applyFill="1" applyBorder="1"/>
    <xf numFmtId="0" fontId="0" fillId="0" borderId="14" xfId="0" applyBorder="1" applyAlignment="1">
      <alignment wrapText="1"/>
    </xf>
    <xf numFmtId="3" fontId="58" fillId="4" borderId="9" xfId="0" applyNumberFormat="1" applyFont="1" applyFill="1" applyBorder="1"/>
    <xf numFmtId="3" fontId="58" fillId="4" borderId="31" xfId="0" applyNumberFormat="1" applyFont="1" applyFill="1" applyBorder="1"/>
    <xf numFmtId="3" fontId="58" fillId="4" borderId="0" xfId="0" applyNumberFormat="1" applyFont="1" applyFill="1"/>
    <xf numFmtId="0" fontId="0" fillId="0" borderId="14" xfId="0" applyBorder="1" applyAlignment="1">
      <alignment horizontal="left" vertical="center"/>
    </xf>
    <xf numFmtId="3" fontId="58" fillId="0" borderId="166" xfId="0" applyNumberFormat="1" applyFont="1" applyBorder="1"/>
    <xf numFmtId="0" fontId="0" fillId="0" borderId="14" xfId="0" applyBorder="1" applyAlignment="1">
      <alignment vertical="center"/>
    </xf>
    <xf numFmtId="0" fontId="0" fillId="0" borderId="56" xfId="0" applyBorder="1" applyAlignment="1">
      <alignment horizontal="left" vertical="center" wrapText="1"/>
    </xf>
    <xf numFmtId="3" fontId="58" fillId="4" borderId="57" xfId="0" applyNumberFormat="1" applyFont="1" applyFill="1" applyBorder="1"/>
    <xf numFmtId="3" fontId="58" fillId="0" borderId="156" xfId="0" applyNumberFormat="1" applyFont="1" applyBorder="1"/>
    <xf numFmtId="3" fontId="58" fillId="0" borderId="42" xfId="0" applyNumberFormat="1" applyFont="1" applyBorder="1"/>
    <xf numFmtId="0" fontId="10" fillId="0" borderId="85" xfId="0" applyFont="1" applyBorder="1" applyAlignment="1">
      <alignment horizontal="center" vertical="center"/>
    </xf>
    <xf numFmtId="3" fontId="29" fillId="0" borderId="89" xfId="0" applyNumberFormat="1" applyFont="1" applyBorder="1"/>
    <xf numFmtId="3" fontId="29" fillId="0" borderId="147" xfId="0" applyNumberFormat="1" applyFont="1" applyBorder="1"/>
    <xf numFmtId="0" fontId="44" fillId="0" borderId="0" xfId="0" applyFont="1" applyAlignment="1">
      <alignment horizontal="left" vertical="center" wrapText="1"/>
    </xf>
    <xf numFmtId="0" fontId="54" fillId="0" borderId="0" xfId="0" applyFont="1"/>
    <xf numFmtId="0" fontId="10" fillId="7" borderId="20" xfId="0" applyFont="1" applyFill="1" applyBorder="1" applyAlignment="1">
      <alignment horizontal="center" vertical="center"/>
    </xf>
    <xf numFmtId="3" fontId="45" fillId="0" borderId="137" xfId="0" applyNumberFormat="1" applyFont="1" applyBorder="1" applyAlignment="1">
      <alignment horizontal="left"/>
    </xf>
    <xf numFmtId="3" fontId="45" fillId="0" borderId="136" xfId="0" applyNumberFormat="1" applyFont="1" applyBorder="1" applyAlignment="1">
      <alignment horizontal="left"/>
    </xf>
    <xf numFmtId="3" fontId="45" fillId="0" borderId="136" xfId="0" applyNumberFormat="1" applyFont="1" applyBorder="1"/>
    <xf numFmtId="3" fontId="45" fillId="0" borderId="167" xfId="0" applyNumberFormat="1" applyFont="1" applyBorder="1"/>
    <xf numFmtId="3" fontId="45" fillId="0" borderId="136" xfId="0" applyNumberFormat="1" applyFont="1" applyBorder="1" applyAlignment="1">
      <alignment horizontal="center"/>
    </xf>
    <xf numFmtId="166" fontId="45" fillId="0" borderId="138" xfId="0" applyNumberFormat="1" applyFont="1" applyBorder="1"/>
    <xf numFmtId="3" fontId="45" fillId="0" borderId="90" xfId="0" applyNumberFormat="1" applyFont="1" applyBorder="1" applyAlignment="1">
      <alignment horizontal="left"/>
    </xf>
    <xf numFmtId="3" fontId="45" fillId="0" borderId="20" xfId="0" applyNumberFormat="1" applyFont="1" applyBorder="1" applyAlignment="1">
      <alignment horizontal="left"/>
    </xf>
    <xf numFmtId="3" fontId="45" fillId="0" borderId="20" xfId="0" applyNumberFormat="1" applyFont="1" applyBorder="1"/>
    <xf numFmtId="3" fontId="59" fillId="0" borderId="20" xfId="0" applyNumberFormat="1" applyFont="1" applyBorder="1"/>
    <xf numFmtId="3" fontId="59" fillId="0" borderId="20" xfId="0" applyNumberFormat="1" applyFont="1" applyBorder="1" applyAlignment="1">
      <alignment horizontal="center"/>
    </xf>
    <xf numFmtId="166" fontId="59" fillId="0" borderId="21" xfId="0" applyNumberFormat="1" applyFont="1" applyBorder="1"/>
    <xf numFmtId="49" fontId="59" fillId="0" borderId="90" xfId="0" applyNumberFormat="1" applyFont="1" applyBorder="1" applyAlignment="1">
      <alignment horizontal="left"/>
    </xf>
    <xf numFmtId="3" fontId="59" fillId="0" borderId="20" xfId="0" applyNumberFormat="1" applyFont="1" applyBorder="1" applyAlignment="1">
      <alignment horizontal="left"/>
    </xf>
    <xf numFmtId="49" fontId="45" fillId="0" borderId="90" xfId="0" applyNumberFormat="1" applyFont="1" applyBorder="1" applyAlignment="1">
      <alignment horizontal="left"/>
    </xf>
    <xf numFmtId="3" fontId="45" fillId="0" borderId="20" xfId="0" applyNumberFormat="1" applyFont="1" applyBorder="1" applyAlignment="1">
      <alignment horizontal="center"/>
    </xf>
    <xf numFmtId="166" fontId="45" fillId="0" borderId="21" xfId="0" applyNumberFormat="1" applyFont="1" applyBorder="1"/>
    <xf numFmtId="49" fontId="60" fillId="0" borderId="90" xfId="0" applyNumberFormat="1" applyFont="1" applyBorder="1" applyAlignment="1">
      <alignment horizontal="left"/>
    </xf>
    <xf numFmtId="3" fontId="60" fillId="0" borderId="20" xfId="0" applyNumberFormat="1" applyFont="1" applyBorder="1"/>
    <xf numFmtId="3" fontId="61" fillId="0" borderId="20" xfId="0" applyNumberFormat="1" applyFont="1" applyBorder="1"/>
    <xf numFmtId="3" fontId="60" fillId="0" borderId="20" xfId="0" applyNumberFormat="1" applyFont="1" applyBorder="1" applyAlignment="1">
      <alignment horizontal="center"/>
    </xf>
    <xf numFmtId="166" fontId="60" fillId="0" borderId="21" xfId="0" applyNumberFormat="1" applyFont="1" applyBorder="1"/>
    <xf numFmtId="3" fontId="45" fillId="0" borderId="97" xfId="0" applyNumberFormat="1" applyFont="1" applyBorder="1" applyAlignment="1">
      <alignment horizontal="left"/>
    </xf>
    <xf numFmtId="3" fontId="45" fillId="0" borderId="98" xfId="0" applyNumberFormat="1" applyFont="1" applyBorder="1" applyAlignment="1">
      <alignment horizontal="left"/>
    </xf>
    <xf numFmtId="3" fontId="45" fillId="0" borderId="98" xfId="0" applyNumberFormat="1" applyFont="1" applyBorder="1"/>
    <xf numFmtId="3" fontId="45" fillId="0" borderId="98" xfId="0" applyNumberFormat="1" applyFont="1" applyBorder="1" applyAlignment="1">
      <alignment horizontal="center"/>
    </xf>
    <xf numFmtId="166" fontId="45" fillId="0" borderId="99" xfId="0" applyNumberFormat="1" applyFont="1" applyBorder="1"/>
    <xf numFmtId="3" fontId="59" fillId="0" borderId="90" xfId="0" applyNumberFormat="1" applyFont="1" applyBorder="1" applyAlignment="1">
      <alignment horizontal="left"/>
    </xf>
    <xf numFmtId="3" fontId="59" fillId="0" borderId="90" xfId="0" applyNumberFormat="1" applyFont="1" applyBorder="1"/>
    <xf numFmtId="3" fontId="61" fillId="0" borderId="90" xfId="0" applyNumberFormat="1" applyFont="1" applyBorder="1"/>
    <xf numFmtId="3" fontId="59" fillId="0" borderId="20" xfId="0" applyNumberFormat="1" applyFont="1" applyBorder="1" applyAlignment="1">
      <alignment vertical="center"/>
    </xf>
    <xf numFmtId="3" fontId="61" fillId="0" borderId="90" xfId="0" applyNumberFormat="1" applyFont="1" applyBorder="1" applyAlignment="1">
      <alignment horizontal="left"/>
    </xf>
    <xf numFmtId="3" fontId="45" fillId="0" borderId="139" xfId="0" applyNumberFormat="1" applyFont="1" applyBorder="1" applyAlignment="1">
      <alignment horizontal="left"/>
    </xf>
    <xf numFmtId="3" fontId="45" fillId="0" borderId="140" xfId="0" applyNumberFormat="1" applyFont="1" applyBorder="1" applyAlignment="1">
      <alignment horizontal="left"/>
    </xf>
    <xf numFmtId="3" fontId="45" fillId="0" borderId="140" xfId="0" applyNumberFormat="1" applyFont="1" applyBorder="1"/>
    <xf numFmtId="3" fontId="45" fillId="0" borderId="140" xfId="0" applyNumberFormat="1" applyFont="1" applyBorder="1" applyAlignment="1">
      <alignment horizontal="center"/>
    </xf>
    <xf numFmtId="166" fontId="45" fillId="0" borderId="141" xfId="0" applyNumberFormat="1" applyFont="1" applyBorder="1"/>
    <xf numFmtId="3" fontId="60" fillId="0" borderId="90" xfId="0" applyNumberFormat="1" applyFont="1" applyBorder="1" applyAlignment="1">
      <alignment horizontal="left"/>
    </xf>
    <xf numFmtId="3" fontId="60" fillId="0" borderId="137" xfId="0" applyNumberFormat="1" applyFont="1" applyBorder="1" applyAlignment="1">
      <alignment horizontal="left"/>
    </xf>
    <xf numFmtId="3" fontId="45" fillId="0" borderId="136" xfId="0" applyNumberFormat="1" applyFont="1" applyBorder="1" applyAlignment="1">
      <alignment horizontal="center" vertical="center"/>
    </xf>
    <xf numFmtId="3" fontId="45" fillId="0" borderId="136" xfId="0" applyNumberFormat="1" applyFont="1" applyBorder="1" applyAlignment="1">
      <alignment vertical="center"/>
    </xf>
    <xf numFmtId="166" fontId="45" fillId="0" borderId="138" xfId="0" applyNumberFormat="1" applyFont="1" applyBorder="1" applyAlignment="1">
      <alignment vertical="center"/>
    </xf>
    <xf numFmtId="169" fontId="35" fillId="0" borderId="0" xfId="0" applyNumberFormat="1" applyFont="1" applyAlignment="1">
      <alignment horizontal="left"/>
    </xf>
    <xf numFmtId="169" fontId="13" fillId="0" borderId="0" xfId="0" applyNumberFormat="1" applyFont="1" applyAlignment="1">
      <alignment horizontal="left"/>
    </xf>
    <xf numFmtId="174" fontId="44" fillId="0" borderId="0" xfId="0" applyNumberFormat="1" applyFont="1"/>
    <xf numFmtId="166" fontId="62" fillId="0" borderId="0" xfId="0" applyNumberFormat="1" applyFont="1" applyAlignment="1">
      <alignment horizontal="right"/>
    </xf>
    <xf numFmtId="4" fontId="44" fillId="0" borderId="0" xfId="0" applyNumberFormat="1" applyFont="1"/>
    <xf numFmtId="0" fontId="59" fillId="0" borderId="0" xfId="0" applyFont="1"/>
    <xf numFmtId="0" fontId="0" fillId="0" borderId="72" xfId="0" applyBorder="1"/>
    <xf numFmtId="0" fontId="44" fillId="8" borderId="36" xfId="0" applyFont="1" applyFill="1" applyBorder="1" applyAlignment="1">
      <alignment horizontal="center" vertical="center" wrapText="1"/>
    </xf>
    <xf numFmtId="0" fontId="44" fillId="8" borderId="36" xfId="0" applyFont="1" applyFill="1" applyBorder="1" applyAlignment="1">
      <alignment horizontal="center" vertical="center"/>
    </xf>
    <xf numFmtId="0" fontId="44" fillId="8" borderId="37" xfId="0" applyFont="1" applyFill="1" applyBorder="1" applyAlignment="1">
      <alignment horizontal="center" vertical="center"/>
    </xf>
    <xf numFmtId="0" fontId="44" fillId="0" borderId="42" xfId="0" applyFont="1" applyBorder="1" applyAlignment="1">
      <alignment horizontal="center"/>
    </xf>
    <xf numFmtId="0" fontId="44" fillId="0" borderId="31" xfId="0" applyFont="1" applyBorder="1"/>
    <xf numFmtId="0" fontId="44" fillId="0" borderId="31" xfId="0" applyFont="1" applyBorder="1" applyAlignment="1">
      <alignment horizontal="left"/>
    </xf>
    <xf numFmtId="0" fontId="44" fillId="0" borderId="31" xfId="0" applyFont="1" applyBorder="1" applyAlignment="1">
      <alignment horizontal="center"/>
    </xf>
    <xf numFmtId="0" fontId="0" fillId="0" borderId="53" xfId="0" applyBorder="1"/>
    <xf numFmtId="0" fontId="46" fillId="0" borderId="42" xfId="0" applyFont="1" applyBorder="1" applyAlignment="1">
      <alignment horizontal="center"/>
    </xf>
    <xf numFmtId="0" fontId="46" fillId="0" borderId="31" xfId="0" applyFont="1" applyBorder="1"/>
    <xf numFmtId="3" fontId="46" fillId="0" borderId="31" xfId="0" applyNumberFormat="1" applyFont="1" applyBorder="1"/>
    <xf numFmtId="165" fontId="46" fillId="0" borderId="31" xfId="0" applyNumberFormat="1" applyFont="1" applyBorder="1"/>
    <xf numFmtId="166" fontId="46" fillId="0" borderId="32" xfId="0" applyNumberFormat="1" applyFont="1" applyBorder="1"/>
    <xf numFmtId="0" fontId="43" fillId="0" borderId="42" xfId="0" applyFont="1" applyBorder="1" applyAlignment="1">
      <alignment horizontal="left"/>
    </xf>
    <xf numFmtId="0" fontId="43" fillId="0" borderId="31" xfId="0" applyFont="1" applyBorder="1"/>
    <xf numFmtId="3" fontId="43" fillId="0" borderId="31" xfId="0" applyNumberFormat="1" applyFont="1" applyBorder="1"/>
    <xf numFmtId="165" fontId="43" fillId="0" borderId="31" xfId="0" applyNumberFormat="1" applyFont="1" applyBorder="1"/>
    <xf numFmtId="166" fontId="43" fillId="0" borderId="32" xfId="0" applyNumberFormat="1" applyFont="1" applyBorder="1"/>
    <xf numFmtId="0" fontId="52" fillId="0" borderId="42" xfId="0" applyFont="1" applyBorder="1" applyAlignment="1">
      <alignment horizontal="left"/>
    </xf>
    <xf numFmtId="0" fontId="52" fillId="0" borderId="31" xfId="0" applyFont="1" applyBorder="1" applyAlignment="1">
      <alignment horizontal="center"/>
    </xf>
    <xf numFmtId="3" fontId="52" fillId="0" borderId="31" xfId="0" applyNumberFormat="1" applyFont="1" applyBorder="1"/>
    <xf numFmtId="165" fontId="52" fillId="0" borderId="31" xfId="0" applyNumberFormat="1" applyFont="1" applyBorder="1" applyAlignment="1">
      <alignment horizontal="right"/>
    </xf>
    <xf numFmtId="166" fontId="52" fillId="0" borderId="32" xfId="0" applyNumberFormat="1" applyFont="1" applyBorder="1"/>
    <xf numFmtId="0" fontId="52" fillId="0" borderId="42" xfId="0" applyFont="1" applyBorder="1"/>
    <xf numFmtId="165" fontId="52" fillId="0" borderId="31" xfId="0" applyNumberFormat="1" applyFont="1" applyBorder="1"/>
    <xf numFmtId="0" fontId="43" fillId="0" borderId="42" xfId="0" applyFont="1" applyBorder="1"/>
    <xf numFmtId="0" fontId="43" fillId="0" borderId="31" xfId="0" applyFont="1" applyBorder="1" applyAlignment="1">
      <alignment horizontal="center"/>
    </xf>
    <xf numFmtId="165" fontId="43" fillId="0" borderId="31" xfId="0" applyNumberFormat="1" applyFont="1" applyBorder="1" applyAlignment="1">
      <alignment horizontal="right"/>
    </xf>
    <xf numFmtId="0" fontId="46" fillId="0" borderId="31" xfId="0" applyFont="1" applyBorder="1" applyAlignment="1">
      <alignment horizontal="center"/>
    </xf>
    <xf numFmtId="3" fontId="46" fillId="0" borderId="31" xfId="0" applyNumberFormat="1" applyFont="1" applyBorder="1" applyAlignment="1">
      <alignment horizontal="right"/>
    </xf>
    <xf numFmtId="165" fontId="46" fillId="0" borderId="31" xfId="0" applyNumberFormat="1" applyFont="1" applyBorder="1" applyAlignment="1">
      <alignment horizontal="right"/>
    </xf>
    <xf numFmtId="0" fontId="46" fillId="0" borderId="42" xfId="0" applyFont="1" applyBorder="1" applyAlignment="1">
      <alignment horizontal="center" vertical="center" wrapText="1"/>
    </xf>
    <xf numFmtId="3" fontId="43" fillId="4" borderId="31" xfId="0" applyNumberFormat="1" applyFont="1" applyFill="1" applyBorder="1"/>
    <xf numFmtId="37" fontId="43" fillId="0" borderId="31" xfId="0" applyNumberFormat="1" applyFont="1" applyBorder="1"/>
    <xf numFmtId="0" fontId="43" fillId="0" borderId="117" xfId="0" applyFont="1" applyBorder="1"/>
    <xf numFmtId="0" fontId="43" fillId="0" borderId="33" xfId="0" applyFont="1" applyBorder="1" applyAlignment="1">
      <alignment horizontal="center"/>
    </xf>
    <xf numFmtId="3" fontId="52" fillId="0" borderId="33" xfId="0" applyNumberFormat="1" applyFont="1" applyBorder="1"/>
    <xf numFmtId="3" fontId="43" fillId="0" borderId="33" xfId="0" applyNumberFormat="1" applyFont="1" applyBorder="1"/>
    <xf numFmtId="37" fontId="43" fillId="0" borderId="33" xfId="0" applyNumberFormat="1" applyFont="1" applyBorder="1"/>
    <xf numFmtId="166" fontId="43" fillId="0" borderId="34" xfId="0" applyNumberFormat="1" applyFont="1" applyBorder="1"/>
    <xf numFmtId="3" fontId="52" fillId="0" borderId="43" xfId="0" applyNumberFormat="1" applyFont="1" applyBorder="1"/>
    <xf numFmtId="3" fontId="52" fillId="0" borderId="0" xfId="0" applyNumberFormat="1" applyFont="1"/>
    <xf numFmtId="0" fontId="44" fillId="8" borderId="93" xfId="0" applyFont="1" applyFill="1" applyBorder="1" applyAlignment="1">
      <alignment horizontal="center" vertical="center"/>
    </xf>
    <xf numFmtId="0" fontId="44" fillId="8" borderId="8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/>
    </xf>
    <xf numFmtId="0" fontId="44" fillId="8" borderId="209" xfId="0" applyFont="1" applyFill="1" applyBorder="1" applyAlignment="1">
      <alignment horizontal="center" vertical="center"/>
    </xf>
    <xf numFmtId="0" fontId="44" fillId="8" borderId="212" xfId="0" applyFont="1" applyFill="1" applyBorder="1" applyAlignment="1">
      <alignment horizontal="center" vertical="center"/>
    </xf>
    <xf numFmtId="0" fontId="44" fillId="8" borderId="202" xfId="0" applyFont="1" applyFill="1" applyBorder="1" applyAlignment="1">
      <alignment horizontal="center" vertical="center"/>
    </xf>
    <xf numFmtId="0" fontId="44" fillId="8" borderId="213" xfId="0" applyFont="1" applyFill="1" applyBorder="1" applyAlignment="1">
      <alignment horizontal="center" vertical="center"/>
    </xf>
    <xf numFmtId="0" fontId="44" fillId="8" borderId="203" xfId="0" applyFont="1" applyFill="1" applyBorder="1" applyAlignment="1">
      <alignment horizontal="center" vertical="center" wrapText="1"/>
    </xf>
    <xf numFmtId="0" fontId="10" fillId="7" borderId="93" xfId="0" applyFont="1" applyFill="1" applyBorder="1" applyAlignment="1">
      <alignment horizontal="center" vertical="center" wrapText="1"/>
    </xf>
    <xf numFmtId="0" fontId="10" fillId="7" borderId="93" xfId="0" applyFont="1" applyFill="1" applyBorder="1" applyAlignment="1">
      <alignment horizontal="center" vertical="center"/>
    </xf>
    <xf numFmtId="0" fontId="10" fillId="7" borderId="179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8" borderId="143" xfId="0" applyFont="1" applyFill="1" applyBorder="1" applyAlignment="1">
      <alignment horizontal="center" vertical="center"/>
    </xf>
    <xf numFmtId="0" fontId="44" fillId="8" borderId="144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4" fillId="8" borderId="106" xfId="0" applyFont="1" applyFill="1" applyBorder="1" applyAlignment="1">
      <alignment horizontal="center" vertical="center" wrapText="1"/>
    </xf>
    <xf numFmtId="0" fontId="44" fillId="8" borderId="107" xfId="0" applyFont="1" applyFill="1" applyBorder="1" applyAlignment="1">
      <alignment horizontal="center" vertical="center" wrapText="1"/>
    </xf>
    <xf numFmtId="0" fontId="44" fillId="8" borderId="102" xfId="0" applyFont="1" applyFill="1" applyBorder="1" applyAlignment="1">
      <alignment horizontal="center" vertical="center"/>
    </xf>
    <xf numFmtId="0" fontId="44" fillId="8" borderId="105" xfId="0" applyFont="1" applyFill="1" applyBorder="1" applyAlignment="1">
      <alignment horizontal="center" vertical="center"/>
    </xf>
    <xf numFmtId="0" fontId="44" fillId="8" borderId="180" xfId="0" applyFont="1" applyFill="1" applyBorder="1" applyAlignment="1">
      <alignment horizontal="center" vertical="center"/>
    </xf>
    <xf numFmtId="0" fontId="44" fillId="8" borderId="178" xfId="0" applyFont="1" applyFill="1" applyBorder="1" applyAlignment="1">
      <alignment horizontal="center" vertical="center"/>
    </xf>
    <xf numFmtId="0" fontId="44" fillId="8" borderId="181" xfId="0" applyFont="1" applyFill="1" applyBorder="1" applyAlignment="1">
      <alignment horizontal="center" vertical="center"/>
    </xf>
    <xf numFmtId="0" fontId="45" fillId="0" borderId="42" xfId="0" applyFont="1" applyBorder="1" applyAlignment="1">
      <alignment horizontal="center"/>
    </xf>
    <xf numFmtId="0" fontId="45" fillId="0" borderId="31" xfId="0" applyFont="1" applyBorder="1" applyAlignment="1">
      <alignment horizontal="center"/>
    </xf>
    <xf numFmtId="0" fontId="45" fillId="0" borderId="32" xfId="0" applyFont="1" applyBorder="1" applyAlignment="1">
      <alignment horizontal="center"/>
    </xf>
    <xf numFmtId="0" fontId="44" fillId="8" borderId="113" xfId="0" applyFont="1" applyFill="1" applyBorder="1" applyAlignment="1">
      <alignment horizontal="center" vertical="center" wrapText="1"/>
    </xf>
    <xf numFmtId="0" fontId="44" fillId="8" borderId="116" xfId="0" applyFont="1" applyFill="1" applyBorder="1" applyAlignment="1">
      <alignment horizontal="center" vertical="center" wrapText="1"/>
    </xf>
    <xf numFmtId="0" fontId="44" fillId="8" borderId="114" xfId="0" applyFont="1" applyFill="1" applyBorder="1" applyAlignment="1">
      <alignment horizontal="center" vertical="center" wrapText="1"/>
    </xf>
    <xf numFmtId="0" fontId="44" fillId="8" borderId="36" xfId="0" applyFont="1" applyFill="1" applyBorder="1" applyAlignment="1">
      <alignment horizontal="center" vertical="center" wrapText="1"/>
    </xf>
    <xf numFmtId="0" fontId="44" fillId="8" borderId="115" xfId="0" applyFont="1" applyFill="1" applyBorder="1" applyAlignment="1">
      <alignment horizontal="center"/>
    </xf>
    <xf numFmtId="0" fontId="44" fillId="8" borderId="35" xfId="0" applyFont="1" applyFill="1" applyBorder="1" applyAlignment="1">
      <alignment horizontal="center"/>
    </xf>
    <xf numFmtId="0" fontId="44" fillId="8" borderId="182" xfId="0" applyFont="1" applyFill="1" applyBorder="1" applyAlignment="1">
      <alignment horizontal="center"/>
    </xf>
    <xf numFmtId="0" fontId="44" fillId="8" borderId="183" xfId="0" applyFont="1" applyFill="1" applyBorder="1" applyAlignment="1">
      <alignment horizontal="center"/>
    </xf>
    <xf numFmtId="0" fontId="44" fillId="8" borderId="184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44" fillId="8" borderId="118" xfId="0" applyFont="1" applyFill="1" applyBorder="1" applyAlignment="1">
      <alignment horizontal="center" vertical="center"/>
    </xf>
    <xf numFmtId="0" fontId="44" fillId="8" borderId="119" xfId="0" applyFont="1" applyFill="1" applyBorder="1" applyAlignment="1">
      <alignment horizontal="center" vertical="center"/>
    </xf>
    <xf numFmtId="0" fontId="44" fillId="8" borderId="101" xfId="0" applyFont="1" applyFill="1" applyBorder="1" applyAlignment="1">
      <alignment horizontal="center" vertical="center" wrapText="1"/>
    </xf>
    <xf numFmtId="0" fontId="44" fillId="8" borderId="96" xfId="0" applyFont="1" applyFill="1" applyBorder="1" applyAlignment="1">
      <alignment horizontal="center" vertical="center" wrapText="1"/>
    </xf>
    <xf numFmtId="0" fontId="44" fillId="8" borderId="186" xfId="0" applyFont="1" applyFill="1" applyBorder="1" applyAlignment="1">
      <alignment horizontal="center" vertical="center"/>
    </xf>
    <xf numFmtId="0" fontId="44" fillId="8" borderId="187" xfId="0" applyFont="1" applyFill="1" applyBorder="1" applyAlignment="1">
      <alignment horizontal="center" vertical="center"/>
    </xf>
    <xf numFmtId="0" fontId="44" fillId="8" borderId="188" xfId="0" applyFont="1" applyFill="1" applyBorder="1" applyAlignment="1">
      <alignment horizontal="center" vertical="center"/>
    </xf>
    <xf numFmtId="0" fontId="44" fillId="8" borderId="100" xfId="0" applyFont="1" applyFill="1" applyBorder="1" applyAlignment="1">
      <alignment horizontal="center" vertical="center" wrapText="1"/>
    </xf>
    <xf numFmtId="0" fontId="44" fillId="8" borderId="185" xfId="0" applyFont="1" applyFill="1" applyBorder="1" applyAlignment="1">
      <alignment horizontal="center" vertical="center" wrapText="1"/>
    </xf>
    <xf numFmtId="0" fontId="44" fillId="8" borderId="94" xfId="0" applyFont="1" applyFill="1" applyBorder="1" applyAlignment="1">
      <alignment horizontal="center" vertical="center" wrapText="1"/>
    </xf>
    <xf numFmtId="0" fontId="44" fillId="8" borderId="208" xfId="0" applyFont="1" applyFill="1" applyBorder="1" applyAlignment="1">
      <alignment horizontal="center" vertical="center" wrapText="1"/>
    </xf>
    <xf numFmtId="0" fontId="44" fillId="8" borderId="77" xfId="0" applyFont="1" applyFill="1" applyBorder="1" applyAlignment="1">
      <alignment horizontal="center" vertical="center" wrapText="1"/>
    </xf>
    <xf numFmtId="0" fontId="44" fillId="8" borderId="186" xfId="0" applyFont="1" applyFill="1" applyBorder="1" applyAlignment="1">
      <alignment horizontal="center" vertical="center" wrapText="1"/>
    </xf>
    <xf numFmtId="0" fontId="44" fillId="8" borderId="187" xfId="0" applyFont="1" applyFill="1" applyBorder="1" applyAlignment="1">
      <alignment horizontal="center" vertical="center" wrapText="1"/>
    </xf>
    <xf numFmtId="0" fontId="44" fillId="8" borderId="18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4" fillId="8" borderId="70" xfId="0" applyFont="1" applyFill="1" applyBorder="1" applyAlignment="1">
      <alignment horizontal="center" vertical="center" wrapText="1"/>
    </xf>
    <xf numFmtId="0" fontId="44" fillId="8" borderId="163" xfId="0" applyFont="1" applyFill="1" applyBorder="1" applyAlignment="1">
      <alignment horizontal="center" vertical="center" wrapText="1"/>
    </xf>
    <xf numFmtId="0" fontId="44" fillId="8" borderId="71" xfId="0" applyFont="1" applyFill="1" applyBorder="1" applyAlignment="1">
      <alignment horizontal="center" vertical="center" wrapText="1"/>
    </xf>
    <xf numFmtId="0" fontId="44" fillId="8" borderId="13" xfId="0" applyFont="1" applyFill="1" applyBorder="1" applyAlignment="1">
      <alignment horizontal="center" vertical="center" wrapText="1"/>
    </xf>
    <xf numFmtId="0" fontId="44" fillId="8" borderId="18" xfId="0" applyFont="1" applyFill="1" applyBorder="1" applyAlignment="1">
      <alignment horizontal="center" vertical="center" wrapText="1"/>
    </xf>
    <xf numFmtId="0" fontId="44" fillId="8" borderId="210" xfId="0" applyFont="1" applyFill="1" applyBorder="1" applyAlignment="1">
      <alignment horizontal="center" vertical="center"/>
    </xf>
    <xf numFmtId="0" fontId="44" fillId="8" borderId="183" xfId="0" applyFont="1" applyFill="1" applyBorder="1" applyAlignment="1">
      <alignment horizontal="center" vertical="center"/>
    </xf>
    <xf numFmtId="0" fontId="44" fillId="8" borderId="211" xfId="0" applyFont="1" applyFill="1" applyBorder="1" applyAlignment="1">
      <alignment horizontal="center" vertical="center"/>
    </xf>
    <xf numFmtId="3" fontId="44" fillId="8" borderId="199" xfId="0" applyNumberFormat="1" applyFont="1" applyFill="1" applyBorder="1" applyAlignment="1">
      <alignment horizontal="center" vertical="center" wrapText="1"/>
    </xf>
    <xf numFmtId="3" fontId="44" fillId="8" borderId="23" xfId="0" applyNumberFormat="1" applyFont="1" applyFill="1" applyBorder="1" applyAlignment="1">
      <alignment horizontal="center" vertical="center" wrapText="1"/>
    </xf>
    <xf numFmtId="3" fontId="44" fillId="8" borderId="200" xfId="0" applyNumberFormat="1" applyFont="1" applyFill="1" applyBorder="1" applyAlignment="1">
      <alignment horizontal="center" vertical="center" wrapText="1"/>
    </xf>
    <xf numFmtId="0" fontId="44" fillId="0" borderId="0" xfId="0" applyFont="1"/>
    <xf numFmtId="0" fontId="35" fillId="0" borderId="151" xfId="0" applyFont="1" applyBorder="1" applyAlignment="1">
      <alignment horizontal="center"/>
    </xf>
    <xf numFmtId="3" fontId="44" fillId="8" borderId="135" xfId="0" applyNumberFormat="1" applyFont="1" applyFill="1" applyBorder="1" applyAlignment="1">
      <alignment horizontal="center" vertical="center" wrapText="1"/>
    </xf>
    <xf numFmtId="3" fontId="44" fillId="8" borderId="152" xfId="0" applyNumberFormat="1" applyFont="1" applyFill="1" applyBorder="1" applyAlignment="1">
      <alignment horizontal="center" vertical="center" wrapText="1"/>
    </xf>
    <xf numFmtId="49" fontId="44" fillId="8" borderId="131" xfId="0" applyNumberFormat="1" applyFont="1" applyFill="1" applyBorder="1" applyAlignment="1">
      <alignment horizontal="center" vertical="center" wrapText="1"/>
    </xf>
    <xf numFmtId="49" fontId="44" fillId="8" borderId="30" xfId="0" applyNumberFormat="1" applyFont="1" applyFill="1" applyBorder="1" applyAlignment="1">
      <alignment horizontal="center" vertical="center" wrapText="1"/>
    </xf>
    <xf numFmtId="49" fontId="44" fillId="8" borderId="148" xfId="0" applyNumberFormat="1" applyFont="1" applyFill="1" applyBorder="1" applyAlignment="1">
      <alignment horizontal="center" vertical="center" wrapText="1"/>
    </xf>
    <xf numFmtId="0" fontId="44" fillId="8" borderId="127" xfId="0" applyFont="1" applyFill="1" applyBorder="1" applyAlignment="1">
      <alignment horizontal="center" vertical="center"/>
    </xf>
    <xf numFmtId="0" fontId="44" fillId="8" borderId="54" xfId="0" applyFont="1" applyFill="1" applyBorder="1" applyAlignment="1">
      <alignment horizontal="center" vertical="center"/>
    </xf>
    <xf numFmtId="0" fontId="44" fillId="8" borderId="149" xfId="0" applyFont="1" applyFill="1" applyBorder="1" applyAlignment="1">
      <alignment horizontal="center" vertical="center"/>
    </xf>
    <xf numFmtId="0" fontId="44" fillId="8" borderId="135" xfId="0" applyFont="1" applyFill="1" applyBorder="1" applyAlignment="1">
      <alignment horizontal="center" vertical="center"/>
    </xf>
    <xf numFmtId="0" fontId="44" fillId="8" borderId="23" xfId="0" applyFont="1" applyFill="1" applyBorder="1" applyAlignment="1">
      <alignment horizontal="center" vertical="center"/>
    </xf>
    <xf numFmtId="0" fontId="44" fillId="8" borderId="152" xfId="0" applyFont="1" applyFill="1" applyBorder="1" applyAlignment="1">
      <alignment horizontal="center" vertical="center"/>
    </xf>
    <xf numFmtId="169" fontId="44" fillId="8" borderId="131" xfId="0" applyNumberFormat="1" applyFont="1" applyFill="1" applyBorder="1" applyAlignment="1">
      <alignment horizontal="center" vertical="center" wrapText="1"/>
    </xf>
    <xf numFmtId="169" fontId="44" fillId="8" borderId="150" xfId="0" applyNumberFormat="1" applyFont="1" applyFill="1" applyBorder="1" applyAlignment="1">
      <alignment horizontal="center" vertical="center" wrapText="1"/>
    </xf>
    <xf numFmtId="169" fontId="44" fillId="8" borderId="127" xfId="0" applyNumberFormat="1" applyFont="1" applyFill="1" applyBorder="1" applyAlignment="1">
      <alignment horizontal="center" vertical="center" wrapText="1"/>
    </xf>
    <xf numFmtId="169" fontId="44" fillId="8" borderId="148" xfId="0" applyNumberFormat="1" applyFont="1" applyFill="1" applyBorder="1" applyAlignment="1">
      <alignment horizontal="center" vertical="center" wrapText="1"/>
    </xf>
    <xf numFmtId="169" fontId="44" fillId="8" borderId="151" xfId="0" applyNumberFormat="1" applyFont="1" applyFill="1" applyBorder="1" applyAlignment="1">
      <alignment horizontal="center" vertical="center" wrapText="1"/>
    </xf>
    <xf numFmtId="169" fontId="44" fillId="8" borderId="149" xfId="0" applyNumberFormat="1" applyFont="1" applyFill="1" applyBorder="1" applyAlignment="1">
      <alignment horizontal="center" vertical="center" wrapText="1"/>
    </xf>
    <xf numFmtId="3" fontId="44" fillId="8" borderId="172" xfId="0" applyNumberFormat="1" applyFont="1" applyFill="1" applyBorder="1" applyAlignment="1">
      <alignment horizontal="center" vertical="center" wrapText="1"/>
    </xf>
    <xf numFmtId="3" fontId="44" fillId="8" borderId="173" xfId="0" applyNumberFormat="1" applyFont="1" applyFill="1" applyBorder="1" applyAlignment="1">
      <alignment horizontal="center" vertical="center" wrapText="1"/>
    </xf>
    <xf numFmtId="3" fontId="44" fillId="8" borderId="30" xfId="0" applyNumberFormat="1" applyFont="1" applyFill="1" applyBorder="1" applyAlignment="1">
      <alignment horizontal="center" vertical="center" wrapText="1"/>
    </xf>
    <xf numFmtId="3" fontId="44" fillId="8" borderId="54" xfId="0" applyNumberFormat="1" applyFont="1" applyFill="1" applyBorder="1" applyAlignment="1">
      <alignment horizontal="center" vertical="center" wrapText="1"/>
    </xf>
    <xf numFmtId="3" fontId="44" fillId="8" borderId="174" xfId="0" applyNumberFormat="1" applyFont="1" applyFill="1" applyBorder="1" applyAlignment="1">
      <alignment horizontal="center" vertical="center" wrapText="1"/>
    </xf>
    <xf numFmtId="3" fontId="44" fillId="8" borderId="175" xfId="0" applyNumberFormat="1" applyFont="1" applyFill="1" applyBorder="1" applyAlignment="1">
      <alignment horizontal="center" vertical="center" wrapText="1"/>
    </xf>
    <xf numFmtId="169" fontId="44" fillId="8" borderId="66" xfId="0" applyNumberFormat="1" applyFont="1" applyFill="1" applyBorder="1" applyAlignment="1">
      <alignment horizontal="center" vertical="center" wrapText="1"/>
    </xf>
    <xf numFmtId="169" fontId="44" fillId="8" borderId="158" xfId="0" applyNumberFormat="1" applyFont="1" applyFill="1" applyBorder="1" applyAlignment="1">
      <alignment horizontal="center" vertical="center" wrapText="1"/>
    </xf>
    <xf numFmtId="3" fontId="44" fillId="8" borderId="66" xfId="0" applyNumberFormat="1" applyFont="1" applyFill="1" applyBorder="1" applyAlignment="1">
      <alignment horizontal="center" vertical="center" wrapText="1"/>
    </xf>
    <xf numFmtId="3" fontId="44" fillId="8" borderId="158" xfId="0" applyNumberFormat="1" applyFont="1" applyFill="1" applyBorder="1" applyAlignment="1">
      <alignment horizontal="center" vertical="center" wrapText="1"/>
    </xf>
    <xf numFmtId="3" fontId="44" fillId="8" borderId="157" xfId="0" applyNumberFormat="1" applyFont="1" applyFill="1" applyBorder="1" applyAlignment="1">
      <alignment horizontal="center" vertical="center" wrapText="1"/>
    </xf>
    <xf numFmtId="3" fontId="44" fillId="8" borderId="161" xfId="0" applyNumberFormat="1" applyFont="1" applyFill="1" applyBorder="1" applyAlignment="1">
      <alignment horizontal="center" vertical="center" wrapText="1"/>
    </xf>
    <xf numFmtId="49" fontId="44" fillId="8" borderId="67" xfId="0" applyNumberFormat="1" applyFont="1" applyFill="1" applyBorder="1" applyAlignment="1">
      <alignment horizontal="center" vertical="center" wrapText="1"/>
    </xf>
    <xf numFmtId="49" fontId="44" fillId="8" borderId="162" xfId="0" applyNumberFormat="1" applyFont="1" applyFill="1" applyBorder="1" applyAlignment="1">
      <alignment horizontal="center" vertical="center" wrapText="1"/>
    </xf>
    <xf numFmtId="49" fontId="44" fillId="8" borderId="165" xfId="0" applyNumberFormat="1" applyFont="1" applyFill="1" applyBorder="1" applyAlignment="1">
      <alignment horizontal="center" vertical="center" wrapText="1"/>
    </xf>
    <xf numFmtId="0" fontId="44" fillId="8" borderId="64" xfId="0" applyFont="1" applyFill="1" applyBorder="1" applyAlignment="1">
      <alignment horizontal="center" vertical="center"/>
    </xf>
    <xf numFmtId="0" fontId="44" fillId="8" borderId="9" xfId="0" applyFont="1" applyFill="1" applyBorder="1" applyAlignment="1">
      <alignment horizontal="center" vertical="center"/>
    </xf>
    <xf numFmtId="0" fontId="44" fillId="8" borderId="11" xfId="0" applyFont="1" applyFill="1" applyBorder="1" applyAlignment="1">
      <alignment horizontal="center" vertical="center"/>
    </xf>
    <xf numFmtId="0" fontId="44" fillId="8" borderId="65" xfId="0" applyFont="1" applyFill="1" applyBorder="1" applyAlignment="1">
      <alignment horizontal="center" vertical="center"/>
    </xf>
    <xf numFmtId="0" fontId="44" fillId="8" borderId="14" xfId="0" applyFont="1" applyFill="1" applyBorder="1" applyAlignment="1">
      <alignment horizontal="center" vertical="center"/>
    </xf>
    <xf numFmtId="0" fontId="44" fillId="8" borderId="163" xfId="0" applyFont="1" applyFill="1" applyBorder="1" applyAlignment="1">
      <alignment horizontal="center" vertical="center"/>
    </xf>
    <xf numFmtId="3" fontId="44" fillId="8" borderId="64" xfId="0" applyNumberFormat="1" applyFont="1" applyFill="1" applyBorder="1" applyAlignment="1">
      <alignment horizontal="center" vertical="center" wrapText="1"/>
    </xf>
    <xf numFmtId="3" fontId="44" fillId="8" borderId="9" xfId="0" applyNumberFormat="1" applyFont="1" applyFill="1" applyBorder="1" applyAlignment="1">
      <alignment horizontal="center" vertical="center" wrapText="1"/>
    </xf>
    <xf numFmtId="3" fontId="44" fillId="8" borderId="11" xfId="0" applyNumberFormat="1" applyFont="1" applyFill="1" applyBorder="1" applyAlignment="1">
      <alignment horizontal="center" vertical="center" wrapText="1"/>
    </xf>
    <xf numFmtId="3" fontId="44" fillId="8" borderId="171" xfId="0" applyNumberFormat="1" applyFont="1" applyFill="1" applyBorder="1" applyAlignment="1">
      <alignment horizontal="center" vertical="center" wrapText="1"/>
    </xf>
    <xf numFmtId="3" fontId="44" fillId="8" borderId="65" xfId="0" applyNumberFormat="1" applyFont="1" applyFill="1" applyBorder="1" applyAlignment="1">
      <alignment horizontal="center" vertical="center" wrapText="1"/>
    </xf>
    <xf numFmtId="3" fontId="44" fillId="8" borderId="12" xfId="0" applyNumberFormat="1" applyFont="1" applyFill="1" applyBorder="1" applyAlignment="1">
      <alignment horizontal="center" vertical="center" wrapText="1"/>
    </xf>
    <xf numFmtId="3" fontId="44" fillId="8" borderId="14" xfId="0" applyNumberFormat="1" applyFont="1" applyFill="1" applyBorder="1" applyAlignment="1">
      <alignment horizontal="center" vertical="center" wrapText="1"/>
    </xf>
    <xf numFmtId="3" fontId="44" fillId="8" borderId="17" xfId="0" applyNumberFormat="1" applyFont="1" applyFill="1" applyBorder="1" applyAlignment="1">
      <alignment horizontal="center" vertical="center" wrapText="1"/>
    </xf>
    <xf numFmtId="3" fontId="44" fillId="8" borderId="163" xfId="0" applyNumberFormat="1" applyFont="1" applyFill="1" applyBorder="1" applyAlignment="1">
      <alignment horizontal="center" vertical="center" wrapText="1"/>
    </xf>
    <xf numFmtId="0" fontId="44" fillId="8" borderId="198" xfId="0" applyFont="1" applyFill="1" applyBorder="1" applyAlignment="1">
      <alignment horizontal="center" vertical="center" wrapText="1"/>
    </xf>
    <xf numFmtId="0" fontId="44" fillId="8" borderId="203" xfId="0" applyFont="1" applyFill="1" applyBorder="1" applyAlignment="1">
      <alignment horizontal="center" vertical="center" wrapText="1"/>
    </xf>
    <xf numFmtId="0" fontId="44" fillId="8" borderId="207" xfId="0" applyFont="1" applyFill="1" applyBorder="1" applyAlignment="1">
      <alignment horizontal="center" vertical="center" wrapText="1"/>
    </xf>
    <xf numFmtId="0" fontId="44" fillId="8" borderId="11" xfId="0" applyFont="1" applyFill="1" applyBorder="1" applyAlignment="1">
      <alignment horizontal="center" vertical="center" wrapText="1"/>
    </xf>
    <xf numFmtId="0" fontId="44" fillId="8" borderId="87" xfId="0" applyFont="1" applyFill="1" applyBorder="1" applyAlignment="1">
      <alignment horizontal="center" vertical="center" wrapText="1"/>
    </xf>
    <xf numFmtId="0" fontId="44" fillId="8" borderId="17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4" fillId="8" borderId="168" xfId="0" applyFont="1" applyFill="1" applyBorder="1" applyAlignment="1">
      <alignment horizontal="center" vertical="center" wrapText="1"/>
    </xf>
    <xf numFmtId="0" fontId="44" fillId="8" borderId="86" xfId="0" applyFont="1" applyFill="1" applyBorder="1" applyAlignment="1">
      <alignment horizontal="center" vertical="center" wrapText="1"/>
    </xf>
    <xf numFmtId="0" fontId="44" fillId="8" borderId="204" xfId="0" applyFont="1" applyFill="1" applyBorder="1" applyAlignment="1">
      <alignment horizontal="center" vertical="center"/>
    </xf>
    <xf numFmtId="0" fontId="44" fillId="8" borderId="205" xfId="0" applyFont="1" applyFill="1" applyBorder="1" applyAlignment="1">
      <alignment horizontal="center" vertical="center"/>
    </xf>
    <xf numFmtId="0" fontId="44" fillId="8" borderId="206" xfId="0" applyFont="1" applyFill="1" applyBorder="1" applyAlignment="1">
      <alignment horizontal="center" vertical="center"/>
    </xf>
    <xf numFmtId="0" fontId="10" fillId="7" borderId="170" xfId="0" applyFont="1" applyFill="1" applyBorder="1" applyAlignment="1">
      <alignment horizontal="center" vertical="center"/>
    </xf>
    <xf numFmtId="0" fontId="10" fillId="7" borderId="192" xfId="0" applyFont="1" applyFill="1" applyBorder="1" applyAlignment="1">
      <alignment horizontal="center" vertical="center"/>
    </xf>
    <xf numFmtId="0" fontId="10" fillId="7" borderId="193" xfId="0" applyFont="1" applyFill="1" applyBorder="1" applyAlignment="1">
      <alignment horizontal="center" vertical="center"/>
    </xf>
    <xf numFmtId="0" fontId="10" fillId="7" borderId="194" xfId="0" applyFont="1" applyFill="1" applyBorder="1" applyAlignment="1">
      <alignment horizontal="center" vertical="center" wrapText="1"/>
    </xf>
    <xf numFmtId="0" fontId="10" fillId="7" borderId="195" xfId="0" applyFont="1" applyFill="1" applyBorder="1" applyAlignment="1">
      <alignment horizontal="center" vertical="center" wrapText="1"/>
    </xf>
    <xf numFmtId="0" fontId="10" fillId="7" borderId="196" xfId="0" applyFont="1" applyFill="1" applyBorder="1" applyAlignment="1">
      <alignment horizontal="center" vertical="center" wrapText="1"/>
    </xf>
    <xf numFmtId="0" fontId="10" fillId="7" borderId="197" xfId="0" applyFont="1" applyFill="1" applyBorder="1" applyAlignment="1">
      <alignment horizontal="center" vertical="center" wrapText="1"/>
    </xf>
    <xf numFmtId="0" fontId="10" fillId="7" borderId="169" xfId="0" applyFont="1" applyFill="1" applyBorder="1" applyAlignment="1">
      <alignment horizontal="center" vertical="center"/>
    </xf>
    <xf numFmtId="0" fontId="10" fillId="7" borderId="153" xfId="0" applyFont="1" applyFill="1" applyBorder="1" applyAlignment="1">
      <alignment horizontal="center" vertical="center"/>
    </xf>
    <xf numFmtId="0" fontId="10" fillId="7" borderId="176" xfId="0" applyFont="1" applyFill="1" applyBorder="1" applyAlignment="1">
      <alignment horizontal="center" vertical="center" wrapText="1"/>
    </xf>
    <xf numFmtId="0" fontId="10" fillId="7" borderId="88" xfId="0" applyFont="1" applyFill="1" applyBorder="1" applyAlignment="1">
      <alignment horizontal="center" vertical="center" wrapText="1"/>
    </xf>
    <xf numFmtId="0" fontId="10" fillId="7" borderId="177" xfId="0" applyFont="1" applyFill="1" applyBorder="1" applyAlignment="1">
      <alignment horizontal="center" vertical="center" wrapText="1"/>
    </xf>
    <xf numFmtId="0" fontId="10" fillId="7" borderId="77" xfId="0" applyFont="1" applyFill="1" applyBorder="1" applyAlignment="1">
      <alignment horizontal="center" vertical="center" wrapText="1"/>
    </xf>
    <xf numFmtId="0" fontId="10" fillId="7" borderId="142" xfId="0" applyFont="1" applyFill="1" applyBorder="1" applyAlignment="1">
      <alignment horizontal="center" vertical="center" wrapText="1"/>
    </xf>
    <xf numFmtId="0" fontId="10" fillId="7" borderId="12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69" fontId="8" fillId="0" borderId="0" xfId="0" applyNumberFormat="1" applyFont="1" applyAlignment="1">
      <alignment horizontal="left"/>
    </xf>
    <xf numFmtId="0" fontId="10" fillId="7" borderId="201" xfId="0" applyFont="1" applyFill="1" applyBorder="1" applyAlignment="1">
      <alignment horizontal="center" vertical="center" wrapText="1"/>
    </xf>
    <xf numFmtId="0" fontId="10" fillId="7" borderId="109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7" borderId="92" xfId="0" applyFont="1" applyFill="1" applyBorder="1" applyAlignment="1">
      <alignment horizontal="center" vertical="center" wrapText="1"/>
    </xf>
    <xf numFmtId="0" fontId="10" fillId="7" borderId="90" xfId="0" applyFont="1" applyFill="1" applyBorder="1" applyAlignment="1">
      <alignment horizontal="center" vertical="center" wrapText="1"/>
    </xf>
    <xf numFmtId="169" fontId="44" fillId="0" borderId="0" xfId="0" applyNumberFormat="1" applyFont="1" applyAlignment="1">
      <alignment horizontal="left"/>
    </xf>
    <xf numFmtId="0" fontId="10" fillId="7" borderId="214" xfId="0" applyFont="1" applyFill="1" applyBorder="1" applyAlignment="1">
      <alignment horizontal="center"/>
    </xf>
    <xf numFmtId="0" fontId="10" fillId="7" borderId="205" xfId="0" applyFont="1" applyFill="1" applyBorder="1" applyAlignment="1">
      <alignment horizontal="center"/>
    </xf>
    <xf numFmtId="0" fontId="10" fillId="7" borderId="215" xfId="0" applyFont="1" applyFill="1" applyBorder="1" applyAlignment="1">
      <alignment horizontal="center"/>
    </xf>
  </cellXfs>
  <cellStyles count="4">
    <cellStyle name="Euro" xfId="1" xr:uid="{00000000-0005-0000-0000-000000000000}"/>
    <cellStyle name="Moneda" xfId="2" builtinId="4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323DC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62948"/>
      <color rgb="FF000099"/>
      <color rgb="FF000066"/>
      <color rgb="FFFFCCFF"/>
      <color rgb="FF003399"/>
      <color rgb="FFFFFFCC"/>
      <color rgb="FF0066CC"/>
      <color rgb="FF0033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0" name="Line 1">
          <a:extLst>
            <a:ext uri="{FF2B5EF4-FFF2-40B4-BE49-F238E27FC236}">
              <a16:creationId xmlns:a16="http://schemas.microsoft.com/office/drawing/2014/main" id="{00000000-0008-0000-0F00-0000A4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1" name="Line 1">
          <a:extLst>
            <a:ext uri="{FF2B5EF4-FFF2-40B4-BE49-F238E27FC236}">
              <a16:creationId xmlns:a16="http://schemas.microsoft.com/office/drawing/2014/main" id="{00000000-0008-0000-0F00-0000A5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2" name="Line 1">
          <a:extLst>
            <a:ext uri="{FF2B5EF4-FFF2-40B4-BE49-F238E27FC236}">
              <a16:creationId xmlns:a16="http://schemas.microsoft.com/office/drawing/2014/main" id="{00000000-0008-0000-0F00-0000A6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3" name="Line 1">
          <a:extLst>
            <a:ext uri="{FF2B5EF4-FFF2-40B4-BE49-F238E27FC236}">
              <a16:creationId xmlns:a16="http://schemas.microsoft.com/office/drawing/2014/main" id="{00000000-0008-0000-0F00-0000A7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4" name="Line 1">
          <a:extLst>
            <a:ext uri="{FF2B5EF4-FFF2-40B4-BE49-F238E27FC236}">
              <a16:creationId xmlns:a16="http://schemas.microsoft.com/office/drawing/2014/main" id="{00000000-0008-0000-0F00-0000A8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5" name="Line 1">
          <a:extLst>
            <a:ext uri="{FF2B5EF4-FFF2-40B4-BE49-F238E27FC236}">
              <a16:creationId xmlns:a16="http://schemas.microsoft.com/office/drawing/2014/main" id="{00000000-0008-0000-0F00-0000A9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39</xdr:row>
      <xdr:rowOff>0</xdr:rowOff>
    </xdr:from>
    <xdr:to>
      <xdr:col>0</xdr:col>
      <xdr:colOff>238125</xdr:colOff>
      <xdr:row>40</xdr:row>
      <xdr:rowOff>38100</xdr:rowOff>
    </xdr:to>
    <xdr:sp macro="" textlink="">
      <xdr:nvSpPr>
        <xdr:cNvPr id="50827" name="Text Box 1">
          <a:extLst>
            <a:ext uri="{FF2B5EF4-FFF2-40B4-BE49-F238E27FC236}">
              <a16:creationId xmlns:a16="http://schemas.microsoft.com/office/drawing/2014/main" id="{00000000-0008-0000-1000-00008BC60000}"/>
            </a:ext>
          </a:extLst>
        </xdr:cNvPr>
        <xdr:cNvSpPr txBox="1">
          <a:spLocks noChangeArrowheads="1"/>
        </xdr:cNvSpPr>
      </xdr:nvSpPr>
      <xdr:spPr bwMode="auto">
        <a:xfrm>
          <a:off x="133350" y="106013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pre05\COPIA%20MAYRA\EJECUCION%20PRESUP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-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Pto"/>
      <sheetName val="FINANC. PTO"/>
      <sheetName val="C-1"/>
      <sheetName val="C-2"/>
      <sheetName val="C-3"/>
      <sheetName val="C-4"/>
      <sheetName val="Transf"/>
      <sheetName val="C-5"/>
      <sheetName val="C-8"/>
      <sheetName val="C-6"/>
      <sheetName val="C-7"/>
      <sheetName val="C-9"/>
      <sheetName val="C-10"/>
      <sheetName val="Ing.corr-k"/>
      <sheetName val="CA1"/>
      <sheetName val="CA2"/>
      <sheetName val="C-A3"/>
      <sheetName val="C-A4"/>
      <sheetName val="C-A5"/>
      <sheetName val="C-A6"/>
      <sheetName val="C-A6C"/>
      <sheetName val="C-A7"/>
      <sheetName val="C-A8A"/>
      <sheetName val="INVxOBJETO"/>
      <sheetName val="TRASLADO"/>
      <sheetName val="PTO LEY 2020-2021"/>
      <sheetName val="POR GRUPO"/>
      <sheetName val="Hoja4"/>
      <sheetName val="Hoja5"/>
      <sheetName val="Hoja1"/>
      <sheetName val="Hoja2"/>
      <sheetName val="C-A8"/>
      <sheetName val="Hoja6"/>
      <sheetName val="C-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1">
          <cell r="B11" t="str">
            <v xml:space="preserve"> I  Ingresos Corrientes</v>
          </cell>
          <cell r="C11">
            <v>141094806</v>
          </cell>
          <cell r="D11">
            <v>141094806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2">
    <tabColor theme="6" tint="-0.249977111117893"/>
  </sheetPr>
  <dimension ref="A1:M127"/>
  <sheetViews>
    <sheetView showGridLines="0" showZeros="0" tabSelected="1" topLeftCell="A202" workbookViewId="0">
      <pane ySplit="1830" activePane="bottomLeft"/>
      <selection activeCell="I202" sqref="I1:I1048576"/>
      <selection pane="bottomLeft" activeCell="L19" sqref="L19"/>
    </sheetView>
  </sheetViews>
  <sheetFormatPr baseColWidth="10" defaultColWidth="11" defaultRowHeight="12.75" x14ac:dyDescent="0.2"/>
  <cols>
    <col min="1" max="1" width="14.85546875" style="3" customWidth="1"/>
    <col min="2" max="2" width="41.140625" style="25" customWidth="1"/>
    <col min="3" max="4" width="12.85546875" style="25" customWidth="1"/>
    <col min="5" max="5" width="11.42578125" style="25" customWidth="1"/>
    <col min="6" max="6" width="11.7109375" style="25" customWidth="1"/>
    <col min="7" max="7" width="11.5703125" style="25" customWidth="1"/>
    <col min="8" max="8" width="13" style="25" customWidth="1"/>
    <col min="9" max="9" width="11.7109375" style="3" customWidth="1"/>
    <col min="10" max="10" width="19.42578125" style="3" customWidth="1"/>
    <col min="11" max="16384" width="11" style="3"/>
  </cols>
  <sheetData>
    <row r="1" spans="1:13" ht="21.75" customHeight="1" x14ac:dyDescent="0.25">
      <c r="A1"/>
      <c r="B1" s="580" t="s">
        <v>386</v>
      </c>
      <c r="C1" s="580"/>
      <c r="D1" s="580"/>
      <c r="E1" s="580"/>
      <c r="F1" s="580"/>
      <c r="G1" s="580"/>
      <c r="H1" s="580"/>
      <c r="I1" s="580"/>
      <c r="J1" s="31"/>
      <c r="K1" s="31"/>
      <c r="L1" s="31"/>
      <c r="M1" s="31"/>
    </row>
    <row r="2" spans="1:13" ht="18" customHeight="1" x14ac:dyDescent="0.25">
      <c r="A2"/>
      <c r="B2" s="580" t="s">
        <v>387</v>
      </c>
      <c r="C2" s="580"/>
      <c r="D2" s="580"/>
      <c r="E2" s="580"/>
      <c r="F2" s="580"/>
      <c r="G2" s="580"/>
      <c r="H2" s="580"/>
      <c r="I2" s="580"/>
      <c r="J2" s="31"/>
      <c r="K2" s="31"/>
      <c r="L2" s="31"/>
      <c r="M2" s="31"/>
    </row>
    <row r="3" spans="1:13" ht="15" x14ac:dyDescent="0.25">
      <c r="A3"/>
      <c r="B3" s="581" t="s">
        <v>537</v>
      </c>
      <c r="C3" s="581"/>
      <c r="D3" s="581"/>
      <c r="E3" s="581"/>
      <c r="F3" s="581"/>
      <c r="G3" s="581"/>
      <c r="H3" s="581"/>
      <c r="I3" s="581"/>
    </row>
    <row r="4" spans="1:13" ht="20.25" customHeight="1" x14ac:dyDescent="0.25">
      <c r="A4"/>
      <c r="B4" s="581" t="s">
        <v>554</v>
      </c>
      <c r="C4" s="581"/>
      <c r="D4" s="581"/>
      <c r="E4" s="581"/>
      <c r="F4" s="581"/>
      <c r="G4" s="581"/>
      <c r="H4" s="581"/>
      <c r="I4" s="581"/>
    </row>
    <row r="5" spans="1:13" ht="9.75" customHeight="1" x14ac:dyDescent="0.25">
      <c r="A5"/>
      <c r="B5" s="202"/>
      <c r="C5" s="202"/>
      <c r="D5" s="202"/>
      <c r="E5" s="202"/>
      <c r="F5" s="202"/>
      <c r="G5" s="202"/>
      <c r="H5"/>
      <c r="I5" t="s">
        <v>6</v>
      </c>
    </row>
    <row r="6" spans="1:13" ht="24" customHeight="1" x14ac:dyDescent="0.2">
      <c r="A6" s="578" t="s">
        <v>429</v>
      </c>
      <c r="B6" s="582" t="s">
        <v>0</v>
      </c>
      <c r="C6" s="586" t="s">
        <v>31</v>
      </c>
      <c r="D6" s="587"/>
      <c r="E6" s="588"/>
      <c r="F6" s="584" t="s">
        <v>35</v>
      </c>
      <c r="G6" s="584"/>
      <c r="H6" s="585" t="s">
        <v>1</v>
      </c>
      <c r="I6" s="585"/>
    </row>
    <row r="7" spans="1:13" ht="25.5" customHeight="1" x14ac:dyDescent="0.2">
      <c r="A7" s="579"/>
      <c r="B7" s="583"/>
      <c r="C7" s="203" t="s">
        <v>87</v>
      </c>
      <c r="D7" s="204" t="s">
        <v>12</v>
      </c>
      <c r="E7" s="205" t="s">
        <v>2</v>
      </c>
      <c r="F7" s="206" t="s">
        <v>36</v>
      </c>
      <c r="G7" s="207" t="s">
        <v>3</v>
      </c>
      <c r="H7" s="208" t="s">
        <v>4</v>
      </c>
      <c r="I7" s="209" t="s">
        <v>374</v>
      </c>
    </row>
    <row r="8" spans="1:13" ht="8.25" customHeight="1" x14ac:dyDescent="0.2">
      <c r="A8" s="70"/>
      <c r="B8" s="210" t="s">
        <v>6</v>
      </c>
      <c r="C8" s="210"/>
      <c r="D8" s="201"/>
      <c r="E8" s="211"/>
      <c r="F8" s="201"/>
      <c r="G8" s="201"/>
      <c r="H8" s="212"/>
      <c r="I8" s="213"/>
    </row>
    <row r="9" spans="1:13" ht="21.75" customHeight="1" x14ac:dyDescent="0.2">
      <c r="A9" s="70"/>
      <c r="B9" s="214" t="s">
        <v>7</v>
      </c>
      <c r="C9" s="215">
        <f>+C11+C34</f>
        <v>198000000</v>
      </c>
      <c r="D9" s="216">
        <f>+D11+D34</f>
        <v>198000000</v>
      </c>
      <c r="E9" s="216">
        <f>+E11+E34</f>
        <v>49855022</v>
      </c>
      <c r="F9" s="216">
        <f>+F11+F34</f>
        <v>15303508.539999999</v>
      </c>
      <c r="G9" s="216">
        <v>28582992.399999999</v>
      </c>
      <c r="H9" s="217">
        <f>+G9-E9</f>
        <v>-21272029.600000001</v>
      </c>
      <c r="I9" s="218">
        <f>+G9/E9*100</f>
        <v>57.332223020581552</v>
      </c>
      <c r="J9" s="71"/>
    </row>
    <row r="10" spans="1:13" ht="9.9499999999999993" customHeight="1" x14ac:dyDescent="0.2">
      <c r="A10" s="70"/>
      <c r="B10" s="214"/>
      <c r="C10" s="215"/>
      <c r="D10" s="219"/>
      <c r="E10" s="219"/>
      <c r="F10" s="219"/>
      <c r="G10" s="219"/>
      <c r="H10" s="220"/>
      <c r="I10" s="221"/>
    </row>
    <row r="11" spans="1:13" ht="21" customHeight="1" x14ac:dyDescent="0.2">
      <c r="A11" s="222" t="s">
        <v>449</v>
      </c>
      <c r="B11" s="222" t="s">
        <v>8</v>
      </c>
      <c r="C11" s="223">
        <f t="shared" ref="C11:G11" si="0">+C13</f>
        <v>141094806</v>
      </c>
      <c r="D11" s="219">
        <f t="shared" si="0"/>
        <v>141094806</v>
      </c>
      <c r="E11" s="219">
        <f t="shared" si="0"/>
        <v>38404665</v>
      </c>
      <c r="F11" s="219">
        <f t="shared" si="0"/>
        <v>4362662.54</v>
      </c>
      <c r="G11" s="219">
        <v>17222146.399999999</v>
      </c>
      <c r="H11" s="217">
        <f t="shared" ref="H11:H45" si="1">+G11-E11</f>
        <v>-21182518.600000001</v>
      </c>
      <c r="I11" s="218">
        <f>+G11/E11*100</f>
        <v>44.84389175117137</v>
      </c>
    </row>
    <row r="12" spans="1:13" ht="9.9499999999999993" customHeight="1" x14ac:dyDescent="0.2">
      <c r="A12" s="70"/>
      <c r="B12" s="224"/>
      <c r="C12" s="225"/>
      <c r="D12" s="226"/>
      <c r="E12" s="227" t="s">
        <v>6</v>
      </c>
      <c r="F12" s="227"/>
      <c r="G12" s="227"/>
      <c r="H12" s="228"/>
      <c r="I12" s="229" t="s">
        <v>6</v>
      </c>
    </row>
    <row r="13" spans="1:13" ht="21" customHeight="1" x14ac:dyDescent="0.2">
      <c r="A13" s="222" t="s">
        <v>431</v>
      </c>
      <c r="B13" s="214" t="s">
        <v>450</v>
      </c>
      <c r="C13" s="215">
        <f>+C15+C21+C26+C31</f>
        <v>141094806</v>
      </c>
      <c r="D13" s="219">
        <f>+D15+D21+D26+D31</f>
        <v>141094806</v>
      </c>
      <c r="E13" s="219">
        <f>+E15+E21+E26+E31</f>
        <v>38404665</v>
      </c>
      <c r="F13" s="219">
        <f>+F15+F21+F26+F31</f>
        <v>4362662.54</v>
      </c>
      <c r="G13" s="219">
        <v>17222146.399999999</v>
      </c>
      <c r="H13" s="217">
        <f t="shared" si="1"/>
        <v>-21182518.600000001</v>
      </c>
      <c r="I13" s="218">
        <f>+G13/E13*100</f>
        <v>44.84389175117137</v>
      </c>
      <c r="J13" s="165"/>
      <c r="K13" s="4"/>
    </row>
    <row r="14" spans="1:13" ht="9.9499999999999993" customHeight="1" x14ac:dyDescent="0.2">
      <c r="A14" s="222"/>
      <c r="B14" s="230"/>
      <c r="C14" s="231"/>
      <c r="D14" s="227"/>
      <c r="E14" s="227"/>
      <c r="F14" s="227"/>
      <c r="G14" s="227" t="s">
        <v>6</v>
      </c>
      <c r="H14" s="228" t="s">
        <v>6</v>
      </c>
      <c r="I14" s="229" t="s">
        <v>6</v>
      </c>
      <c r="J14" s="4"/>
      <c r="K14" s="4"/>
    </row>
    <row r="15" spans="1:13" ht="21" customHeight="1" x14ac:dyDescent="0.2">
      <c r="A15" s="222" t="s">
        <v>430</v>
      </c>
      <c r="B15" s="214" t="s">
        <v>519</v>
      </c>
      <c r="C15" s="215">
        <f>+C17</f>
        <v>5476492</v>
      </c>
      <c r="D15" s="219">
        <f>SUM(D18:D19)</f>
        <v>5476492</v>
      </c>
      <c r="E15" s="219">
        <f>E17</f>
        <v>1130298</v>
      </c>
      <c r="F15" s="219">
        <f>SUM(F18:F19)</f>
        <v>35424.230000000003</v>
      </c>
      <c r="G15" s="219">
        <v>567855.84</v>
      </c>
      <c r="H15" s="217">
        <f t="shared" si="1"/>
        <v>-562442.16</v>
      </c>
      <c r="I15" s="218">
        <f>+G15/E15*100</f>
        <v>50.239480207874379</v>
      </c>
      <c r="J15" s="4"/>
      <c r="K15" s="4"/>
    </row>
    <row r="16" spans="1:13" ht="11.45" customHeight="1" x14ac:dyDescent="0.2">
      <c r="A16" s="222"/>
      <c r="B16" s="214"/>
      <c r="C16" s="215"/>
      <c r="D16" s="227"/>
      <c r="E16" s="219"/>
      <c r="F16" s="219"/>
      <c r="G16" s="219"/>
      <c r="H16" s="217"/>
      <c r="I16" s="218"/>
      <c r="J16" s="4"/>
      <c r="K16" s="4"/>
    </row>
    <row r="17" spans="1:9" ht="19.149999999999999" customHeight="1" x14ac:dyDescent="0.2">
      <c r="A17" s="222" t="s">
        <v>453</v>
      </c>
      <c r="B17" s="232" t="s">
        <v>520</v>
      </c>
      <c r="C17" s="233">
        <f>+C18+C19</f>
        <v>5476492</v>
      </c>
      <c r="D17" s="219">
        <f>+D18+D19</f>
        <v>5476492</v>
      </c>
      <c r="E17" s="219">
        <f>SUM(E18:E19)</f>
        <v>1130298</v>
      </c>
      <c r="F17" s="219">
        <f>SUM(F18:F19)</f>
        <v>35424.230000000003</v>
      </c>
      <c r="G17" s="234">
        <v>567855.84</v>
      </c>
      <c r="H17" s="217">
        <f t="shared" si="1"/>
        <v>-562442.16</v>
      </c>
      <c r="I17" s="229">
        <f>+G17/E17*100</f>
        <v>50.239480207874379</v>
      </c>
    </row>
    <row r="18" spans="1:9" ht="24.95" customHeight="1" x14ac:dyDescent="0.2">
      <c r="A18" s="224" t="s">
        <v>494</v>
      </c>
      <c r="B18" s="230" t="s">
        <v>521</v>
      </c>
      <c r="C18" s="231">
        <v>700000</v>
      </c>
      <c r="D18" s="227">
        <v>700000</v>
      </c>
      <c r="E18" s="227">
        <f>58333+58333+58333</f>
        <v>174999</v>
      </c>
      <c r="F18" s="235">
        <v>0</v>
      </c>
      <c r="G18" s="235">
        <v>356325.69</v>
      </c>
      <c r="H18" s="228">
        <f t="shared" si="1"/>
        <v>181326.69</v>
      </c>
      <c r="I18" s="229">
        <f>+G18/E18*100</f>
        <v>203.61584351910582</v>
      </c>
    </row>
    <row r="19" spans="1:9" ht="24.95" customHeight="1" x14ac:dyDescent="0.2">
      <c r="A19" s="224" t="s">
        <v>432</v>
      </c>
      <c r="B19" s="230" t="s">
        <v>522</v>
      </c>
      <c r="C19" s="231">
        <v>4776492</v>
      </c>
      <c r="D19" s="227">
        <v>4776492</v>
      </c>
      <c r="E19" s="227">
        <f>318433+318433+318433</f>
        <v>955299</v>
      </c>
      <c r="F19" s="235">
        <v>35424.230000000003</v>
      </c>
      <c r="G19" s="235">
        <v>211530.15</v>
      </c>
      <c r="H19" s="228">
        <f t="shared" si="1"/>
        <v>-743768.85</v>
      </c>
      <c r="I19" s="229">
        <f>+G19/E19*100</f>
        <v>22.142821252822415</v>
      </c>
    </row>
    <row r="20" spans="1:9" ht="9.9499999999999993" customHeight="1" x14ac:dyDescent="0.2">
      <c r="A20" s="222"/>
      <c r="B20" s="230" t="s">
        <v>6</v>
      </c>
      <c r="C20" s="231"/>
      <c r="D20" s="227" t="s">
        <v>6</v>
      </c>
      <c r="E20" s="227"/>
      <c r="F20" s="227"/>
      <c r="G20" s="227"/>
      <c r="H20" s="228"/>
      <c r="I20" s="229" t="s">
        <v>6</v>
      </c>
    </row>
    <row r="21" spans="1:9" ht="24.95" customHeight="1" x14ac:dyDescent="0.2">
      <c r="A21" s="222" t="s">
        <v>433</v>
      </c>
      <c r="B21" s="214" t="s">
        <v>434</v>
      </c>
      <c r="C21" s="215">
        <f>+C23</f>
        <v>127866634</v>
      </c>
      <c r="D21" s="219">
        <f>SUM(D23:D23)</f>
        <v>127866634</v>
      </c>
      <c r="E21" s="219">
        <f>SUM(E23)</f>
        <v>35694633</v>
      </c>
      <c r="F21" s="219">
        <f>F23</f>
        <v>3314965</v>
      </c>
      <c r="G21" s="234">
        <v>14165891</v>
      </c>
      <c r="H21" s="217">
        <f t="shared" si="1"/>
        <v>-21528742</v>
      </c>
      <c r="I21" s="218">
        <f>+G21/E21*100</f>
        <v>39.686333236708165</v>
      </c>
    </row>
    <row r="22" spans="1:9" ht="5.25" customHeight="1" x14ac:dyDescent="0.2">
      <c r="A22" s="222"/>
      <c r="B22" s="230"/>
      <c r="C22" s="231"/>
      <c r="D22" s="227"/>
      <c r="E22" s="227"/>
      <c r="F22" s="227"/>
      <c r="G22" s="235">
        <v>0</v>
      </c>
      <c r="H22" s="228">
        <f t="shared" si="1"/>
        <v>0</v>
      </c>
      <c r="I22" s="229" t="s">
        <v>6</v>
      </c>
    </row>
    <row r="23" spans="1:9" ht="24.75" customHeight="1" x14ac:dyDescent="0.2">
      <c r="A23" s="222" t="s">
        <v>435</v>
      </c>
      <c r="B23" s="214" t="s">
        <v>523</v>
      </c>
      <c r="C23" s="215">
        <f>+C25</f>
        <v>127866634</v>
      </c>
      <c r="D23" s="219">
        <f>+D25</f>
        <v>127866634</v>
      </c>
      <c r="E23" s="219">
        <f>E25</f>
        <v>35694633</v>
      </c>
      <c r="F23" s="219">
        <f>F25</f>
        <v>3314965</v>
      </c>
      <c r="G23" s="234">
        <v>14165891</v>
      </c>
      <c r="H23" s="217">
        <f t="shared" si="1"/>
        <v>-21528742</v>
      </c>
      <c r="I23" s="218">
        <f>+G23/E23*100</f>
        <v>39.686333236708165</v>
      </c>
    </row>
    <row r="24" spans="1:9" ht="10.15" customHeight="1" x14ac:dyDescent="0.2">
      <c r="A24" s="222"/>
      <c r="B24" s="230"/>
      <c r="C24" s="231"/>
      <c r="D24" s="227"/>
      <c r="E24" s="227"/>
      <c r="F24" s="227"/>
      <c r="G24" s="235">
        <v>0</v>
      </c>
      <c r="H24" s="228">
        <f t="shared" si="1"/>
        <v>0</v>
      </c>
      <c r="I24" s="229" t="s">
        <v>6</v>
      </c>
    </row>
    <row r="25" spans="1:9" ht="22.15" customHeight="1" x14ac:dyDescent="0.2">
      <c r="A25" s="224" t="s">
        <v>436</v>
      </c>
      <c r="B25" s="230" t="s">
        <v>451</v>
      </c>
      <c r="C25" s="231">
        <v>127866634</v>
      </c>
      <c r="D25" s="227">
        <v>127866634</v>
      </c>
      <c r="E25" s="227">
        <f>13488927+12100174+10105532</f>
        <v>35694633</v>
      </c>
      <c r="F25" s="227">
        <v>3314965</v>
      </c>
      <c r="G25" s="235">
        <v>14165891</v>
      </c>
      <c r="H25" s="228">
        <f>G25-E25</f>
        <v>-21528742</v>
      </c>
      <c r="I25" s="229">
        <f>+G25/E25*100</f>
        <v>39.686333236708165</v>
      </c>
    </row>
    <row r="26" spans="1:9" ht="24.95" customHeight="1" x14ac:dyDescent="0.2">
      <c r="A26" s="222" t="s">
        <v>437</v>
      </c>
      <c r="B26" s="214" t="s">
        <v>9</v>
      </c>
      <c r="C26" s="215">
        <f>+C27+C28+C29</f>
        <v>5251680</v>
      </c>
      <c r="D26" s="219">
        <f>SUM(D27:D29)</f>
        <v>5251680</v>
      </c>
      <c r="E26" s="219">
        <f>SUM(E27:E29)</f>
        <v>1079733</v>
      </c>
      <c r="F26" s="219">
        <f>F27+F28+F29</f>
        <v>981887.84000000008</v>
      </c>
      <c r="G26" s="219">
        <v>2342411.41</v>
      </c>
      <c r="H26" s="217">
        <f t="shared" si="1"/>
        <v>1262678.4100000001</v>
      </c>
      <c r="I26" s="218">
        <f>+G26/E26*100</f>
        <v>216.94357864397961</v>
      </c>
    </row>
    <row r="27" spans="1:9" ht="24.95" customHeight="1" x14ac:dyDescent="0.2">
      <c r="A27" s="224" t="s">
        <v>438</v>
      </c>
      <c r="B27" s="230" t="s">
        <v>524</v>
      </c>
      <c r="C27" s="231">
        <v>410082</v>
      </c>
      <c r="D27" s="227">
        <v>410082</v>
      </c>
      <c r="E27" s="227">
        <f>34173+34173+34173</f>
        <v>102519</v>
      </c>
      <c r="F27" s="227">
        <v>61694.92</v>
      </c>
      <c r="G27" s="227">
        <v>299334.27999999997</v>
      </c>
      <c r="H27" s="228">
        <f>+G27-E27</f>
        <v>196815.27999999997</v>
      </c>
      <c r="I27" s="229">
        <f>+G27/E27*100</f>
        <v>291.97932090636851</v>
      </c>
    </row>
    <row r="28" spans="1:9" ht="24.95" customHeight="1" x14ac:dyDescent="0.2">
      <c r="A28" s="224" t="s">
        <v>440</v>
      </c>
      <c r="B28" s="230" t="s">
        <v>525</v>
      </c>
      <c r="C28" s="231">
        <v>4774884</v>
      </c>
      <c r="D28" s="227">
        <v>4774884</v>
      </c>
      <c r="E28" s="227">
        <f>318326+318326+318326</f>
        <v>954978</v>
      </c>
      <c r="F28" s="227">
        <v>913263.25</v>
      </c>
      <c r="G28" s="227">
        <v>2022640.06</v>
      </c>
      <c r="H28" s="228">
        <f t="shared" si="1"/>
        <v>1067662.06</v>
      </c>
      <c r="I28" s="229">
        <f>+G28/E28*100</f>
        <v>211.79964983486533</v>
      </c>
    </row>
    <row r="29" spans="1:9" ht="24.95" customHeight="1" x14ac:dyDescent="0.2">
      <c r="A29" s="224" t="s">
        <v>439</v>
      </c>
      <c r="B29" s="230" t="s">
        <v>526</v>
      </c>
      <c r="C29" s="231">
        <v>66714</v>
      </c>
      <c r="D29" s="227">
        <v>66714</v>
      </c>
      <c r="E29" s="227">
        <f>11118+5559+5559</f>
        <v>22236</v>
      </c>
      <c r="F29" s="236">
        <v>6929.67</v>
      </c>
      <c r="G29" s="227">
        <v>20436.07</v>
      </c>
      <c r="H29" s="228">
        <f t="shared" si="1"/>
        <v>-1799.9300000000003</v>
      </c>
      <c r="I29" s="229">
        <f>+G29/E29*100</f>
        <v>91.905333693110265</v>
      </c>
    </row>
    <row r="30" spans="1:9" ht="9.9499999999999993" customHeight="1" x14ac:dyDescent="0.2">
      <c r="A30" s="222" t="s">
        <v>6</v>
      </c>
      <c r="B30" s="230"/>
      <c r="C30" s="231"/>
      <c r="D30" s="227"/>
      <c r="E30" s="227"/>
      <c r="F30" s="227"/>
      <c r="G30" s="227">
        <v>0</v>
      </c>
      <c r="H30" s="228">
        <f>+G30-E30</f>
        <v>0</v>
      </c>
      <c r="I30" s="229" t="s">
        <v>6</v>
      </c>
    </row>
    <row r="31" spans="1:9" ht="24.95" customHeight="1" x14ac:dyDescent="0.2">
      <c r="A31" s="222" t="s">
        <v>441</v>
      </c>
      <c r="B31" s="214" t="s">
        <v>10</v>
      </c>
      <c r="C31" s="215">
        <f>+C32</f>
        <v>2500000</v>
      </c>
      <c r="D31" s="219">
        <f>SUM(D32)</f>
        <v>2500000</v>
      </c>
      <c r="E31" s="219">
        <f>SUM(E32)</f>
        <v>500001</v>
      </c>
      <c r="F31" s="219">
        <f>F32</f>
        <v>30385.47</v>
      </c>
      <c r="G31" s="219">
        <v>145988.15</v>
      </c>
      <c r="H31" s="217">
        <f t="shared" si="1"/>
        <v>-354012.85</v>
      </c>
      <c r="I31" s="218">
        <f>+G31/E31*100</f>
        <v>29.197571604856787</v>
      </c>
    </row>
    <row r="32" spans="1:9" ht="24.95" customHeight="1" x14ac:dyDescent="0.2">
      <c r="A32" s="222" t="s">
        <v>442</v>
      </c>
      <c r="B32" s="230" t="s">
        <v>527</v>
      </c>
      <c r="C32" s="231">
        <v>2500000</v>
      </c>
      <c r="D32" s="227">
        <v>2500000</v>
      </c>
      <c r="E32" s="227">
        <f>166667+166667+166667</f>
        <v>500001</v>
      </c>
      <c r="F32" s="227">
        <v>30385.47</v>
      </c>
      <c r="G32" s="227">
        <v>145988.15</v>
      </c>
      <c r="H32" s="228">
        <f t="shared" si="1"/>
        <v>-354012.85</v>
      </c>
      <c r="I32" s="229">
        <f>+G32/E32*100</f>
        <v>29.197571604856787</v>
      </c>
    </row>
    <row r="33" spans="1:10" ht="9.9499999999999993" customHeight="1" x14ac:dyDescent="0.2">
      <c r="A33" s="222"/>
      <c r="B33" s="230"/>
      <c r="C33" s="231"/>
      <c r="D33" s="227"/>
      <c r="E33" s="227"/>
      <c r="F33" s="227"/>
      <c r="G33" s="227">
        <v>0</v>
      </c>
      <c r="H33" s="228"/>
      <c r="I33" s="229"/>
    </row>
    <row r="34" spans="1:10" ht="24.95" customHeight="1" x14ac:dyDescent="0.2">
      <c r="A34" s="222" t="s">
        <v>443</v>
      </c>
      <c r="B34" s="214" t="s">
        <v>11</v>
      </c>
      <c r="C34" s="215">
        <f>+C36+C40</f>
        <v>56905194</v>
      </c>
      <c r="D34" s="219">
        <f>+D40+D36</f>
        <v>56905194</v>
      </c>
      <c r="E34" s="219">
        <f>+E40+E36</f>
        <v>11450357</v>
      </c>
      <c r="F34" s="219">
        <f>+F40+F36</f>
        <v>10940846</v>
      </c>
      <c r="G34" s="219">
        <v>11360846</v>
      </c>
      <c r="H34" s="217">
        <f>G34-E34</f>
        <v>-89511</v>
      </c>
      <c r="I34" s="218">
        <f>+G34/E34*100</f>
        <v>99.218268915108936</v>
      </c>
      <c r="J34" s="71"/>
    </row>
    <row r="35" spans="1:10" ht="9.9499999999999993" customHeight="1" x14ac:dyDescent="0.2">
      <c r="A35" s="222"/>
      <c r="B35" s="230"/>
      <c r="C35" s="231"/>
      <c r="D35" s="227"/>
      <c r="E35" s="227"/>
      <c r="F35" s="226"/>
      <c r="G35" s="227"/>
      <c r="H35" s="228"/>
      <c r="I35" s="229"/>
    </row>
    <row r="36" spans="1:10" ht="18" customHeight="1" x14ac:dyDescent="0.2">
      <c r="A36" s="222" t="s">
        <v>444</v>
      </c>
      <c r="B36" s="214" t="s">
        <v>517</v>
      </c>
      <c r="C36" s="215">
        <f>+C37</f>
        <v>54805194</v>
      </c>
      <c r="D36" s="219">
        <f>D37</f>
        <v>54805194</v>
      </c>
      <c r="E36" s="219">
        <f t="shared" ref="E36:E38" si="2">E37</f>
        <v>11030357</v>
      </c>
      <c r="F36" s="219">
        <f t="shared" ref="F36:G38" si="3">F37</f>
        <v>10940846</v>
      </c>
      <c r="G36" s="219">
        <v>10940846</v>
      </c>
      <c r="H36" s="217">
        <f>H37</f>
        <v>89511</v>
      </c>
      <c r="I36" s="218">
        <f>I37</f>
        <v>99.188503146362351</v>
      </c>
    </row>
    <row r="37" spans="1:10" ht="18" customHeight="1" x14ac:dyDescent="0.2">
      <c r="A37" s="224" t="s">
        <v>445</v>
      </c>
      <c r="B37" s="230" t="s">
        <v>528</v>
      </c>
      <c r="C37" s="231">
        <f>+C38</f>
        <v>54805194</v>
      </c>
      <c r="D37" s="227">
        <f>D38</f>
        <v>54805194</v>
      </c>
      <c r="E37" s="227">
        <f t="shared" si="2"/>
        <v>11030357</v>
      </c>
      <c r="F37" s="227">
        <f t="shared" si="3"/>
        <v>10940846</v>
      </c>
      <c r="G37" s="227">
        <v>10940846</v>
      </c>
      <c r="H37" s="228">
        <f>H38</f>
        <v>89511</v>
      </c>
      <c r="I37" s="229">
        <f>G37/E37*100</f>
        <v>99.188503146362351</v>
      </c>
    </row>
    <row r="38" spans="1:10" ht="18" customHeight="1" x14ac:dyDescent="0.2">
      <c r="A38" s="224" t="s">
        <v>446</v>
      </c>
      <c r="B38" s="230" t="s">
        <v>532</v>
      </c>
      <c r="C38" s="231">
        <f>+C39</f>
        <v>54805194</v>
      </c>
      <c r="D38" s="227">
        <f>D39</f>
        <v>54805194</v>
      </c>
      <c r="E38" s="227">
        <f t="shared" si="2"/>
        <v>11030357</v>
      </c>
      <c r="F38" s="227">
        <f t="shared" si="3"/>
        <v>10940846</v>
      </c>
      <c r="G38" s="227">
        <v>10940846</v>
      </c>
      <c r="H38" s="228">
        <f>H39</f>
        <v>89511</v>
      </c>
      <c r="I38" s="229">
        <f>G38/E38*100</f>
        <v>99.188503146362351</v>
      </c>
    </row>
    <row r="39" spans="1:10" ht="18" customHeight="1" x14ac:dyDescent="0.2">
      <c r="A39" s="224" t="s">
        <v>447</v>
      </c>
      <c r="B39" s="230" t="s">
        <v>452</v>
      </c>
      <c r="C39" s="231">
        <v>54805194</v>
      </c>
      <c r="D39" s="227">
        <v>54805194</v>
      </c>
      <c r="E39" s="227">
        <f>10825352+115494+89511</f>
        <v>11030357</v>
      </c>
      <c r="F39" s="227">
        <v>10940846</v>
      </c>
      <c r="G39" s="227">
        <v>10940846</v>
      </c>
      <c r="H39" s="228">
        <f>E39-G39</f>
        <v>89511</v>
      </c>
      <c r="I39" s="229">
        <f>G39/E39*100</f>
        <v>99.188503146362351</v>
      </c>
    </row>
    <row r="40" spans="1:10" ht="24.95" customHeight="1" x14ac:dyDescent="0.2">
      <c r="A40" s="222" t="s">
        <v>448</v>
      </c>
      <c r="B40" s="214" t="s">
        <v>518</v>
      </c>
      <c r="C40" s="215">
        <f>+C41</f>
        <v>2100000</v>
      </c>
      <c r="D40" s="219">
        <f>SUM(D41)</f>
        <v>2100000</v>
      </c>
      <c r="E40" s="219">
        <f t="shared" ref="E40:E42" si="4">E41</f>
        <v>420000</v>
      </c>
      <c r="F40" s="219">
        <f>F41</f>
        <v>0</v>
      </c>
      <c r="G40" s="219">
        <v>420000</v>
      </c>
      <c r="H40" s="217">
        <f t="shared" si="1"/>
        <v>0</v>
      </c>
      <c r="I40" s="218">
        <f>+G40/E40*100</f>
        <v>100</v>
      </c>
    </row>
    <row r="41" spans="1:10" ht="24.95" customHeight="1" x14ac:dyDescent="0.2">
      <c r="A41" s="224" t="s">
        <v>495</v>
      </c>
      <c r="B41" s="230" t="s">
        <v>529</v>
      </c>
      <c r="C41" s="231">
        <f>+C42</f>
        <v>2100000</v>
      </c>
      <c r="D41" s="227">
        <f>+D42</f>
        <v>2100000</v>
      </c>
      <c r="E41" s="227">
        <f>+E42</f>
        <v>420000</v>
      </c>
      <c r="F41" s="227">
        <f>+F42</f>
        <v>0</v>
      </c>
      <c r="G41" s="227">
        <v>420000</v>
      </c>
      <c r="H41" s="228">
        <f t="shared" si="1"/>
        <v>0</v>
      </c>
      <c r="I41" s="229">
        <f>+G41/E41*100</f>
        <v>100</v>
      </c>
    </row>
    <row r="42" spans="1:10" ht="17.45" customHeight="1" x14ac:dyDescent="0.2">
      <c r="A42" s="224" t="s">
        <v>496</v>
      </c>
      <c r="B42" s="230" t="s">
        <v>530</v>
      </c>
      <c r="C42" s="231">
        <f>+C43</f>
        <v>2100000</v>
      </c>
      <c r="D42" s="227">
        <f>D43</f>
        <v>2100000</v>
      </c>
      <c r="E42" s="227">
        <f t="shared" si="4"/>
        <v>420000</v>
      </c>
      <c r="F42" s="227">
        <f>+F43</f>
        <v>0</v>
      </c>
      <c r="G42" s="227">
        <v>420000</v>
      </c>
      <c r="H42" s="228"/>
      <c r="I42" s="229">
        <f>G42/E42*100</f>
        <v>100</v>
      </c>
    </row>
    <row r="43" spans="1:10" ht="17.45" customHeight="1" x14ac:dyDescent="0.2">
      <c r="A43" s="224" t="s">
        <v>497</v>
      </c>
      <c r="B43" s="230" t="s">
        <v>531</v>
      </c>
      <c r="C43" s="231">
        <v>2100000</v>
      </c>
      <c r="D43" s="227">
        <v>2100000</v>
      </c>
      <c r="E43" s="227">
        <v>420000</v>
      </c>
      <c r="F43" s="227">
        <v>0</v>
      </c>
      <c r="G43" s="227">
        <v>420000</v>
      </c>
      <c r="H43" s="228"/>
      <c r="I43" s="229">
        <f>G43/E43*100</f>
        <v>100</v>
      </c>
    </row>
    <row r="44" spans="1:10" ht="16.899999999999999" customHeight="1" x14ac:dyDescent="0.2">
      <c r="A44" s="237"/>
      <c r="B44" s="230"/>
      <c r="C44" s="238"/>
      <c r="D44" s="238"/>
      <c r="E44" s="227"/>
      <c r="F44" s="226"/>
      <c r="G44" s="227"/>
      <c r="H44" s="228"/>
      <c r="I44" s="239"/>
    </row>
    <row r="45" spans="1:10" ht="24.6" hidden="1" customHeight="1" x14ac:dyDescent="0.2">
      <c r="A45" s="222"/>
      <c r="B45" s="214" t="s">
        <v>375</v>
      </c>
      <c r="C45" s="214"/>
      <c r="D45" s="219">
        <f>SUM(D47)</f>
        <v>5210534</v>
      </c>
      <c r="E45" s="219">
        <f>SUM(E47)</f>
        <v>4639377</v>
      </c>
      <c r="F45" s="219">
        <f>SUM(F47:F47)</f>
        <v>1797741</v>
      </c>
      <c r="G45" s="219" t="e">
        <f>#REF!+F45</f>
        <v>#REF!</v>
      </c>
      <c r="H45" s="217" t="e">
        <f t="shared" si="1"/>
        <v>#REF!</v>
      </c>
      <c r="I45" s="218" t="e">
        <f>+G45/E45*100</f>
        <v>#REF!</v>
      </c>
      <c r="J45" s="3">
        <v>4639377</v>
      </c>
    </row>
    <row r="46" spans="1:10" ht="9.6" hidden="1" customHeight="1" x14ac:dyDescent="0.2">
      <c r="A46" s="222"/>
      <c r="B46" s="230"/>
      <c r="C46" s="230"/>
      <c r="D46" s="227"/>
      <c r="E46" s="227"/>
      <c r="F46" s="227"/>
      <c r="G46" s="235">
        <f>F46</f>
        <v>0</v>
      </c>
      <c r="H46" s="228" t="s">
        <v>6</v>
      </c>
      <c r="I46" s="229" t="s">
        <v>6</v>
      </c>
      <c r="J46" s="3">
        <v>0</v>
      </c>
    </row>
    <row r="47" spans="1:10" ht="24.6" hidden="1" customHeight="1" x14ac:dyDescent="0.2">
      <c r="A47" s="222"/>
      <c r="B47" s="230" t="s">
        <v>37</v>
      </c>
      <c r="C47" s="230"/>
      <c r="D47" s="227">
        <v>5210534</v>
      </c>
      <c r="E47" s="227">
        <v>4639377</v>
      </c>
      <c r="F47" s="240">
        <f>1779848+17893</f>
        <v>1797741</v>
      </c>
      <c r="G47" s="235" t="e">
        <f>F47+#REF!</f>
        <v>#REF!</v>
      </c>
      <c r="H47" s="228" t="e">
        <f>+G47-E47</f>
        <v>#REF!</v>
      </c>
      <c r="I47" s="229" t="e">
        <f>+G47/E47*100</f>
        <v>#REF!</v>
      </c>
      <c r="J47" s="3">
        <v>4639377</v>
      </c>
    </row>
    <row r="48" spans="1:10" ht="7.15" hidden="1" customHeight="1" x14ac:dyDescent="0.2">
      <c r="A48" s="70"/>
      <c r="B48" s="241"/>
      <c r="C48" s="242"/>
      <c r="D48" s="243"/>
      <c r="E48" s="238" t="s">
        <v>6</v>
      </c>
      <c r="F48" s="244" t="s">
        <v>6</v>
      </c>
      <c r="G48" s="238" t="s">
        <v>6</v>
      </c>
      <c r="H48" s="238" t="s">
        <v>6</v>
      </c>
      <c r="I48" s="245"/>
      <c r="J48" s="3" t="s">
        <v>6</v>
      </c>
    </row>
    <row r="49" spans="1:9" ht="9" customHeight="1" x14ac:dyDescent="0.2">
      <c r="A49"/>
      <c r="B49" s="246" t="s">
        <v>6</v>
      </c>
      <c r="C49" s="247"/>
      <c r="D49" s="247"/>
      <c r="E49" s="248"/>
      <c r="F49" s="248"/>
      <c r="G49" s="248"/>
      <c r="H49" s="249"/>
      <c r="I49" s="247"/>
    </row>
    <row r="50" spans="1:9" x14ac:dyDescent="0.2">
      <c r="A50" s="577" t="s">
        <v>552</v>
      </c>
      <c r="B50" s="577"/>
      <c r="C50" s="57"/>
      <c r="D50" s="1"/>
      <c r="E50" s="1"/>
      <c r="F50" s="1"/>
      <c r="G50" s="1"/>
      <c r="H50" s="251"/>
      <c r="I50"/>
    </row>
    <row r="51" spans="1:9" ht="15.75" x14ac:dyDescent="0.25">
      <c r="B51" s="38" t="s">
        <v>6</v>
      </c>
      <c r="C51" s="38"/>
      <c r="D51" s="32"/>
      <c r="E51" s="31"/>
      <c r="F51" s="31"/>
      <c r="G51" s="31"/>
      <c r="H51" s="31"/>
      <c r="I51" s="4"/>
    </row>
    <row r="52" spans="1:9" ht="15.75" x14ac:dyDescent="0.25">
      <c r="B52" s="36" t="s">
        <v>6</v>
      </c>
      <c r="C52" s="36"/>
      <c r="D52" s="37" t="s">
        <v>6</v>
      </c>
      <c r="E52" s="31"/>
      <c r="F52" s="31"/>
      <c r="G52" s="31"/>
      <c r="H52" s="31"/>
      <c r="I52" s="4"/>
    </row>
    <row r="53" spans="1:9" ht="15.75" x14ac:dyDescent="0.25">
      <c r="B53" s="36" t="s">
        <v>6</v>
      </c>
      <c r="C53" s="36"/>
      <c r="D53" s="34"/>
      <c r="E53" s="31"/>
      <c r="F53" s="31"/>
      <c r="G53" s="31"/>
      <c r="H53" s="31"/>
      <c r="I53" s="4"/>
    </row>
    <row r="54" spans="1:9" ht="15.75" x14ac:dyDescent="0.25">
      <c r="B54" s="38" t="s">
        <v>6</v>
      </c>
      <c r="C54" s="38"/>
      <c r="D54" s="31"/>
      <c r="E54" s="31"/>
      <c r="F54" s="31"/>
      <c r="G54" s="31"/>
      <c r="H54" s="31"/>
      <c r="I54" s="4"/>
    </row>
    <row r="55" spans="1:9" ht="15.75" x14ac:dyDescent="0.25">
      <c r="B55" s="38" t="s">
        <v>6</v>
      </c>
      <c r="C55" s="38"/>
      <c r="D55" s="31"/>
      <c r="E55" s="31"/>
      <c r="F55" s="31"/>
      <c r="G55" s="31"/>
      <c r="H55" s="31"/>
      <c r="I55" s="4"/>
    </row>
    <row r="56" spans="1:9" ht="15.75" x14ac:dyDescent="0.25">
      <c r="B56" s="38" t="s">
        <v>6</v>
      </c>
      <c r="C56" s="38"/>
      <c r="D56" s="31"/>
      <c r="E56" s="31"/>
      <c r="F56" s="31"/>
      <c r="G56" s="31"/>
      <c r="H56" s="31"/>
      <c r="I56" s="4"/>
    </row>
    <row r="57" spans="1:9" ht="15.75" x14ac:dyDescent="0.25">
      <c r="B57" s="38" t="s">
        <v>6</v>
      </c>
      <c r="C57" s="38"/>
      <c r="D57" s="31"/>
      <c r="E57" s="31"/>
      <c r="F57" s="31"/>
      <c r="G57" s="31"/>
      <c r="H57" s="31"/>
      <c r="I57" s="4"/>
    </row>
    <row r="58" spans="1:9" x14ac:dyDescent="0.2">
      <c r="D58" s="29"/>
      <c r="E58" s="29"/>
      <c r="F58" s="29"/>
      <c r="G58" s="29"/>
      <c r="H58" s="29"/>
      <c r="I58" s="4"/>
    </row>
    <row r="127" spans="5:5" x14ac:dyDescent="0.2">
      <c r="E127" s="25" t="s">
        <v>6</v>
      </c>
    </row>
  </sheetData>
  <mergeCells count="10">
    <mergeCell ref="A50:B50"/>
    <mergeCell ref="A6:A7"/>
    <mergeCell ref="B1:I1"/>
    <mergeCell ref="B2:I2"/>
    <mergeCell ref="B3:I3"/>
    <mergeCell ref="B4:I4"/>
    <mergeCell ref="B6:B7"/>
    <mergeCell ref="F6:G6"/>
    <mergeCell ref="H6:I6"/>
    <mergeCell ref="C6:E6"/>
  </mergeCells>
  <phoneticPr fontId="3" type="noConversion"/>
  <pageMargins left="0.19685039370078741" right="0.19685039370078741" top="0.74803149606299213" bottom="0.98425196850393704" header="0.51181102362204722" footer="0.51181102362204722"/>
  <pageSetup scale="73" firstPageNumber="0" orientation="portrait" r:id="rId1"/>
  <headerFooter alignWithMargins="0">
    <oddFooter xml:space="preserve">&amp;R&amp;"Arial,Negrita" </oddFooter>
  </headerFooter>
  <ignoredErrors>
    <ignoredError sqref="E15:F15 E21 E41 F42 H25 E3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0">
    <tabColor theme="6" tint="0.39997558519241921"/>
    <pageSetUpPr fitToPage="1"/>
  </sheetPr>
  <dimension ref="A1:P408"/>
  <sheetViews>
    <sheetView showGridLines="0" showZeros="0" workbookViewId="0">
      <selection activeCell="S13" sqref="S13"/>
    </sheetView>
  </sheetViews>
  <sheetFormatPr baseColWidth="10" defaultColWidth="11.42578125" defaultRowHeight="13.5" x14ac:dyDescent="0.25"/>
  <cols>
    <col min="1" max="1" width="6.140625" customWidth="1"/>
    <col min="2" max="2" width="46.5703125" bestFit="1" customWidth="1"/>
    <col min="3" max="3" width="13" customWidth="1"/>
    <col min="4" max="4" width="13.140625" customWidth="1"/>
    <col min="5" max="5" width="12.5703125" customWidth="1"/>
    <col min="6" max="6" width="0.140625" hidden="1" customWidth="1"/>
    <col min="7" max="7" width="13.28515625" customWidth="1"/>
    <col min="8" max="8" width="13" customWidth="1"/>
    <col min="9" max="9" width="13.140625" customWidth="1"/>
    <col min="10" max="10" width="13" customWidth="1"/>
    <col min="11" max="11" width="11.28515625" hidden="1" customWidth="1"/>
    <col min="12" max="12" width="10.7109375" style="20" hidden="1" customWidth="1"/>
    <col min="13" max="13" width="0.140625" hidden="1" customWidth="1"/>
    <col min="14" max="14" width="13.28515625" customWidth="1"/>
    <col min="15" max="15" width="14" customWidth="1"/>
    <col min="16" max="16" width="11.28515625" customWidth="1"/>
  </cols>
  <sheetData>
    <row r="1" spans="1:15" ht="16.899999999999999" customHeight="1" x14ac:dyDescent="0.2">
      <c r="A1" s="705" t="s">
        <v>386</v>
      </c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705"/>
    </row>
    <row r="2" spans="1:15" ht="18" customHeight="1" x14ac:dyDescent="0.25">
      <c r="A2" s="580" t="s">
        <v>387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</row>
    <row r="3" spans="1:15" ht="15.6" customHeight="1" x14ac:dyDescent="0.25">
      <c r="A3" s="581" t="s">
        <v>544</v>
      </c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32"/>
    </row>
    <row r="4" spans="1:15" ht="19.899999999999999" customHeight="1" x14ac:dyDescent="0.2">
      <c r="A4" s="684" t="s">
        <v>559</v>
      </c>
      <c r="B4" s="684"/>
      <c r="C4" s="684"/>
      <c r="D4" s="684"/>
      <c r="E4" s="684"/>
      <c r="F4" s="684"/>
      <c r="G4" s="684"/>
      <c r="H4" s="684"/>
      <c r="I4" s="684"/>
      <c r="J4" s="684"/>
      <c r="K4" s="684"/>
      <c r="L4" s="684"/>
      <c r="M4" s="684"/>
      <c r="N4" s="684"/>
      <c r="O4" s="169"/>
    </row>
    <row r="5" spans="1:15" ht="3" hidden="1" customHeight="1" x14ac:dyDescent="0.3">
      <c r="A5" s="473"/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59"/>
      <c r="N5" s="59"/>
    </row>
    <row r="6" spans="1:15" ht="10.9" customHeight="1" x14ac:dyDescent="0.3">
      <c r="A6" s="473"/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59"/>
      <c r="N6" s="59"/>
    </row>
    <row r="7" spans="1:15" ht="16.5" customHeight="1" x14ac:dyDescent="0.2">
      <c r="A7" s="710" t="s">
        <v>377</v>
      </c>
      <c r="B7" s="708" t="s">
        <v>0</v>
      </c>
      <c r="C7" s="713" t="s">
        <v>31</v>
      </c>
      <c r="D7" s="714"/>
      <c r="E7" s="714"/>
      <c r="F7" s="714"/>
      <c r="G7" s="714"/>
      <c r="H7" s="714"/>
      <c r="I7" s="715"/>
      <c r="J7" s="699" t="s">
        <v>493</v>
      </c>
      <c r="K7" s="700"/>
      <c r="L7" s="700"/>
      <c r="M7" s="701"/>
      <c r="N7" s="707" t="s">
        <v>380</v>
      </c>
    </row>
    <row r="8" spans="1:15" ht="27" customHeight="1" x14ac:dyDescent="0.2">
      <c r="A8" s="711"/>
      <c r="B8" s="709"/>
      <c r="C8" s="474" t="s">
        <v>87</v>
      </c>
      <c r="D8" s="575" t="s">
        <v>12</v>
      </c>
      <c r="E8" s="575" t="s">
        <v>2</v>
      </c>
      <c r="F8" s="575" t="s">
        <v>36</v>
      </c>
      <c r="G8" s="576" t="s">
        <v>13</v>
      </c>
      <c r="H8" s="574" t="s">
        <v>553</v>
      </c>
      <c r="I8" s="574" t="s">
        <v>355</v>
      </c>
      <c r="J8" s="702"/>
      <c r="K8" s="703"/>
      <c r="L8" s="703"/>
      <c r="M8" s="704"/>
      <c r="N8" s="702"/>
    </row>
    <row r="9" spans="1:15" ht="23.25" customHeight="1" x14ac:dyDescent="0.25">
      <c r="A9" s="475" t="s">
        <v>88</v>
      </c>
      <c r="B9" s="476" t="s">
        <v>89</v>
      </c>
      <c r="C9" s="477">
        <f>+C10+C12+C13</f>
        <v>1143000</v>
      </c>
      <c r="D9" s="477">
        <f>+D10+D12+D13</f>
        <v>1143000</v>
      </c>
      <c r="E9" s="477">
        <f>+E10+E12+E13</f>
        <v>297892</v>
      </c>
      <c r="F9" s="477">
        <f>+F10+F12+F13</f>
        <v>1957.1000000000001</v>
      </c>
      <c r="G9" s="477">
        <v>4874.71</v>
      </c>
      <c r="H9" s="478">
        <f>+H10</f>
        <v>4263.3100000000004</v>
      </c>
      <c r="I9" s="477">
        <f>+I10+I12+I13</f>
        <v>4642.3</v>
      </c>
      <c r="J9" s="477">
        <f>E9-G9</f>
        <v>293017.28999999998</v>
      </c>
      <c r="K9" s="477" t="e">
        <f>+K10+K12</f>
        <v>#REF!</v>
      </c>
      <c r="L9" s="477" t="e">
        <f>+#REF!*100/#REF!</f>
        <v>#REF!</v>
      </c>
      <c r="M9" s="479">
        <f>D9-G9</f>
        <v>1138125.29</v>
      </c>
      <c r="N9" s="480">
        <f>G9/E9*100</f>
        <v>1.6364017831965949</v>
      </c>
    </row>
    <row r="10" spans="1:15" ht="18" customHeight="1" x14ac:dyDescent="0.25">
      <c r="A10" s="481" t="s">
        <v>90</v>
      </c>
      <c r="B10" s="482" t="s">
        <v>91</v>
      </c>
      <c r="C10" s="483">
        <f>SUM(C11:C11)</f>
        <v>921925</v>
      </c>
      <c r="D10" s="483">
        <f>SUM(D11:D11)</f>
        <v>921925</v>
      </c>
      <c r="E10" s="483">
        <f>SUM(E11:E11)</f>
        <v>230481</v>
      </c>
      <c r="F10" s="483">
        <f t="shared" ref="F10:I10" si="0">SUM(F11:F11)</f>
        <v>1293</v>
      </c>
      <c r="G10" s="483">
        <v>3835.5</v>
      </c>
      <c r="H10" s="483">
        <f>+H11+H12</f>
        <v>4263.3100000000004</v>
      </c>
      <c r="I10" s="483">
        <f t="shared" si="0"/>
        <v>3835.9</v>
      </c>
      <c r="J10" s="483">
        <f t="shared" ref="J10:J60" si="1">E10-G10</f>
        <v>226645.5</v>
      </c>
      <c r="K10" s="484" t="e">
        <f>+K11+K13</f>
        <v>#REF!</v>
      </c>
      <c r="L10" s="484" t="e">
        <f>+#REF!*100/#REF!</f>
        <v>#REF!</v>
      </c>
      <c r="M10" s="485">
        <f t="shared" ref="M10:M60" si="2">D10-G10</f>
        <v>918089.5</v>
      </c>
      <c r="N10" s="486">
        <f>+G10/E10*100</f>
        <v>1.6641284964921188</v>
      </c>
    </row>
    <row r="11" spans="1:15" ht="18" customHeight="1" x14ac:dyDescent="0.2">
      <c r="A11" s="487" t="s">
        <v>349</v>
      </c>
      <c r="B11" s="488" t="s">
        <v>350</v>
      </c>
      <c r="C11" s="484">
        <v>921925</v>
      </c>
      <c r="D11" s="484">
        <v>921925</v>
      </c>
      <c r="E11" s="484">
        <v>230481</v>
      </c>
      <c r="F11" s="484">
        <v>1293</v>
      </c>
      <c r="G11" s="484">
        <v>3835.5</v>
      </c>
      <c r="H11" s="484">
        <v>3835.9</v>
      </c>
      <c r="I11" s="484">
        <v>3835.9</v>
      </c>
      <c r="J11" s="484">
        <f t="shared" si="1"/>
        <v>226645.5</v>
      </c>
      <c r="K11" s="484" t="e">
        <f>+K12+K19</f>
        <v>#REF!</v>
      </c>
      <c r="L11" s="484" t="e">
        <f>+#REF!*100/#REF!</f>
        <v>#REF!</v>
      </c>
      <c r="M11" s="485">
        <f t="shared" si="2"/>
        <v>918089.5</v>
      </c>
      <c r="N11" s="486">
        <f>G11/E11*100</f>
        <v>1.6641284964921188</v>
      </c>
    </row>
    <row r="12" spans="1:15" ht="18" customHeight="1" x14ac:dyDescent="0.2">
      <c r="A12" s="487" t="s">
        <v>106</v>
      </c>
      <c r="B12" s="488" t="s">
        <v>364</v>
      </c>
      <c r="C12" s="484">
        <v>76831</v>
      </c>
      <c r="D12" s="484">
        <v>76831</v>
      </c>
      <c r="E12" s="484">
        <v>25625</v>
      </c>
      <c r="F12" s="484">
        <v>427.41</v>
      </c>
      <c r="G12" s="484">
        <v>427.41</v>
      </c>
      <c r="H12" s="484">
        <v>427.41</v>
      </c>
      <c r="I12" s="484">
        <v>427.41</v>
      </c>
      <c r="J12" s="484">
        <f t="shared" si="1"/>
        <v>25197.59</v>
      </c>
      <c r="K12" s="484" t="e">
        <f>+K13+K21</f>
        <v>#REF!</v>
      </c>
      <c r="L12" s="484" t="e">
        <f>+#REF!*100/#REF!</f>
        <v>#REF!</v>
      </c>
      <c r="M12" s="485">
        <f t="shared" si="2"/>
        <v>76403.59</v>
      </c>
      <c r="N12" s="486">
        <f>G12/E12*100</f>
        <v>1.6679414634146343</v>
      </c>
    </row>
    <row r="13" spans="1:15" ht="18" customHeight="1" x14ac:dyDescent="0.25">
      <c r="A13" s="489" t="s">
        <v>108</v>
      </c>
      <c r="B13" s="483" t="s">
        <v>365</v>
      </c>
      <c r="C13" s="483">
        <v>144244</v>
      </c>
      <c r="D13" s="483">
        <v>144244</v>
      </c>
      <c r="E13" s="483">
        <v>41786</v>
      </c>
      <c r="F13" s="483">
        <v>236.69</v>
      </c>
      <c r="G13" s="483">
        <v>611.79999999999995</v>
      </c>
      <c r="H13" s="483"/>
      <c r="I13" s="483">
        <v>378.99</v>
      </c>
      <c r="J13" s="483">
        <f t="shared" si="1"/>
        <v>41174.199999999997</v>
      </c>
      <c r="K13" s="483" t="e">
        <f>+K19+#REF!</f>
        <v>#REF!</v>
      </c>
      <c r="L13" s="483" t="e">
        <f>+#REF!*100/#REF!</f>
        <v>#REF!</v>
      </c>
      <c r="M13" s="490">
        <f t="shared" si="2"/>
        <v>143632.20000000001</v>
      </c>
      <c r="N13" s="491">
        <f>G13/E13*100</f>
        <v>1.4641267410137366</v>
      </c>
    </row>
    <row r="14" spans="1:15" ht="0.75" customHeight="1" x14ac:dyDescent="0.2">
      <c r="A14" s="487" t="s">
        <v>110</v>
      </c>
      <c r="B14" s="484" t="s">
        <v>502</v>
      </c>
      <c r="C14" s="484">
        <v>121195</v>
      </c>
      <c r="D14" s="484">
        <v>121195</v>
      </c>
      <c r="E14" s="484">
        <v>25244</v>
      </c>
      <c r="F14" s="484">
        <v>158.4</v>
      </c>
      <c r="G14" s="484">
        <v>469.91999999999996</v>
      </c>
      <c r="H14" s="484"/>
      <c r="I14" s="484">
        <v>153.12</v>
      </c>
      <c r="J14" s="484">
        <f>+E14-G14</f>
        <v>24774.080000000002</v>
      </c>
      <c r="K14" s="484"/>
      <c r="L14" s="484"/>
      <c r="M14" s="485"/>
      <c r="N14" s="486"/>
    </row>
    <row r="15" spans="1:15" ht="18" hidden="1" customHeight="1" x14ac:dyDescent="0.2">
      <c r="A15" s="487" t="s">
        <v>112</v>
      </c>
      <c r="B15" s="484" t="s">
        <v>503</v>
      </c>
      <c r="C15" s="484">
        <v>13829</v>
      </c>
      <c r="D15" s="484">
        <v>13829</v>
      </c>
      <c r="E15" s="484">
        <v>2309</v>
      </c>
      <c r="F15" s="484">
        <v>19.399999999999999</v>
      </c>
      <c r="G15" s="484">
        <v>57.55</v>
      </c>
      <c r="H15" s="484"/>
      <c r="I15" s="484">
        <v>18.75</v>
      </c>
      <c r="J15" s="484">
        <f>+E15-G15</f>
        <v>2251.4499999999998</v>
      </c>
      <c r="K15" s="484"/>
      <c r="L15" s="484"/>
      <c r="M15" s="485"/>
      <c r="N15" s="486"/>
    </row>
    <row r="16" spans="1:15" ht="18" hidden="1" customHeight="1" x14ac:dyDescent="0.2">
      <c r="A16" s="487" t="s">
        <v>114</v>
      </c>
      <c r="B16" s="484" t="s">
        <v>504</v>
      </c>
      <c r="C16" s="484">
        <v>6453</v>
      </c>
      <c r="D16" s="484">
        <v>6453</v>
      </c>
      <c r="E16" s="484">
        <v>1085</v>
      </c>
      <c r="F16" s="484">
        <v>9.06</v>
      </c>
      <c r="G16" s="484">
        <v>26.870000000000005</v>
      </c>
      <c r="H16" s="484"/>
      <c r="I16" s="484">
        <v>8.75</v>
      </c>
      <c r="J16" s="484"/>
      <c r="K16" s="484"/>
      <c r="L16" s="484"/>
      <c r="M16" s="485"/>
      <c r="N16" s="486"/>
    </row>
    <row r="17" spans="1:14" ht="18" hidden="1" customHeight="1" x14ac:dyDescent="0.2">
      <c r="A17" s="487" t="s">
        <v>116</v>
      </c>
      <c r="B17" s="484" t="s">
        <v>505</v>
      </c>
      <c r="C17" s="484">
        <v>2767</v>
      </c>
      <c r="D17" s="484">
        <v>2767</v>
      </c>
      <c r="E17" s="484">
        <v>464</v>
      </c>
      <c r="F17" s="484">
        <v>3.88</v>
      </c>
      <c r="G17" s="484">
        <v>11.51</v>
      </c>
      <c r="H17" s="484"/>
      <c r="I17" s="484">
        <v>7.63</v>
      </c>
      <c r="J17" s="484"/>
      <c r="K17" s="484"/>
      <c r="L17" s="484"/>
      <c r="M17" s="485"/>
      <c r="N17" s="486"/>
    </row>
    <row r="18" spans="1:14" ht="9" hidden="1" customHeight="1" x14ac:dyDescent="0.4">
      <c r="A18" s="492"/>
      <c r="B18" s="493"/>
      <c r="C18" s="493"/>
      <c r="D18" s="493"/>
      <c r="E18" s="493"/>
      <c r="F18" s="494"/>
      <c r="G18" s="494"/>
      <c r="H18" s="494"/>
      <c r="I18" s="494"/>
      <c r="J18" s="493"/>
      <c r="K18" s="493"/>
      <c r="L18" s="493"/>
      <c r="M18" s="495"/>
      <c r="N18" s="496"/>
    </row>
    <row r="19" spans="1:14" ht="18" customHeight="1" x14ac:dyDescent="0.25">
      <c r="A19" s="497" t="s">
        <v>125</v>
      </c>
      <c r="B19" s="498" t="s">
        <v>126</v>
      </c>
      <c r="C19" s="499">
        <f>SUM(C21:C27)</f>
        <v>5349720</v>
      </c>
      <c r="D19" s="499">
        <f>SUM(D21:D27)</f>
        <v>4992595</v>
      </c>
      <c r="E19" s="499">
        <f>SUM(E20:E29)</f>
        <v>1301620</v>
      </c>
      <c r="F19" s="499">
        <f>SUM(F20:F28)</f>
        <v>0</v>
      </c>
      <c r="G19" s="499">
        <v>714064.3</v>
      </c>
      <c r="H19" s="499">
        <f>+H27</f>
        <v>89880</v>
      </c>
      <c r="I19" s="499">
        <f>SUM(I20:I29)</f>
        <v>89880</v>
      </c>
      <c r="J19" s="499">
        <f t="shared" si="1"/>
        <v>587555.69999999995</v>
      </c>
      <c r="K19" s="499" t="e">
        <f>+K21+K23</f>
        <v>#REF!</v>
      </c>
      <c r="L19" s="499" t="e">
        <f>+#REF!*100/#REF!</f>
        <v>#REF!</v>
      </c>
      <c r="M19" s="500">
        <f t="shared" si="2"/>
        <v>4278530.7</v>
      </c>
      <c r="N19" s="501">
        <f>G19/E19*100</f>
        <v>54.859659501236926</v>
      </c>
    </row>
    <row r="20" spans="1:14" ht="18" hidden="1" customHeight="1" x14ac:dyDescent="0.25">
      <c r="A20" s="502">
        <v>110</v>
      </c>
      <c r="B20" s="488" t="s">
        <v>428</v>
      </c>
      <c r="C20" s="483"/>
      <c r="D20" s="483"/>
      <c r="E20" s="484">
        <v>0</v>
      </c>
      <c r="F20" s="484">
        <v>0</v>
      </c>
      <c r="G20" s="484">
        <v>0</v>
      </c>
      <c r="H20" s="484"/>
      <c r="I20" s="484">
        <v>0</v>
      </c>
      <c r="J20" s="484">
        <v>0</v>
      </c>
      <c r="K20" s="484"/>
      <c r="L20" s="484"/>
      <c r="M20" s="485"/>
      <c r="N20" s="486" t="s">
        <v>6</v>
      </c>
    </row>
    <row r="21" spans="1:14" ht="18" hidden="1" customHeight="1" x14ac:dyDescent="0.25">
      <c r="A21" s="502">
        <v>120</v>
      </c>
      <c r="B21" s="488" t="s">
        <v>373</v>
      </c>
      <c r="C21" s="483" t="s">
        <v>6</v>
      </c>
      <c r="D21" s="483" t="s">
        <v>6</v>
      </c>
      <c r="E21" s="484" t="s">
        <v>6</v>
      </c>
      <c r="F21" s="484">
        <v>0</v>
      </c>
      <c r="G21" s="484">
        <v>0</v>
      </c>
      <c r="H21" s="484"/>
      <c r="I21" s="484"/>
      <c r="J21" s="484">
        <v>0</v>
      </c>
      <c r="K21" s="484" t="e">
        <f>+#REF!+#REF!</f>
        <v>#REF!</v>
      </c>
      <c r="L21" s="484" t="e">
        <f>+#REF!*100/#REF!</f>
        <v>#REF!</v>
      </c>
      <c r="M21" s="485" t="e">
        <f t="shared" si="2"/>
        <v>#VALUE!</v>
      </c>
      <c r="N21" s="486" t="s">
        <v>6</v>
      </c>
    </row>
    <row r="22" spans="1:14" ht="18" customHeight="1" x14ac:dyDescent="0.2">
      <c r="A22" s="502">
        <v>130</v>
      </c>
      <c r="B22" s="488" t="s">
        <v>457</v>
      </c>
      <c r="C22" s="484">
        <v>10000</v>
      </c>
      <c r="D22" s="484">
        <v>8000</v>
      </c>
      <c r="E22" s="484"/>
      <c r="F22" s="484">
        <v>0</v>
      </c>
      <c r="G22" s="484"/>
      <c r="H22" s="484"/>
      <c r="I22" s="484"/>
      <c r="J22" s="484">
        <f t="shared" si="1"/>
        <v>0</v>
      </c>
      <c r="K22" s="484"/>
      <c r="L22" s="484"/>
      <c r="M22" s="485"/>
      <c r="N22" s="486"/>
    </row>
    <row r="23" spans="1:14" ht="18" customHeight="1" x14ac:dyDescent="0.2">
      <c r="A23" s="503" t="s">
        <v>158</v>
      </c>
      <c r="B23" s="484" t="s">
        <v>159</v>
      </c>
      <c r="C23" s="484">
        <v>75286</v>
      </c>
      <c r="D23" s="484">
        <v>60228</v>
      </c>
      <c r="E23" s="484"/>
      <c r="F23" s="484">
        <v>0</v>
      </c>
      <c r="G23" s="484">
        <v>0</v>
      </c>
      <c r="H23" s="484"/>
      <c r="I23" s="484"/>
      <c r="J23" s="484">
        <f t="shared" si="1"/>
        <v>0</v>
      </c>
      <c r="K23" s="484" t="e">
        <f>+#REF!+K27</f>
        <v>#REF!</v>
      </c>
      <c r="L23" s="484" t="e">
        <f>+#REF!*100/#REF!</f>
        <v>#REF!</v>
      </c>
      <c r="M23" s="485">
        <f t="shared" si="2"/>
        <v>60228</v>
      </c>
      <c r="N23" s="486" t="s">
        <v>6</v>
      </c>
    </row>
    <row r="24" spans="1:14" ht="18" customHeight="1" x14ac:dyDescent="0.2">
      <c r="A24" s="502">
        <v>150</v>
      </c>
      <c r="B24" s="484" t="s">
        <v>499</v>
      </c>
      <c r="C24" s="484">
        <v>5992</v>
      </c>
      <c r="D24" s="484">
        <v>4793</v>
      </c>
      <c r="E24" s="484"/>
      <c r="F24" s="484"/>
      <c r="G24" s="484"/>
      <c r="H24" s="484"/>
      <c r="I24" s="484"/>
      <c r="J24" s="484">
        <f t="shared" si="1"/>
        <v>0</v>
      </c>
      <c r="K24" s="484"/>
      <c r="L24" s="484"/>
      <c r="M24" s="485"/>
      <c r="N24" s="486"/>
    </row>
    <row r="25" spans="1:14" ht="18" customHeight="1" x14ac:dyDescent="0.2">
      <c r="A25" s="503" t="s">
        <v>170</v>
      </c>
      <c r="B25" s="484" t="s">
        <v>171</v>
      </c>
      <c r="C25" s="484">
        <v>690213</v>
      </c>
      <c r="D25" s="484">
        <v>608477</v>
      </c>
      <c r="E25" s="484">
        <v>159098</v>
      </c>
      <c r="F25" s="484">
        <v>0</v>
      </c>
      <c r="G25" s="484">
        <v>47955.81</v>
      </c>
      <c r="H25" s="484"/>
      <c r="I25" s="484">
        <v>0</v>
      </c>
      <c r="J25" s="484">
        <f t="shared" si="1"/>
        <v>111142.19</v>
      </c>
      <c r="K25" s="484" t="e">
        <f>+K27+K31</f>
        <v>#REF!</v>
      </c>
      <c r="L25" s="484" t="e">
        <f>+#REF!*100/#REF!</f>
        <v>#REF!</v>
      </c>
      <c r="M25" s="485">
        <f t="shared" si="2"/>
        <v>560521.18999999994</v>
      </c>
      <c r="N25" s="486">
        <f>G25/E25*100</f>
        <v>30.142308514249077</v>
      </c>
    </row>
    <row r="26" spans="1:14" ht="18" customHeight="1" x14ac:dyDescent="0.2">
      <c r="A26" s="502">
        <v>170</v>
      </c>
      <c r="B26" s="484" t="s">
        <v>406</v>
      </c>
      <c r="C26" s="484">
        <v>170000</v>
      </c>
      <c r="D26" s="484">
        <v>156000</v>
      </c>
      <c r="E26" s="484">
        <v>20000</v>
      </c>
      <c r="F26" s="484"/>
      <c r="G26" s="484"/>
      <c r="H26" s="484"/>
      <c r="I26" s="484"/>
      <c r="J26" s="484">
        <f t="shared" si="1"/>
        <v>20000</v>
      </c>
      <c r="K26" s="484"/>
      <c r="L26" s="484"/>
      <c r="M26" s="485">
        <f t="shared" si="2"/>
        <v>156000</v>
      </c>
      <c r="N26" s="486"/>
    </row>
    <row r="27" spans="1:14" ht="18" customHeight="1" x14ac:dyDescent="0.2">
      <c r="A27" s="503" t="s">
        <v>179</v>
      </c>
      <c r="B27" s="484" t="s">
        <v>180</v>
      </c>
      <c r="C27" s="484">
        <v>4398229</v>
      </c>
      <c r="D27" s="484">
        <v>4155097</v>
      </c>
      <c r="E27" s="484">
        <v>1122522</v>
      </c>
      <c r="F27" s="484">
        <v>0</v>
      </c>
      <c r="G27" s="484">
        <v>666108.49</v>
      </c>
      <c r="H27" s="484">
        <v>89880</v>
      </c>
      <c r="I27" s="484">
        <v>89880</v>
      </c>
      <c r="J27" s="484">
        <f t="shared" si="1"/>
        <v>456413.51</v>
      </c>
      <c r="K27" s="484" t="e">
        <f>+K30+K32</f>
        <v>#REF!</v>
      </c>
      <c r="L27" s="484" t="e">
        <f>+#REF!*100/#REF!</f>
        <v>#REF!</v>
      </c>
      <c r="M27" s="485">
        <f t="shared" si="2"/>
        <v>3488988.51</v>
      </c>
      <c r="N27" s="486">
        <f>G27/E27*100</f>
        <v>59.340350567739428</v>
      </c>
    </row>
    <row r="28" spans="1:14" ht="18" customHeight="1" x14ac:dyDescent="0.2">
      <c r="A28" s="502">
        <v>190</v>
      </c>
      <c r="B28" s="484" t="s">
        <v>407</v>
      </c>
      <c r="C28" s="484"/>
      <c r="D28" s="484">
        <f>SUM(C28:C28)</f>
        <v>0</v>
      </c>
      <c r="E28" s="484">
        <v>0</v>
      </c>
      <c r="F28" s="484">
        <v>0</v>
      </c>
      <c r="G28" s="484">
        <v>0</v>
      </c>
      <c r="H28" s="484"/>
      <c r="I28" s="484">
        <v>0</v>
      </c>
      <c r="J28" s="484" t="s">
        <v>6</v>
      </c>
      <c r="K28" s="484"/>
      <c r="L28" s="484"/>
      <c r="M28" s="485">
        <f t="shared" si="2"/>
        <v>0</v>
      </c>
      <c r="N28" s="486" t="s">
        <v>6</v>
      </c>
    </row>
    <row r="29" spans="1:14" ht="7.15" customHeight="1" x14ac:dyDescent="0.4">
      <c r="A29" s="504"/>
      <c r="B29" s="493"/>
      <c r="C29" s="494"/>
      <c r="D29" s="493"/>
      <c r="E29" s="493"/>
      <c r="F29" s="493"/>
      <c r="G29" s="493"/>
      <c r="H29" s="493"/>
      <c r="I29" s="493"/>
      <c r="J29" s="493"/>
      <c r="K29" s="493"/>
      <c r="L29" s="493"/>
      <c r="M29" s="495"/>
      <c r="N29" s="496"/>
    </row>
    <row r="30" spans="1:14" ht="18" customHeight="1" x14ac:dyDescent="0.25">
      <c r="A30" s="475" t="s">
        <v>185</v>
      </c>
      <c r="B30" s="476" t="s">
        <v>186</v>
      </c>
      <c r="C30" s="477">
        <f>+C31+C32+C34+C35+C36+C37+C38+C33</f>
        <v>809351</v>
      </c>
      <c r="D30" s="477">
        <f>SUM(D31:D39)</f>
        <v>1232094</v>
      </c>
      <c r="E30" s="477">
        <f>SUM(E31:E39)</f>
        <v>584616</v>
      </c>
      <c r="F30" s="477">
        <f>SUM(F31:F39)</f>
        <v>385718.47000000003</v>
      </c>
      <c r="G30" s="477">
        <v>397737.10000000003</v>
      </c>
      <c r="H30" s="478">
        <f>SUM(H31:H39)</f>
        <v>368332.18999999994</v>
      </c>
      <c r="I30" s="477">
        <f>SUM(I31:I39)</f>
        <v>15135.04</v>
      </c>
      <c r="J30" s="477">
        <f t="shared" si="1"/>
        <v>186878.89999999997</v>
      </c>
      <c r="K30" s="477" t="e">
        <f t="shared" ref="K30:K36" si="3">+K31+K33</f>
        <v>#REF!</v>
      </c>
      <c r="L30" s="477" t="e">
        <f>+#REF!*100/#REF!</f>
        <v>#REF!</v>
      </c>
      <c r="M30" s="479">
        <f t="shared" si="2"/>
        <v>834356.89999999991</v>
      </c>
      <c r="N30" s="480"/>
    </row>
    <row r="31" spans="1:14" ht="16.149999999999999" customHeight="1" x14ac:dyDescent="0.25">
      <c r="A31" s="503" t="s">
        <v>193</v>
      </c>
      <c r="B31" s="484" t="s">
        <v>194</v>
      </c>
      <c r="C31" s="484">
        <v>8822</v>
      </c>
      <c r="D31" s="484">
        <v>7057</v>
      </c>
      <c r="E31" s="483">
        <v>0</v>
      </c>
      <c r="F31" s="483"/>
      <c r="G31" s="483"/>
      <c r="H31" s="483"/>
      <c r="I31" s="483"/>
      <c r="J31" s="483">
        <f t="shared" si="1"/>
        <v>0</v>
      </c>
      <c r="K31" s="483" t="e">
        <f t="shared" si="3"/>
        <v>#REF!</v>
      </c>
      <c r="L31" s="483" t="e">
        <f>+#REF!*100/#REF!</f>
        <v>#REF!</v>
      </c>
      <c r="M31" s="485">
        <f t="shared" si="2"/>
        <v>7057</v>
      </c>
      <c r="N31" s="486"/>
    </row>
    <row r="32" spans="1:14" ht="18" hidden="1" customHeight="1" x14ac:dyDescent="0.25">
      <c r="A32" s="503" t="s">
        <v>205</v>
      </c>
      <c r="B32" s="484" t="s">
        <v>206</v>
      </c>
      <c r="C32" s="483">
        <v>0</v>
      </c>
      <c r="D32" s="483"/>
      <c r="E32" s="483"/>
      <c r="F32" s="483"/>
      <c r="G32" s="483"/>
      <c r="H32" s="483"/>
      <c r="I32" s="483"/>
      <c r="J32" s="483">
        <f t="shared" si="1"/>
        <v>0</v>
      </c>
      <c r="K32" s="483" t="e">
        <f t="shared" si="3"/>
        <v>#REF!</v>
      </c>
      <c r="L32" s="483" t="e">
        <f>+#REF!*100/#REF!</f>
        <v>#REF!</v>
      </c>
      <c r="M32" s="485">
        <f t="shared" si="2"/>
        <v>0</v>
      </c>
      <c r="N32" s="486"/>
    </row>
    <row r="33" spans="1:15" ht="18" customHeight="1" x14ac:dyDescent="0.2">
      <c r="A33" s="502">
        <v>230</v>
      </c>
      <c r="B33" s="488" t="s">
        <v>354</v>
      </c>
      <c r="C33" s="484">
        <v>12038</v>
      </c>
      <c r="D33" s="484">
        <v>9630</v>
      </c>
      <c r="E33" s="484"/>
      <c r="F33" s="484"/>
      <c r="G33" s="484"/>
      <c r="H33" s="484"/>
      <c r="I33" s="484"/>
      <c r="J33" s="484">
        <f t="shared" si="1"/>
        <v>0</v>
      </c>
      <c r="K33" s="484" t="e">
        <f t="shared" si="3"/>
        <v>#REF!</v>
      </c>
      <c r="L33" s="484" t="e">
        <f>+#REF!*100/#REF!</f>
        <v>#REF!</v>
      </c>
      <c r="M33" s="485">
        <f t="shared" si="2"/>
        <v>9630</v>
      </c>
      <c r="N33" s="486"/>
    </row>
    <row r="34" spans="1:15" ht="18" hidden="1" customHeight="1" x14ac:dyDescent="0.2">
      <c r="A34" s="503" t="s">
        <v>222</v>
      </c>
      <c r="B34" s="484" t="s">
        <v>223</v>
      </c>
      <c r="C34" s="484"/>
      <c r="D34" s="484">
        <f>SUM(C34:C34)</f>
        <v>0</v>
      </c>
      <c r="E34" s="484"/>
      <c r="F34" s="484">
        <v>0</v>
      </c>
      <c r="G34" s="484">
        <v>0</v>
      </c>
      <c r="H34" s="484"/>
      <c r="I34" s="484">
        <v>0</v>
      </c>
      <c r="J34" s="484" t="s">
        <v>6</v>
      </c>
      <c r="K34" s="484" t="e">
        <f t="shared" si="3"/>
        <v>#REF!</v>
      </c>
      <c r="L34" s="484" t="e">
        <f>+#REF!*100/#REF!</f>
        <v>#REF!</v>
      </c>
      <c r="M34" s="485">
        <f t="shared" si="2"/>
        <v>0</v>
      </c>
      <c r="N34" s="486"/>
    </row>
    <row r="35" spans="1:15" s="7" customFormat="1" ht="18.75" customHeight="1" x14ac:dyDescent="0.2">
      <c r="A35" s="502">
        <v>250</v>
      </c>
      <c r="B35" s="484" t="s">
        <v>397</v>
      </c>
      <c r="C35" s="484">
        <v>132114</v>
      </c>
      <c r="D35" s="505">
        <v>142614</v>
      </c>
      <c r="E35" s="505">
        <v>36923</v>
      </c>
      <c r="F35" s="484">
        <v>10288.049999999999</v>
      </c>
      <c r="G35" s="484">
        <v>16099.989999999998</v>
      </c>
      <c r="H35" s="484">
        <v>10288.049999999999</v>
      </c>
      <c r="I35" s="484" t="s">
        <v>6</v>
      </c>
      <c r="J35" s="484">
        <f t="shared" si="1"/>
        <v>20823.010000000002</v>
      </c>
      <c r="K35" s="484" t="e">
        <f t="shared" si="3"/>
        <v>#REF!</v>
      </c>
      <c r="L35" s="484" t="e">
        <f>+#REF!*100/#REF!</f>
        <v>#REF!</v>
      </c>
      <c r="M35" s="485">
        <f t="shared" si="2"/>
        <v>126514.01000000001</v>
      </c>
      <c r="N35" s="486">
        <f t="shared" ref="N35:N39" si="4">G35/E35*100</f>
        <v>43.604230425480047</v>
      </c>
    </row>
    <row r="36" spans="1:15" ht="18" customHeight="1" x14ac:dyDescent="0.2">
      <c r="A36" s="503" t="s">
        <v>248</v>
      </c>
      <c r="B36" s="484" t="s">
        <v>249</v>
      </c>
      <c r="C36" s="484">
        <v>402459</v>
      </c>
      <c r="D36" s="484">
        <v>790034</v>
      </c>
      <c r="E36" s="484">
        <v>468068</v>
      </c>
      <c r="F36" s="484">
        <v>345066.03</v>
      </c>
      <c r="G36" s="484">
        <v>351272.72000000003</v>
      </c>
      <c r="H36" s="484">
        <v>335453.3</v>
      </c>
      <c r="I36" s="484">
        <v>6093.54</v>
      </c>
      <c r="J36" s="484">
        <f t="shared" si="1"/>
        <v>116795.27999999997</v>
      </c>
      <c r="K36" s="484" t="e">
        <f t="shared" si="3"/>
        <v>#REF!</v>
      </c>
      <c r="L36" s="484" t="e">
        <f>+#REF!*100/#REF!</f>
        <v>#REF!</v>
      </c>
      <c r="M36" s="485">
        <f t="shared" si="2"/>
        <v>438761.27999999997</v>
      </c>
      <c r="N36" s="486">
        <f t="shared" si="4"/>
        <v>75.047369185673887</v>
      </c>
    </row>
    <row r="37" spans="1:15" ht="18" customHeight="1" x14ac:dyDescent="0.2">
      <c r="A37" s="503" t="s">
        <v>255</v>
      </c>
      <c r="B37" s="484" t="s">
        <v>256</v>
      </c>
      <c r="C37" s="484">
        <v>253918</v>
      </c>
      <c r="D37" s="484">
        <v>256415</v>
      </c>
      <c r="E37" s="484">
        <v>53281</v>
      </c>
      <c r="F37" s="484">
        <v>6021.36</v>
      </c>
      <c r="G37" s="484">
        <v>6021.36</v>
      </c>
      <c r="H37" s="484">
        <v>2765.35</v>
      </c>
      <c r="I37" s="484"/>
      <c r="J37" s="484">
        <f t="shared" si="1"/>
        <v>47259.64</v>
      </c>
      <c r="K37" s="484" t="e">
        <f>+K38+K41</f>
        <v>#REF!</v>
      </c>
      <c r="L37" s="484" t="e">
        <f>+#REF!*100/#REF!</f>
        <v>#REF!</v>
      </c>
      <c r="M37" s="485">
        <f t="shared" si="2"/>
        <v>250393.64</v>
      </c>
      <c r="N37" s="486">
        <f t="shared" si="4"/>
        <v>11.301139242882078</v>
      </c>
    </row>
    <row r="38" spans="1:15" ht="18.75" customHeight="1" x14ac:dyDescent="0.4">
      <c r="A38" s="503" t="s">
        <v>271</v>
      </c>
      <c r="B38" s="484" t="s">
        <v>272</v>
      </c>
      <c r="C38" s="494">
        <v>0</v>
      </c>
      <c r="D38" s="484">
        <v>11994</v>
      </c>
      <c r="E38" s="484">
        <v>11994</v>
      </c>
      <c r="F38" s="484">
        <v>9993.69</v>
      </c>
      <c r="G38" s="484">
        <v>9993.69</v>
      </c>
      <c r="H38" s="484">
        <v>9993.69</v>
      </c>
      <c r="I38" s="484"/>
      <c r="J38" s="484">
        <f t="shared" si="1"/>
        <v>2000.3099999999995</v>
      </c>
      <c r="K38" s="484" t="e">
        <f>+K39+K42</f>
        <v>#REF!</v>
      </c>
      <c r="L38" s="484" t="e">
        <f>+#REF!*100/#REF!</f>
        <v>#REF!</v>
      </c>
      <c r="M38" s="485">
        <f t="shared" si="2"/>
        <v>2000.3099999999995</v>
      </c>
      <c r="N38" s="486">
        <f t="shared" si="4"/>
        <v>83.322411205602805</v>
      </c>
    </row>
    <row r="39" spans="1:15" ht="18" customHeight="1" x14ac:dyDescent="0.4">
      <c r="A39" s="502">
        <v>290</v>
      </c>
      <c r="B39" s="484" t="s">
        <v>396</v>
      </c>
      <c r="C39" s="483">
        <v>0</v>
      </c>
      <c r="D39" s="484">
        <v>14350</v>
      </c>
      <c r="E39" s="484">
        <v>14350</v>
      </c>
      <c r="F39" s="484">
        <v>14349.34</v>
      </c>
      <c r="G39" s="484">
        <v>14349.34</v>
      </c>
      <c r="H39" s="484">
        <v>9831.7999999999993</v>
      </c>
      <c r="I39" s="484">
        <v>9041.5</v>
      </c>
      <c r="J39" s="484">
        <f t="shared" si="1"/>
        <v>0.65999999999985448</v>
      </c>
      <c r="K39" s="493" t="e">
        <f>+K41+K43</f>
        <v>#REF!</v>
      </c>
      <c r="L39" s="493" t="e">
        <f>+#REF!*100/#REF!</f>
        <v>#REF!</v>
      </c>
      <c r="M39" s="495">
        <f t="shared" si="2"/>
        <v>0.65999999999985448</v>
      </c>
      <c r="N39" s="486">
        <f t="shared" si="4"/>
        <v>99.99540069686411</v>
      </c>
    </row>
    <row r="40" spans="1:15" ht="7.9" customHeight="1" x14ac:dyDescent="0.4">
      <c r="A40" s="506"/>
      <c r="B40" s="493"/>
      <c r="C40" s="494"/>
      <c r="D40" s="494"/>
      <c r="E40" s="494"/>
      <c r="F40" s="494"/>
      <c r="G40" s="494"/>
      <c r="H40" s="494"/>
      <c r="I40" s="494"/>
      <c r="J40" s="494"/>
      <c r="K40" s="494"/>
      <c r="L40" s="494"/>
      <c r="M40" s="495"/>
      <c r="N40" s="496"/>
    </row>
    <row r="41" spans="1:15" ht="18" customHeight="1" x14ac:dyDescent="0.25">
      <c r="A41" s="507" t="s">
        <v>278</v>
      </c>
      <c r="B41" s="508" t="s">
        <v>279</v>
      </c>
      <c r="C41" s="509">
        <f>SUM(C42:C50)</f>
        <v>22258230</v>
      </c>
      <c r="D41" s="509">
        <f>SUM(D42:D50)</f>
        <v>23412253</v>
      </c>
      <c r="E41" s="509">
        <f>SUM(E42:E50)</f>
        <v>6619773</v>
      </c>
      <c r="F41" s="509">
        <f>SUM(F42:F50)</f>
        <v>589978.27</v>
      </c>
      <c r="G41" s="509">
        <v>2142466.12</v>
      </c>
      <c r="H41" s="509">
        <f>SUM(H42:H50)</f>
        <v>287040.73000000004</v>
      </c>
      <c r="I41" s="509">
        <f>SUM(I42:I51)</f>
        <v>74471.319999999992</v>
      </c>
      <c r="J41" s="509">
        <f t="shared" si="1"/>
        <v>4477306.8799999999</v>
      </c>
      <c r="K41" s="509" t="e">
        <f t="shared" ref="K41:K46" si="5">+K42+K44</f>
        <v>#REF!</v>
      </c>
      <c r="L41" s="509" t="e">
        <f>+#REF!*100/#REF!</f>
        <v>#REF!</v>
      </c>
      <c r="M41" s="510">
        <f t="shared" si="2"/>
        <v>21269786.879999999</v>
      </c>
      <c r="N41" s="511">
        <f>G41/E41*100</f>
        <v>32.364646340592039</v>
      </c>
    </row>
    <row r="42" spans="1:15" ht="18" customHeight="1" x14ac:dyDescent="0.25">
      <c r="A42" s="481">
        <v>300</v>
      </c>
      <c r="B42" s="488" t="s">
        <v>280</v>
      </c>
      <c r="C42" s="484">
        <v>5589374</v>
      </c>
      <c r="D42" s="484">
        <v>5348053</v>
      </c>
      <c r="E42" s="484">
        <v>967199</v>
      </c>
      <c r="F42" s="484">
        <v>8886.19</v>
      </c>
      <c r="G42" s="484">
        <v>48129.79</v>
      </c>
      <c r="H42" s="484">
        <v>40571.339999999997</v>
      </c>
      <c r="I42" s="484">
        <v>39033.599999999999</v>
      </c>
      <c r="J42" s="484">
        <f t="shared" si="1"/>
        <v>919069.21</v>
      </c>
      <c r="K42" s="483" t="e">
        <f t="shared" si="5"/>
        <v>#REF!</v>
      </c>
      <c r="L42" s="483" t="e">
        <f>+#REF!*100/#REF!</f>
        <v>#REF!</v>
      </c>
      <c r="M42" s="485">
        <f t="shared" si="2"/>
        <v>5299923.21</v>
      </c>
      <c r="N42" s="486">
        <f t="shared" ref="N42" si="6">G42/E42*100</f>
        <v>4.9762034493418623</v>
      </c>
    </row>
    <row r="43" spans="1:15" ht="18" customHeight="1" x14ac:dyDescent="0.25">
      <c r="A43" s="481">
        <v>310</v>
      </c>
      <c r="B43" s="488" t="s">
        <v>398</v>
      </c>
      <c r="C43" s="484">
        <v>1381177</v>
      </c>
      <c r="D43" s="484">
        <v>1369009</v>
      </c>
      <c r="E43" s="484">
        <v>264068</v>
      </c>
      <c r="F43" s="484"/>
      <c r="G43" s="484">
        <v>0</v>
      </c>
      <c r="H43" s="484"/>
      <c r="I43" s="484"/>
      <c r="J43" s="484">
        <f t="shared" si="1"/>
        <v>264068</v>
      </c>
      <c r="K43" s="484" t="e">
        <f t="shared" si="5"/>
        <v>#REF!</v>
      </c>
      <c r="L43" s="484" t="e">
        <f>+#REF!*100/#REF!</f>
        <v>#REF!</v>
      </c>
      <c r="M43" s="485">
        <f t="shared" si="2"/>
        <v>1369009</v>
      </c>
      <c r="N43" s="486"/>
      <c r="O43" s="25" t="s">
        <v>6</v>
      </c>
    </row>
    <row r="44" spans="1:15" ht="15" customHeight="1" x14ac:dyDescent="0.25">
      <c r="A44" s="481">
        <v>320</v>
      </c>
      <c r="B44" s="484" t="s">
        <v>281</v>
      </c>
      <c r="C44" s="484">
        <v>2771165</v>
      </c>
      <c r="D44" s="484">
        <v>3162038</v>
      </c>
      <c r="E44" s="484">
        <v>972211</v>
      </c>
      <c r="F44" s="484">
        <v>44220.51</v>
      </c>
      <c r="G44" s="484">
        <v>67042.55</v>
      </c>
      <c r="H44" s="484">
        <v>39751.58</v>
      </c>
      <c r="I44" s="484">
        <v>5926.74</v>
      </c>
      <c r="J44" s="484">
        <f t="shared" si="1"/>
        <v>905168.45</v>
      </c>
      <c r="K44" s="484" t="e">
        <f t="shared" si="5"/>
        <v>#REF!</v>
      </c>
      <c r="L44" s="484" t="e">
        <f>+#REF!*100/#REF!</f>
        <v>#REF!</v>
      </c>
      <c r="M44" s="485">
        <f t="shared" si="2"/>
        <v>3094995.45</v>
      </c>
      <c r="N44" s="486">
        <f>G44/E44*100</f>
        <v>6.8958847410695832</v>
      </c>
    </row>
    <row r="45" spans="1:15" ht="13.5" customHeight="1" x14ac:dyDescent="0.25">
      <c r="A45" s="481">
        <v>330</v>
      </c>
      <c r="B45" s="484" t="s">
        <v>362</v>
      </c>
      <c r="C45" s="484">
        <v>1992844</v>
      </c>
      <c r="D45" s="484">
        <v>2178514</v>
      </c>
      <c r="E45" s="484">
        <v>584240</v>
      </c>
      <c r="F45" s="484">
        <v>10568.56</v>
      </c>
      <c r="G45" s="484">
        <v>10568.56</v>
      </c>
      <c r="H45" s="484">
        <v>4581.91</v>
      </c>
      <c r="I45" s="484"/>
      <c r="J45" s="484">
        <f t="shared" si="1"/>
        <v>573671.43999999994</v>
      </c>
      <c r="K45" s="484" t="e">
        <f t="shared" si="5"/>
        <v>#REF!</v>
      </c>
      <c r="L45" s="484" t="e">
        <f>+#REF!*100/#REF!</f>
        <v>#REF!</v>
      </c>
      <c r="M45" s="485">
        <f t="shared" si="2"/>
        <v>2167945.44</v>
      </c>
      <c r="N45" s="486">
        <f t="shared" ref="N45:N47" si="7">G45/E45*100</f>
        <v>1.8089415308777212</v>
      </c>
    </row>
    <row r="46" spans="1:15" ht="17.45" customHeight="1" x14ac:dyDescent="0.25">
      <c r="A46" s="481">
        <v>340</v>
      </c>
      <c r="B46" s="484" t="s">
        <v>133</v>
      </c>
      <c r="C46" s="484">
        <v>16758</v>
      </c>
      <c r="D46" s="484">
        <f t="shared" ref="D46" si="8">SUM(C46:C46)</f>
        <v>16758</v>
      </c>
      <c r="E46" s="484">
        <v>3352</v>
      </c>
      <c r="F46" s="484">
        <v>0</v>
      </c>
      <c r="G46" s="484">
        <v>85</v>
      </c>
      <c r="H46" s="484">
        <v>85</v>
      </c>
      <c r="I46" s="484"/>
      <c r="J46" s="484">
        <f t="shared" si="1"/>
        <v>3267</v>
      </c>
      <c r="K46" s="484" t="e">
        <f t="shared" si="5"/>
        <v>#REF!</v>
      </c>
      <c r="L46" s="484" t="e">
        <f>+#REF!*100/#REF!</f>
        <v>#REF!</v>
      </c>
      <c r="M46" s="485">
        <f t="shared" si="2"/>
        <v>16673</v>
      </c>
      <c r="N46" s="486">
        <f t="shared" si="7"/>
        <v>2.535799522673031</v>
      </c>
    </row>
    <row r="47" spans="1:15" ht="16.5" customHeight="1" x14ac:dyDescent="0.25">
      <c r="A47" s="481">
        <v>350</v>
      </c>
      <c r="B47" s="484" t="s">
        <v>282</v>
      </c>
      <c r="C47" s="484">
        <v>594406</v>
      </c>
      <c r="D47" s="484">
        <v>745756</v>
      </c>
      <c r="E47" s="484">
        <v>270232</v>
      </c>
      <c r="F47" s="484">
        <v>81313.08</v>
      </c>
      <c r="G47" s="484">
        <v>122100.08</v>
      </c>
      <c r="H47" s="484">
        <v>53816.31</v>
      </c>
      <c r="I47" s="484">
        <v>7204.25</v>
      </c>
      <c r="J47" s="484">
        <f t="shared" si="1"/>
        <v>148131.91999999998</v>
      </c>
      <c r="K47" s="484" t="e">
        <f>+K48+#REF!</f>
        <v>#REF!</v>
      </c>
      <c r="L47" s="484" t="e">
        <f>+#REF!*100/#REF!</f>
        <v>#REF!</v>
      </c>
      <c r="M47" s="485">
        <f t="shared" si="2"/>
        <v>623655.92000000004</v>
      </c>
      <c r="N47" s="486">
        <f t="shared" si="7"/>
        <v>45.183427573344389</v>
      </c>
    </row>
    <row r="48" spans="1:15" ht="18" customHeight="1" x14ac:dyDescent="0.25">
      <c r="A48" s="481">
        <v>370</v>
      </c>
      <c r="B48" s="484" t="s">
        <v>283</v>
      </c>
      <c r="C48" s="484">
        <v>5548922</v>
      </c>
      <c r="D48" s="484">
        <v>5968531</v>
      </c>
      <c r="E48" s="484">
        <v>2054521</v>
      </c>
      <c r="F48" s="484">
        <v>37057.919999999998</v>
      </c>
      <c r="G48" s="484">
        <v>957021.1</v>
      </c>
      <c r="H48" s="484">
        <v>19397.98</v>
      </c>
      <c r="I48" s="484">
        <v>2520.52</v>
      </c>
      <c r="J48" s="484">
        <f t="shared" si="1"/>
        <v>1097499.8999999999</v>
      </c>
      <c r="K48" s="484" t="e">
        <f>+K49+#REF!</f>
        <v>#REF!</v>
      </c>
      <c r="L48" s="484" t="e">
        <f>+#REF!*100/#REF!</f>
        <v>#REF!</v>
      </c>
      <c r="M48" s="485">
        <f t="shared" si="2"/>
        <v>5011509.9000000004</v>
      </c>
      <c r="N48" s="486">
        <f>G48/E48*100</f>
        <v>46.581227449123176</v>
      </c>
    </row>
    <row r="49" spans="1:16" ht="18" customHeight="1" x14ac:dyDescent="0.25">
      <c r="A49" s="481">
        <v>380</v>
      </c>
      <c r="B49" s="484" t="s">
        <v>284</v>
      </c>
      <c r="C49" s="484">
        <v>4363584</v>
      </c>
      <c r="D49" s="484">
        <v>4476314</v>
      </c>
      <c r="E49" s="484">
        <v>1356670</v>
      </c>
      <c r="F49" s="484">
        <v>279298.43</v>
      </c>
      <c r="G49" s="484">
        <v>807101.78</v>
      </c>
      <c r="H49" s="484">
        <v>80199.94</v>
      </c>
      <c r="I49" s="484">
        <v>5322.67</v>
      </c>
      <c r="J49" s="484">
        <f t="shared" si="1"/>
        <v>549568.22</v>
      </c>
      <c r="K49" s="484" t="e">
        <f>+#REF!+#REF!</f>
        <v>#REF!</v>
      </c>
      <c r="L49" s="484" t="e">
        <f>+#REF!*100/#REF!</f>
        <v>#REF!</v>
      </c>
      <c r="M49" s="485">
        <f t="shared" si="2"/>
        <v>3669212.2199999997</v>
      </c>
      <c r="N49" s="486">
        <f>G49/E49*100</f>
        <v>59.491385524851296</v>
      </c>
    </row>
    <row r="50" spans="1:16" ht="18" customHeight="1" x14ac:dyDescent="0.25">
      <c r="A50" s="481">
        <v>390</v>
      </c>
      <c r="B50" s="484" t="s">
        <v>399</v>
      </c>
      <c r="C50" s="484"/>
      <c r="D50" s="484">
        <v>147280</v>
      </c>
      <c r="E50" s="484">
        <v>147280</v>
      </c>
      <c r="F50" s="484">
        <v>128633.58</v>
      </c>
      <c r="G50" s="484">
        <v>130417.26</v>
      </c>
      <c r="H50" s="484">
        <v>48636.67</v>
      </c>
      <c r="I50" s="484">
        <v>14463.54</v>
      </c>
      <c r="J50" s="484">
        <f t="shared" si="1"/>
        <v>16862.740000000005</v>
      </c>
      <c r="K50" s="483" t="e">
        <f>+K52+#REF!</f>
        <v>#REF!</v>
      </c>
      <c r="L50" s="483" t="e">
        <f>+#REF!*100/#REF!</f>
        <v>#REF!</v>
      </c>
      <c r="M50" s="485">
        <f t="shared" si="2"/>
        <v>16862.740000000005</v>
      </c>
      <c r="N50" s="486">
        <f t="shared" ref="N50" si="9">G50/E50*100</f>
        <v>88.550556762629</v>
      </c>
    </row>
    <row r="51" spans="1:16" ht="8.4499999999999993" customHeight="1" x14ac:dyDescent="0.4">
      <c r="A51" s="506"/>
      <c r="B51" s="493"/>
      <c r="C51" s="493"/>
      <c r="D51" s="493"/>
      <c r="E51" s="493"/>
      <c r="F51" s="493"/>
      <c r="G51" s="493"/>
      <c r="H51" s="493"/>
      <c r="I51" s="493"/>
      <c r="J51" s="494"/>
      <c r="K51" s="494"/>
      <c r="L51" s="494"/>
      <c r="M51" s="495"/>
      <c r="N51" s="496"/>
    </row>
    <row r="52" spans="1:16" ht="18" customHeight="1" x14ac:dyDescent="0.25">
      <c r="A52" s="475">
        <v>5</v>
      </c>
      <c r="B52" s="477" t="s">
        <v>351</v>
      </c>
      <c r="C52" s="477">
        <f>C53</f>
        <v>24785293</v>
      </c>
      <c r="D52" s="477">
        <f t="shared" ref="D52:I52" si="10">SUM(D53)</f>
        <v>23702172</v>
      </c>
      <c r="E52" s="477">
        <f t="shared" si="10"/>
        <v>4251499</v>
      </c>
      <c r="F52" s="477">
        <f t="shared" si="10"/>
        <v>558165.65</v>
      </c>
      <c r="G52" s="477">
        <v>2115257.17</v>
      </c>
      <c r="H52" s="478"/>
      <c r="I52" s="477">
        <f t="shared" si="10"/>
        <v>0</v>
      </c>
      <c r="J52" s="477">
        <f t="shared" si="1"/>
        <v>2136241.83</v>
      </c>
      <c r="K52" s="477" t="e">
        <f>+#REF!+K53</f>
        <v>#REF!</v>
      </c>
      <c r="L52" s="477" t="e">
        <f>+#REF!*100/#REF!</f>
        <v>#REF!</v>
      </c>
      <c r="M52" s="479">
        <f t="shared" si="2"/>
        <v>21586914.829999998</v>
      </c>
      <c r="N52" s="480">
        <f>G52/E52*100</f>
        <v>49.753208691804936</v>
      </c>
    </row>
    <row r="53" spans="1:16" ht="18" customHeight="1" x14ac:dyDescent="0.25">
      <c r="A53" s="502">
        <v>510</v>
      </c>
      <c r="B53" s="484" t="s">
        <v>352</v>
      </c>
      <c r="C53" s="484">
        <v>24785293</v>
      </c>
      <c r="D53" s="484">
        <v>23702172</v>
      </c>
      <c r="E53" s="484">
        <v>4251499</v>
      </c>
      <c r="F53" s="484">
        <v>558165.65</v>
      </c>
      <c r="G53" s="484">
        <v>2115257.17</v>
      </c>
      <c r="H53" s="484"/>
      <c r="I53" s="484">
        <v>0</v>
      </c>
      <c r="J53" s="484">
        <f t="shared" si="1"/>
        <v>2136241.83</v>
      </c>
      <c r="K53" s="483" t="e">
        <f>+#REF!+K55</f>
        <v>#REF!</v>
      </c>
      <c r="L53" s="483" t="e">
        <f>+#REF!*100/#REF!</f>
        <v>#REF!</v>
      </c>
      <c r="M53" s="485">
        <f t="shared" si="2"/>
        <v>21586914.829999998</v>
      </c>
      <c r="N53" s="486">
        <f>G53/E53*100</f>
        <v>49.753208691804936</v>
      </c>
    </row>
    <row r="54" spans="1:16" ht="3" customHeight="1" x14ac:dyDescent="0.4">
      <c r="A54" s="512"/>
      <c r="B54" s="493"/>
      <c r="C54" s="493"/>
      <c r="D54" s="493"/>
      <c r="E54" s="493"/>
      <c r="F54" s="493"/>
      <c r="G54" s="493"/>
      <c r="H54" s="493"/>
      <c r="I54" s="493"/>
      <c r="J54" s="494"/>
      <c r="K54" s="494"/>
      <c r="L54" s="494"/>
      <c r="M54" s="495"/>
      <c r="N54" s="496"/>
    </row>
    <row r="55" spans="1:16" ht="18" customHeight="1" x14ac:dyDescent="0.25">
      <c r="A55" s="475" t="s">
        <v>290</v>
      </c>
      <c r="B55" s="476" t="s">
        <v>291</v>
      </c>
      <c r="C55" s="477">
        <f>SUM(C57:C58)</f>
        <v>2559600</v>
      </c>
      <c r="D55" s="477">
        <f>SUM(D56:D58)</f>
        <v>2423080</v>
      </c>
      <c r="E55" s="477">
        <f>SUM(E56:E58)</f>
        <v>375400</v>
      </c>
      <c r="F55" s="477">
        <f>SUM(F57)</f>
        <v>0</v>
      </c>
      <c r="G55" s="477">
        <v>0</v>
      </c>
      <c r="H55" s="478"/>
      <c r="I55" s="477">
        <f>SUM(I57)</f>
        <v>0</v>
      </c>
      <c r="J55" s="477">
        <f t="shared" si="1"/>
        <v>375400</v>
      </c>
      <c r="K55" s="477">
        <f>+K56+K58</f>
        <v>0</v>
      </c>
      <c r="L55" s="477" t="e">
        <f>+#REF!*100/#REF!</f>
        <v>#REF!</v>
      </c>
      <c r="M55" s="479">
        <f t="shared" si="2"/>
        <v>2423080</v>
      </c>
      <c r="N55" s="480">
        <f>G55/E55*100</f>
        <v>0</v>
      </c>
    </row>
    <row r="56" spans="1:16" ht="18" customHeight="1" x14ac:dyDescent="0.2">
      <c r="A56" s="503" t="s">
        <v>295</v>
      </c>
      <c r="B56" s="484" t="s">
        <v>164</v>
      </c>
      <c r="C56" s="484" t="s">
        <v>6</v>
      </c>
      <c r="D56" s="484">
        <f>SUM(C56:C56)</f>
        <v>0</v>
      </c>
      <c r="E56" s="484" t="s">
        <v>6</v>
      </c>
      <c r="F56" s="484"/>
      <c r="G56" s="484"/>
      <c r="H56" s="484"/>
      <c r="I56" s="484"/>
      <c r="J56" s="484" t="s">
        <v>6</v>
      </c>
      <c r="K56" s="484">
        <f>+K57+K60</f>
        <v>0</v>
      </c>
      <c r="L56" s="484" t="e">
        <f>+#REF!*100/#REF!</f>
        <v>#REF!</v>
      </c>
      <c r="M56" s="485">
        <f t="shared" si="2"/>
        <v>0</v>
      </c>
      <c r="N56" s="486" t="s">
        <v>6</v>
      </c>
    </row>
    <row r="57" spans="1:16" ht="18" customHeight="1" x14ac:dyDescent="0.2">
      <c r="A57" s="502">
        <v>620</v>
      </c>
      <c r="B57" s="484" t="s">
        <v>357</v>
      </c>
      <c r="C57" s="484">
        <v>2559600</v>
      </c>
      <c r="D57" s="484">
        <v>2222080</v>
      </c>
      <c r="E57" s="484">
        <v>174400</v>
      </c>
      <c r="F57" s="484">
        <v>0</v>
      </c>
      <c r="G57" s="484">
        <v>0</v>
      </c>
      <c r="H57" s="484"/>
      <c r="I57" s="484" t="s">
        <v>6</v>
      </c>
      <c r="J57" s="484">
        <f t="shared" si="1"/>
        <v>174400</v>
      </c>
      <c r="K57" s="484">
        <f>+K58+K61</f>
        <v>0</v>
      </c>
      <c r="L57" s="484" t="e">
        <f>+#REF!*100/#REF!</f>
        <v>#REF!</v>
      </c>
      <c r="M57" s="485">
        <f t="shared" si="2"/>
        <v>2222080</v>
      </c>
      <c r="N57" s="486">
        <f>G57/E57*100</f>
        <v>0</v>
      </c>
    </row>
    <row r="58" spans="1:16" ht="18" customHeight="1" x14ac:dyDescent="0.2">
      <c r="A58" s="502">
        <v>630</v>
      </c>
      <c r="B58" s="484" t="s">
        <v>400</v>
      </c>
      <c r="C58" s="484">
        <v>0</v>
      </c>
      <c r="D58" s="484">
        <v>201000</v>
      </c>
      <c r="E58" s="484">
        <v>201000</v>
      </c>
      <c r="F58" s="484"/>
      <c r="G58" s="484"/>
      <c r="H58" s="484"/>
      <c r="I58" s="484"/>
      <c r="J58" s="484">
        <f t="shared" si="1"/>
        <v>201000</v>
      </c>
      <c r="K58" s="484">
        <f>+K60+K62</f>
        <v>0</v>
      </c>
      <c r="L58" s="484" t="e">
        <f>+#REF!*100/#REF!</f>
        <v>#REF!</v>
      </c>
      <c r="M58" s="485">
        <f t="shared" si="2"/>
        <v>201000</v>
      </c>
      <c r="N58" s="486" t="s">
        <v>6</v>
      </c>
    </row>
    <row r="59" spans="1:16" ht="9.6" customHeight="1" x14ac:dyDescent="0.4">
      <c r="A59" s="506"/>
      <c r="B59" s="493"/>
      <c r="C59" s="494"/>
      <c r="D59" s="494"/>
      <c r="E59" s="494"/>
      <c r="F59" s="494"/>
      <c r="G59" s="494"/>
      <c r="H59" s="494"/>
      <c r="I59" s="494"/>
      <c r="J59" s="494"/>
      <c r="K59" s="494"/>
      <c r="L59" s="494"/>
      <c r="M59" s="495"/>
      <c r="N59" s="496"/>
    </row>
    <row r="60" spans="1:16" ht="19.149999999999999" customHeight="1" x14ac:dyDescent="0.4">
      <c r="A60" s="513" t="s">
        <v>6</v>
      </c>
      <c r="B60" s="514" t="s">
        <v>353</v>
      </c>
      <c r="C60" s="515">
        <f t="shared" ref="C60:I60" si="11">+C55+C52+C41+C30+C19+C9</f>
        <v>56905194</v>
      </c>
      <c r="D60" s="515">
        <f t="shared" si="11"/>
        <v>56905194</v>
      </c>
      <c r="E60" s="515">
        <f>+E55+E52+E41+E30+E19+E9</f>
        <v>13430800</v>
      </c>
      <c r="F60" s="515">
        <f t="shared" si="11"/>
        <v>1535819.49</v>
      </c>
      <c r="G60" s="515">
        <v>5374400.3999999994</v>
      </c>
      <c r="H60" s="515">
        <f t="shared" si="11"/>
        <v>749516.23</v>
      </c>
      <c r="I60" s="515">
        <f t="shared" si="11"/>
        <v>184128.65999999997</v>
      </c>
      <c r="J60" s="515">
        <f t="shared" si="1"/>
        <v>8056399.6000000006</v>
      </c>
      <c r="K60" s="515">
        <f>+K61+K63</f>
        <v>0</v>
      </c>
      <c r="L60" s="515" t="e">
        <f>+#REF!*100/#REF!</f>
        <v>#REF!</v>
      </c>
      <c r="M60" s="514">
        <f t="shared" si="2"/>
        <v>51530793.600000001</v>
      </c>
      <c r="N60" s="516">
        <f>G60/E60*100</f>
        <v>40.015489769782882</v>
      </c>
      <c r="P60" s="43"/>
    </row>
    <row r="61" spans="1:16" x14ac:dyDescent="0.25">
      <c r="A61" s="517"/>
      <c r="B61" s="518"/>
      <c r="C61" s="88"/>
      <c r="D61" s="88"/>
      <c r="E61" s="88"/>
      <c r="F61" s="88"/>
      <c r="G61" s="88"/>
      <c r="H61" s="88"/>
      <c r="I61" s="88"/>
      <c r="J61" s="88"/>
      <c r="K61" s="519"/>
      <c r="L61" s="520"/>
      <c r="M61" s="521"/>
    </row>
    <row r="62" spans="1:16" x14ac:dyDescent="0.25">
      <c r="A62" s="712" t="s">
        <v>509</v>
      </c>
      <c r="B62" s="712"/>
      <c r="E62" s="1" t="s">
        <v>6</v>
      </c>
      <c r="P62" s="43"/>
    </row>
    <row r="63" spans="1:16" x14ac:dyDescent="0.25">
      <c r="A63" s="10"/>
      <c r="B63" s="12"/>
      <c r="I63" t="s">
        <v>6</v>
      </c>
    </row>
    <row r="64" spans="1:16" x14ac:dyDescent="0.25">
      <c r="B64" s="65">
        <v>0</v>
      </c>
      <c r="C64" s="60" t="s">
        <v>6</v>
      </c>
    </row>
    <row r="65" spans="2:4" x14ac:dyDescent="0.25">
      <c r="B65" s="68"/>
      <c r="C65" s="61"/>
      <c r="D65" s="61"/>
    </row>
    <row r="66" spans="2:4" x14ac:dyDescent="0.25">
      <c r="B66" s="64"/>
      <c r="C66" s="67"/>
    </row>
    <row r="67" spans="2:4" x14ac:dyDescent="0.25">
      <c r="B67" s="66"/>
      <c r="C67" s="63"/>
      <c r="D67" s="63"/>
    </row>
    <row r="68" spans="2:4" x14ac:dyDescent="0.25">
      <c r="B68" s="64"/>
      <c r="C68" s="65"/>
    </row>
    <row r="69" spans="2:4" x14ac:dyDescent="0.25">
      <c r="B69" s="66"/>
      <c r="C69" s="66"/>
      <c r="D69" s="66"/>
    </row>
    <row r="70" spans="2:4" x14ac:dyDescent="0.25">
      <c r="B70" s="64"/>
      <c r="C70" s="62"/>
    </row>
    <row r="71" spans="2:4" x14ac:dyDescent="0.25">
      <c r="B71" s="66"/>
      <c r="C71" s="63"/>
      <c r="D71" s="63"/>
    </row>
    <row r="72" spans="2:4" x14ac:dyDescent="0.25">
      <c r="B72" s="64"/>
      <c r="C72" s="65"/>
    </row>
    <row r="73" spans="2:4" x14ac:dyDescent="0.25">
      <c r="B73" s="66"/>
      <c r="C73" s="66"/>
      <c r="D73" s="66"/>
    </row>
    <row r="74" spans="2:4" x14ac:dyDescent="0.25">
      <c r="B74" s="64"/>
      <c r="C74" s="62"/>
    </row>
    <row r="75" spans="2:4" x14ac:dyDescent="0.25">
      <c r="B75" s="66"/>
      <c r="C75" s="63"/>
      <c r="D75" s="63"/>
    </row>
    <row r="76" spans="2:4" x14ac:dyDescent="0.25">
      <c r="B76" s="64"/>
      <c r="C76" s="65"/>
    </row>
    <row r="77" spans="2:4" x14ac:dyDescent="0.25">
      <c r="B77" s="66"/>
      <c r="C77" s="66"/>
      <c r="D77" s="66"/>
    </row>
    <row r="78" spans="2:4" x14ac:dyDescent="0.25">
      <c r="B78" s="64"/>
      <c r="C78" s="65"/>
    </row>
    <row r="79" spans="2:4" x14ac:dyDescent="0.25">
      <c r="B79" s="66"/>
      <c r="C79" s="66"/>
      <c r="D79" s="66"/>
    </row>
    <row r="80" spans="2:4" x14ac:dyDescent="0.25">
      <c r="B80" s="64"/>
      <c r="C80" s="65"/>
    </row>
    <row r="81" spans="1:11" x14ac:dyDescent="0.25">
      <c r="B81" s="66"/>
      <c r="C81" s="66"/>
      <c r="D81" s="66"/>
    </row>
    <row r="82" spans="1:11" x14ac:dyDescent="0.25">
      <c r="B82" s="64"/>
      <c r="C82" s="65"/>
    </row>
    <row r="83" spans="1:11" x14ac:dyDescent="0.25">
      <c r="A83" s="706"/>
      <c r="B83" s="12"/>
    </row>
    <row r="84" spans="1:11" x14ac:dyDescent="0.25">
      <c r="A84" s="706"/>
      <c r="B84" s="12"/>
    </row>
    <row r="85" spans="1:11" x14ac:dyDescent="0.25">
      <c r="A85" s="10"/>
      <c r="B85" s="12"/>
    </row>
    <row r="86" spans="1:11" x14ac:dyDescent="0.25">
      <c r="A86" s="10"/>
      <c r="B86" s="12"/>
    </row>
    <row r="87" spans="1:11" x14ac:dyDescent="0.25">
      <c r="A87" s="13"/>
      <c r="B87" s="12"/>
    </row>
    <row r="88" spans="1:11" x14ac:dyDescent="0.25">
      <c r="A88" s="13"/>
      <c r="B88" s="12"/>
    </row>
    <row r="89" spans="1:11" x14ac:dyDescent="0.25">
      <c r="A89" s="13"/>
      <c r="B89" s="12"/>
    </row>
    <row r="90" spans="1:11" x14ac:dyDescent="0.25">
      <c r="A90" s="13"/>
      <c r="B90" s="12"/>
    </row>
    <row r="91" spans="1:11" ht="14.25" thickBot="1" x14ac:dyDescent="0.3">
      <c r="A91" s="10"/>
      <c r="B91" s="12"/>
    </row>
    <row r="92" spans="1:11" ht="14.25" thickTop="1" x14ac:dyDescent="0.25">
      <c r="A92" s="10"/>
      <c r="B92" s="69"/>
      <c r="C92" s="14"/>
      <c r="D92" s="9"/>
      <c r="E92" s="9"/>
      <c r="F92" s="9"/>
      <c r="G92" s="9"/>
      <c r="H92" s="9"/>
      <c r="I92" s="9"/>
      <c r="J92" s="9"/>
      <c r="K92" s="11"/>
    </row>
    <row r="93" spans="1:11" x14ac:dyDescent="0.25">
      <c r="A93" s="5"/>
      <c r="B93" s="2"/>
      <c r="C93" s="5"/>
      <c r="D93" s="5"/>
      <c r="E93" s="5"/>
      <c r="F93" s="5"/>
      <c r="G93" s="5"/>
      <c r="H93" s="5"/>
      <c r="I93" s="5"/>
      <c r="J93" s="5"/>
      <c r="K93" s="15"/>
    </row>
    <row r="94" spans="1:11" x14ac:dyDescent="0.25">
      <c r="A94" s="5"/>
      <c r="B94" s="2"/>
      <c r="C94" s="5"/>
      <c r="D94" s="5"/>
      <c r="E94" s="5"/>
      <c r="F94" s="5"/>
      <c r="G94" s="5"/>
      <c r="H94" s="5"/>
      <c r="I94" s="5"/>
      <c r="J94" s="5"/>
      <c r="K94" s="15"/>
    </row>
    <row r="95" spans="1:11" x14ac:dyDescent="0.25">
      <c r="A95" s="5"/>
      <c r="B95" s="2"/>
      <c r="C95" s="5"/>
      <c r="D95" s="5"/>
      <c r="E95" s="5"/>
      <c r="F95" s="5"/>
      <c r="G95" s="5"/>
      <c r="H95" s="5"/>
      <c r="I95" s="5"/>
      <c r="J95" s="5"/>
      <c r="K95" s="15"/>
    </row>
    <row r="96" spans="1:11" x14ac:dyDescent="0.25">
      <c r="A96" s="5"/>
      <c r="B96" s="2"/>
      <c r="C96" s="5"/>
      <c r="D96" s="5"/>
      <c r="E96" s="5"/>
      <c r="F96" s="5"/>
      <c r="G96" s="5"/>
      <c r="H96" s="5"/>
      <c r="I96" s="5"/>
      <c r="J96" s="5"/>
      <c r="K96" s="15"/>
    </row>
    <row r="97" spans="1:11" x14ac:dyDescent="0.25">
      <c r="A97" s="5"/>
      <c r="B97" s="2"/>
      <c r="C97" s="5"/>
      <c r="D97" s="5"/>
      <c r="E97" s="5"/>
      <c r="F97" s="5"/>
      <c r="G97" s="5"/>
      <c r="H97" s="5"/>
      <c r="I97" s="5"/>
      <c r="J97" s="5"/>
      <c r="K97" s="15"/>
    </row>
    <row r="98" spans="1:11" x14ac:dyDescent="0.25">
      <c r="A98" s="5"/>
      <c r="B98" s="2"/>
      <c r="C98" s="5"/>
      <c r="D98" s="5"/>
      <c r="E98" s="5"/>
      <c r="F98" s="5"/>
      <c r="G98" s="5"/>
      <c r="H98" s="5"/>
      <c r="I98" s="5"/>
      <c r="J98" s="5"/>
      <c r="K98" s="15"/>
    </row>
    <row r="99" spans="1:11" x14ac:dyDescent="0.25">
      <c r="A99" s="5"/>
      <c r="B99" s="2"/>
      <c r="C99" s="5"/>
      <c r="D99" s="5"/>
      <c r="E99" s="5"/>
      <c r="F99" s="5"/>
      <c r="G99" s="5"/>
      <c r="H99" s="5"/>
      <c r="I99" s="5"/>
      <c r="J99" s="5"/>
      <c r="K99" s="15"/>
    </row>
    <row r="100" spans="1:11" x14ac:dyDescent="0.25">
      <c r="A100" s="5"/>
      <c r="B100" s="2"/>
      <c r="C100" s="5"/>
      <c r="D100" s="5"/>
      <c r="E100" s="5"/>
      <c r="F100" s="5"/>
      <c r="G100" s="5"/>
      <c r="H100" s="5"/>
      <c r="I100" s="5"/>
      <c r="J100" s="5"/>
      <c r="K100" s="15"/>
    </row>
    <row r="101" spans="1:11" x14ac:dyDescent="0.25">
      <c r="A101" s="5"/>
      <c r="B101" s="2"/>
      <c r="C101" s="5"/>
      <c r="D101" s="5"/>
      <c r="E101" s="5"/>
      <c r="F101" s="5"/>
      <c r="G101" s="5"/>
      <c r="H101" s="5"/>
      <c r="I101" s="5"/>
      <c r="J101" s="5"/>
      <c r="K101" s="15"/>
    </row>
    <row r="102" spans="1:11" x14ac:dyDescent="0.25">
      <c r="A102" s="5"/>
      <c r="B102" s="2"/>
      <c r="C102" s="5"/>
      <c r="D102" s="5"/>
      <c r="E102" s="5"/>
      <c r="F102" s="5"/>
      <c r="G102" s="5"/>
      <c r="H102" s="5"/>
      <c r="I102" s="5"/>
      <c r="J102" s="5"/>
      <c r="K102" s="15"/>
    </row>
    <row r="103" spans="1:11" x14ac:dyDescent="0.25">
      <c r="A103" s="5"/>
      <c r="B103" s="2"/>
      <c r="C103" s="5"/>
      <c r="D103" s="5"/>
      <c r="E103" s="5"/>
      <c r="F103" s="5"/>
      <c r="G103" s="5"/>
      <c r="H103" s="5"/>
      <c r="I103" s="5"/>
      <c r="J103" s="5"/>
      <c r="K103" s="15"/>
    </row>
    <row r="104" spans="1:11" x14ac:dyDescent="0.25">
      <c r="A104" s="5"/>
      <c r="B104" s="2"/>
      <c r="C104" s="5"/>
      <c r="D104" s="5"/>
      <c r="E104" s="5"/>
      <c r="F104" s="5"/>
      <c r="G104" s="5"/>
      <c r="H104" s="5"/>
      <c r="I104" s="5"/>
      <c r="J104" s="5"/>
      <c r="K104" s="15"/>
    </row>
    <row r="105" spans="1:11" x14ac:dyDescent="0.25">
      <c r="A105" s="5"/>
      <c r="B105" s="2"/>
      <c r="C105" s="5"/>
      <c r="D105" s="5"/>
      <c r="E105" s="5"/>
      <c r="F105" s="5"/>
      <c r="G105" s="5"/>
      <c r="H105" s="5"/>
      <c r="I105" s="5"/>
      <c r="J105" s="5"/>
      <c r="K105" s="15"/>
    </row>
    <row r="106" spans="1:11" x14ac:dyDescent="0.25">
      <c r="A106" s="5"/>
      <c r="B106" s="2"/>
      <c r="C106" s="5"/>
      <c r="D106" s="5"/>
      <c r="E106" s="5"/>
      <c r="F106" s="5"/>
      <c r="G106" s="5"/>
      <c r="H106" s="5"/>
      <c r="I106" s="5"/>
      <c r="J106" s="5"/>
      <c r="K106" s="15"/>
    </row>
    <row r="107" spans="1:11" x14ac:dyDescent="0.25">
      <c r="A107" s="5"/>
      <c r="B107" s="2"/>
      <c r="C107" s="5"/>
      <c r="D107" s="5"/>
      <c r="E107" s="5"/>
      <c r="F107" s="5"/>
      <c r="G107" s="5"/>
      <c r="H107" s="5"/>
      <c r="I107" s="5"/>
      <c r="J107" s="5"/>
      <c r="K107" s="15"/>
    </row>
    <row r="108" spans="1:11" x14ac:dyDescent="0.25">
      <c r="A108" s="5"/>
      <c r="B108" s="2"/>
      <c r="C108" s="5"/>
      <c r="D108" s="5"/>
      <c r="E108" s="5"/>
      <c r="F108" s="5"/>
      <c r="G108" s="5"/>
      <c r="H108" s="5"/>
      <c r="I108" s="5"/>
      <c r="J108" s="5"/>
      <c r="K108" s="15"/>
    </row>
    <row r="109" spans="1:11" x14ac:dyDescent="0.25">
      <c r="A109" s="5"/>
      <c r="B109" s="2"/>
      <c r="C109" s="5"/>
      <c r="D109" s="5"/>
      <c r="E109" s="5"/>
      <c r="F109" s="5"/>
      <c r="G109" s="5"/>
      <c r="H109" s="5"/>
      <c r="I109" s="5"/>
      <c r="J109" s="5"/>
      <c r="K109" s="15"/>
    </row>
    <row r="110" spans="1:11" x14ac:dyDescent="0.25">
      <c r="A110" s="5"/>
      <c r="B110" s="2"/>
      <c r="C110" s="5"/>
      <c r="D110" s="5"/>
      <c r="E110" s="5"/>
      <c r="F110" s="5"/>
      <c r="G110" s="5"/>
      <c r="H110" s="5"/>
      <c r="I110" s="5"/>
      <c r="J110" s="5"/>
      <c r="K110" s="15"/>
    </row>
    <row r="111" spans="1:11" x14ac:dyDescent="0.25">
      <c r="A111" s="5"/>
      <c r="B111" s="2"/>
      <c r="C111" s="5"/>
      <c r="D111" s="5"/>
      <c r="E111" s="5"/>
      <c r="F111" s="5"/>
      <c r="G111" s="5"/>
      <c r="H111" s="5"/>
      <c r="I111" s="5"/>
      <c r="J111" s="5"/>
      <c r="K111" s="15"/>
    </row>
    <row r="112" spans="1:11" x14ac:dyDescent="0.25">
      <c r="A112" s="5"/>
      <c r="B112" s="2"/>
      <c r="C112" s="5"/>
      <c r="D112" s="5"/>
      <c r="E112" s="5"/>
      <c r="F112" s="5"/>
      <c r="G112" s="5"/>
      <c r="H112" s="5"/>
      <c r="I112" s="5"/>
      <c r="J112" s="5"/>
      <c r="K112" s="15"/>
    </row>
    <row r="113" spans="1:14" x14ac:dyDescent="0.25">
      <c r="A113" s="5"/>
      <c r="B113" s="2"/>
      <c r="C113" s="5"/>
      <c r="D113" s="5"/>
      <c r="E113" s="5"/>
      <c r="F113" s="5"/>
      <c r="G113" s="5"/>
      <c r="H113" s="5"/>
      <c r="I113" s="5"/>
      <c r="J113" s="5"/>
      <c r="K113" s="15"/>
    </row>
    <row r="114" spans="1:14" x14ac:dyDescent="0.25">
      <c r="A114" s="5"/>
      <c r="B114" s="2"/>
      <c r="C114" s="5"/>
      <c r="D114" s="5"/>
      <c r="E114" s="5"/>
      <c r="F114" s="5"/>
      <c r="G114" s="5"/>
      <c r="H114" s="5"/>
      <c r="I114" s="5"/>
      <c r="J114" s="5"/>
      <c r="K114" s="15"/>
      <c r="L114" s="21"/>
      <c r="M114" s="8" t="s">
        <v>6</v>
      </c>
      <c r="N114" s="17"/>
    </row>
    <row r="115" spans="1:14" x14ac:dyDescent="0.25">
      <c r="A115" s="5"/>
      <c r="B115" s="2"/>
      <c r="C115" s="5"/>
      <c r="D115" s="5"/>
      <c r="E115" s="5"/>
      <c r="F115" s="5"/>
      <c r="G115" s="5"/>
      <c r="H115" s="5"/>
      <c r="I115" s="5"/>
      <c r="J115" s="5"/>
      <c r="K115" s="15"/>
      <c r="L115" s="21"/>
      <c r="M115" s="8" t="s">
        <v>6</v>
      </c>
      <c r="N115" s="17"/>
    </row>
    <row r="116" spans="1:14" x14ac:dyDescent="0.25">
      <c r="A116" s="5"/>
      <c r="B116" s="2"/>
      <c r="C116" s="5"/>
      <c r="D116" s="5"/>
      <c r="E116" s="5"/>
      <c r="F116" s="5"/>
      <c r="G116" s="5"/>
      <c r="H116" s="5"/>
      <c r="I116" s="5"/>
      <c r="J116" s="5"/>
      <c r="K116" s="15"/>
      <c r="L116" s="21"/>
      <c r="M116" s="8" t="s">
        <v>6</v>
      </c>
      <c r="N116" s="17"/>
    </row>
    <row r="117" spans="1:14" x14ac:dyDescent="0.25">
      <c r="A117" s="5"/>
      <c r="B117" s="2"/>
      <c r="C117" s="5"/>
      <c r="D117" s="5"/>
      <c r="E117" s="5"/>
      <c r="F117" s="5"/>
      <c r="G117" s="5"/>
      <c r="H117" s="5"/>
      <c r="I117" s="5"/>
      <c r="J117" s="5"/>
      <c r="K117" s="15"/>
      <c r="L117" s="21"/>
      <c r="M117" s="8" t="s">
        <v>6</v>
      </c>
      <c r="N117" s="17"/>
    </row>
    <row r="118" spans="1:14" x14ac:dyDescent="0.25">
      <c r="A118" s="5"/>
      <c r="B118" s="2"/>
      <c r="C118" s="5"/>
      <c r="D118" s="5"/>
      <c r="E118" s="5"/>
      <c r="F118" s="5"/>
      <c r="G118" s="5"/>
      <c r="H118" s="5"/>
      <c r="I118" s="5"/>
      <c r="J118" s="5"/>
      <c r="K118" s="15"/>
      <c r="L118" s="21"/>
      <c r="M118" s="8" t="s">
        <v>6</v>
      </c>
      <c r="N118" s="17"/>
    </row>
    <row r="119" spans="1:14" x14ac:dyDescent="0.25">
      <c r="A119" s="5"/>
      <c r="B119" s="2"/>
      <c r="C119" s="5"/>
      <c r="D119" s="5"/>
      <c r="E119" s="5"/>
      <c r="F119" s="5"/>
      <c r="G119" s="5"/>
      <c r="H119" s="5"/>
      <c r="I119" s="5"/>
      <c r="J119" s="5"/>
      <c r="K119" s="15"/>
      <c r="L119" s="21"/>
      <c r="M119" s="8" t="s">
        <v>6</v>
      </c>
      <c r="N119" s="17"/>
    </row>
    <row r="120" spans="1:14" x14ac:dyDescent="0.25">
      <c r="A120" s="5"/>
      <c r="B120" s="2"/>
      <c r="C120" s="5"/>
      <c r="D120" s="5"/>
      <c r="E120" s="5"/>
      <c r="F120" s="5"/>
      <c r="G120" s="5"/>
      <c r="H120" s="5"/>
      <c r="I120" s="5"/>
      <c r="J120" s="5"/>
      <c r="K120" s="15"/>
      <c r="L120" s="21"/>
      <c r="M120" s="8" t="s">
        <v>6</v>
      </c>
      <c r="N120" s="17"/>
    </row>
    <row r="121" spans="1:14" x14ac:dyDescent="0.25">
      <c r="A121" s="5"/>
      <c r="B121" s="2"/>
      <c r="C121" s="5"/>
      <c r="D121" s="5"/>
      <c r="E121" s="5"/>
      <c r="F121" s="5"/>
      <c r="G121" s="5"/>
      <c r="H121" s="5"/>
      <c r="I121" s="5"/>
      <c r="J121" s="5"/>
      <c r="K121" s="15"/>
      <c r="L121" s="21"/>
      <c r="M121" s="8" t="s">
        <v>6</v>
      </c>
      <c r="N121" s="17"/>
    </row>
    <row r="122" spans="1:14" x14ac:dyDescent="0.25">
      <c r="A122" s="5"/>
      <c r="B122" s="2"/>
      <c r="C122" s="5"/>
      <c r="D122" s="5"/>
      <c r="E122" s="5"/>
      <c r="F122" s="5"/>
      <c r="G122" s="5"/>
      <c r="H122" s="5"/>
      <c r="I122" s="5"/>
      <c r="J122" s="5"/>
      <c r="K122" s="15"/>
      <c r="L122" s="21"/>
      <c r="M122" s="8" t="s">
        <v>6</v>
      </c>
      <c r="N122" s="17"/>
    </row>
    <row r="123" spans="1:14" x14ac:dyDescent="0.25">
      <c r="A123" s="5"/>
      <c r="B123" s="2"/>
      <c r="C123" s="5"/>
      <c r="D123" s="5"/>
      <c r="E123" s="5"/>
      <c r="F123" s="5"/>
      <c r="G123" s="5"/>
      <c r="H123" s="5"/>
      <c r="I123" s="5"/>
      <c r="J123" s="5"/>
      <c r="K123" s="16"/>
      <c r="L123" s="21"/>
      <c r="M123" s="8" t="s">
        <v>6</v>
      </c>
      <c r="N123" s="17"/>
    </row>
    <row r="124" spans="1:14" x14ac:dyDescent="0.25">
      <c r="A124" s="5"/>
      <c r="B124" s="2"/>
      <c r="C124" s="5"/>
      <c r="D124" s="5"/>
      <c r="E124" s="5"/>
      <c r="F124" s="5"/>
      <c r="G124" s="5"/>
      <c r="H124" s="5"/>
      <c r="I124" s="5"/>
      <c r="J124" s="5"/>
      <c r="K124" s="16"/>
      <c r="L124" s="21"/>
      <c r="M124" s="8" t="s">
        <v>6</v>
      </c>
      <c r="N124" s="17"/>
    </row>
    <row r="125" spans="1:14" x14ac:dyDescent="0.25">
      <c r="A125" s="5"/>
      <c r="B125" s="2"/>
      <c r="C125" s="5"/>
      <c r="D125" s="5"/>
      <c r="E125" s="5"/>
      <c r="F125" s="5"/>
      <c r="G125" s="5"/>
      <c r="H125" s="5"/>
      <c r="I125" s="5"/>
      <c r="J125" s="5"/>
      <c r="K125" s="16"/>
      <c r="L125" s="21"/>
      <c r="M125" s="8" t="s">
        <v>6</v>
      </c>
      <c r="N125" s="17"/>
    </row>
    <row r="126" spans="1:14" x14ac:dyDescent="0.25">
      <c r="A126" s="5"/>
      <c r="B126" s="2"/>
      <c r="C126" s="5"/>
      <c r="D126" s="5"/>
      <c r="E126" s="5"/>
      <c r="F126" s="5"/>
      <c r="G126" s="5"/>
      <c r="H126" s="5"/>
      <c r="I126" s="5"/>
      <c r="J126" s="5"/>
      <c r="K126" s="16"/>
      <c r="L126" s="21"/>
      <c r="M126" s="8" t="s">
        <v>6</v>
      </c>
      <c r="N126" s="17"/>
    </row>
    <row r="127" spans="1:14" x14ac:dyDescent="0.25">
      <c r="A127" s="5"/>
      <c r="B127" s="2"/>
      <c r="C127" s="5"/>
      <c r="D127" s="5"/>
      <c r="E127" s="5"/>
      <c r="F127" s="5"/>
      <c r="G127" s="5"/>
      <c r="H127" s="5"/>
      <c r="I127" s="5"/>
      <c r="J127" s="5"/>
      <c r="K127" s="16"/>
      <c r="L127" s="21"/>
      <c r="M127" s="8" t="s">
        <v>6</v>
      </c>
      <c r="N127" s="17"/>
    </row>
    <row r="128" spans="1:14" x14ac:dyDescent="0.25">
      <c r="A128" s="5"/>
      <c r="B128" s="2"/>
      <c r="C128" s="5"/>
      <c r="D128" s="5"/>
      <c r="E128" s="5"/>
      <c r="F128" s="5"/>
      <c r="G128" s="5"/>
      <c r="H128" s="5"/>
      <c r="I128" s="5"/>
      <c r="J128" s="5"/>
      <c r="K128" s="16"/>
      <c r="L128" s="21"/>
      <c r="M128" s="8" t="s">
        <v>6</v>
      </c>
      <c r="N128" s="17"/>
    </row>
    <row r="129" spans="1:14" x14ac:dyDescent="0.25">
      <c r="A129" s="5"/>
      <c r="B129" s="2"/>
      <c r="C129" s="5"/>
      <c r="D129" s="5"/>
      <c r="E129" s="5"/>
      <c r="F129" s="5"/>
      <c r="G129" s="5"/>
      <c r="H129" s="5"/>
      <c r="I129" s="5"/>
      <c r="J129" s="5"/>
      <c r="K129" s="16"/>
      <c r="L129" s="21"/>
      <c r="M129" s="8" t="s">
        <v>6</v>
      </c>
      <c r="N129" s="17"/>
    </row>
    <row r="130" spans="1:14" x14ac:dyDescent="0.25">
      <c r="B130" s="12"/>
      <c r="K130" s="8"/>
      <c r="L130" s="22"/>
      <c r="M130" s="8" t="s">
        <v>6</v>
      </c>
      <c r="N130" s="17"/>
    </row>
    <row r="131" spans="1:14" x14ac:dyDescent="0.25">
      <c r="B131" s="12"/>
      <c r="K131" s="8"/>
      <c r="L131" s="22"/>
      <c r="M131" s="8" t="s">
        <v>6</v>
      </c>
      <c r="N131" s="17"/>
    </row>
    <row r="132" spans="1:14" x14ac:dyDescent="0.25">
      <c r="B132" s="12"/>
      <c r="K132" s="8"/>
      <c r="L132" s="22"/>
      <c r="M132" s="8" t="s">
        <v>6</v>
      </c>
      <c r="N132" s="17"/>
    </row>
    <row r="133" spans="1:14" x14ac:dyDescent="0.25">
      <c r="B133" s="12"/>
      <c r="K133" s="8"/>
      <c r="L133" s="22"/>
      <c r="M133" s="8" t="s">
        <v>6</v>
      </c>
      <c r="N133" s="17"/>
    </row>
    <row r="134" spans="1:14" x14ac:dyDescent="0.25">
      <c r="B134" s="12"/>
      <c r="K134" s="8"/>
      <c r="L134" s="22"/>
      <c r="M134" s="8" t="s">
        <v>6</v>
      </c>
      <c r="N134" s="17"/>
    </row>
    <row r="135" spans="1:14" x14ac:dyDescent="0.25">
      <c r="B135" s="12"/>
      <c r="K135" s="8"/>
      <c r="L135" s="22"/>
      <c r="M135" s="8" t="s">
        <v>6</v>
      </c>
      <c r="N135" s="17"/>
    </row>
    <row r="136" spans="1:14" x14ac:dyDescent="0.25">
      <c r="B136" s="12"/>
      <c r="K136" s="8"/>
      <c r="L136" s="22"/>
      <c r="M136" s="8" t="s">
        <v>6</v>
      </c>
      <c r="N136" s="17"/>
    </row>
    <row r="137" spans="1:14" x14ac:dyDescent="0.25">
      <c r="B137" s="12"/>
      <c r="K137" s="8"/>
      <c r="L137" s="22"/>
      <c r="M137" s="8" t="s">
        <v>6</v>
      </c>
      <c r="N137" s="17"/>
    </row>
    <row r="138" spans="1:14" x14ac:dyDescent="0.25">
      <c r="B138" s="12"/>
      <c r="K138" s="8"/>
      <c r="L138" s="22"/>
      <c r="M138" s="8" t="s">
        <v>6</v>
      </c>
      <c r="N138" s="17"/>
    </row>
    <row r="139" spans="1:14" x14ac:dyDescent="0.25">
      <c r="B139" s="12"/>
      <c r="K139" s="8"/>
      <c r="L139" s="22"/>
      <c r="M139" s="8" t="s">
        <v>6</v>
      </c>
      <c r="N139" s="17"/>
    </row>
    <row r="140" spans="1:14" x14ac:dyDescent="0.25">
      <c r="B140" s="12"/>
      <c r="K140" s="8"/>
      <c r="L140" s="22"/>
      <c r="M140" s="8" t="s">
        <v>6</v>
      </c>
      <c r="N140" s="17"/>
    </row>
    <row r="141" spans="1:14" x14ac:dyDescent="0.25">
      <c r="B141" s="12"/>
      <c r="K141" s="8"/>
      <c r="L141" s="22"/>
      <c r="M141" s="8" t="s">
        <v>6</v>
      </c>
      <c r="N141" s="17"/>
    </row>
    <row r="142" spans="1:14" x14ac:dyDescent="0.25">
      <c r="B142" s="12"/>
      <c r="K142" s="8"/>
      <c r="L142" s="22"/>
      <c r="M142" s="8" t="s">
        <v>6</v>
      </c>
      <c r="N142" s="17"/>
    </row>
    <row r="143" spans="1:14" x14ac:dyDescent="0.25">
      <c r="B143" s="12"/>
      <c r="K143" s="8"/>
      <c r="L143" s="22"/>
      <c r="M143" s="8" t="s">
        <v>6</v>
      </c>
      <c r="N143" s="17"/>
    </row>
    <row r="144" spans="1:14" x14ac:dyDescent="0.25">
      <c r="B144" s="12"/>
      <c r="K144" s="8"/>
      <c r="L144" s="22"/>
      <c r="M144" s="8" t="s">
        <v>6</v>
      </c>
      <c r="N144" s="17"/>
    </row>
    <row r="145" spans="2:14" x14ac:dyDescent="0.25">
      <c r="B145" s="12"/>
      <c r="K145" s="8"/>
      <c r="L145" s="22"/>
      <c r="M145" s="8" t="s">
        <v>6</v>
      </c>
      <c r="N145" s="17"/>
    </row>
    <row r="146" spans="2:14" x14ac:dyDescent="0.25">
      <c r="B146" s="12"/>
      <c r="K146" s="8"/>
      <c r="L146" s="22"/>
      <c r="M146" s="8" t="s">
        <v>6</v>
      </c>
      <c r="N146" s="17"/>
    </row>
    <row r="147" spans="2:14" x14ac:dyDescent="0.25">
      <c r="B147" s="12"/>
      <c r="K147" s="8"/>
      <c r="L147" s="22"/>
      <c r="M147" s="8" t="s">
        <v>6</v>
      </c>
      <c r="N147" s="17"/>
    </row>
    <row r="148" spans="2:14" x14ac:dyDescent="0.25">
      <c r="B148" s="12"/>
      <c r="K148" s="8"/>
      <c r="L148" s="22"/>
      <c r="M148" s="8" t="s">
        <v>6</v>
      </c>
      <c r="N148" s="17"/>
    </row>
    <row r="149" spans="2:14" x14ac:dyDescent="0.25">
      <c r="B149" s="12"/>
      <c r="K149" s="8"/>
      <c r="L149" s="22"/>
      <c r="M149" s="8" t="s">
        <v>6</v>
      </c>
      <c r="N149" s="18"/>
    </row>
    <row r="150" spans="2:14" x14ac:dyDescent="0.25">
      <c r="B150" s="12"/>
      <c r="K150" s="8"/>
      <c r="L150" s="22"/>
      <c r="M150" s="8" t="s">
        <v>6</v>
      </c>
      <c r="N150" s="18"/>
    </row>
    <row r="151" spans="2:14" x14ac:dyDescent="0.25">
      <c r="B151" s="12"/>
      <c r="K151" s="8"/>
      <c r="L151" s="22"/>
      <c r="M151" s="8" t="s">
        <v>6</v>
      </c>
      <c r="N151" s="18"/>
    </row>
    <row r="152" spans="2:14" x14ac:dyDescent="0.25">
      <c r="B152" s="12"/>
      <c r="K152" s="8"/>
      <c r="L152" s="22"/>
      <c r="M152" s="8" t="s">
        <v>6</v>
      </c>
      <c r="N152" s="18"/>
    </row>
    <row r="153" spans="2:14" x14ac:dyDescent="0.25">
      <c r="B153" s="12"/>
      <c r="K153" s="8"/>
      <c r="L153" s="22"/>
      <c r="M153" s="8" t="s">
        <v>6</v>
      </c>
      <c r="N153" s="18"/>
    </row>
    <row r="154" spans="2:14" x14ac:dyDescent="0.25">
      <c r="B154" s="12"/>
      <c r="K154" s="8"/>
      <c r="L154" s="22"/>
      <c r="M154" s="8" t="s">
        <v>6</v>
      </c>
      <c r="N154" s="18"/>
    </row>
    <row r="155" spans="2:14" x14ac:dyDescent="0.25">
      <c r="B155" s="12"/>
      <c r="K155" s="8"/>
      <c r="L155" s="22"/>
      <c r="M155" s="8" t="s">
        <v>6</v>
      </c>
      <c r="N155" s="18"/>
    </row>
    <row r="156" spans="2:14" x14ac:dyDescent="0.25">
      <c r="B156" s="12"/>
      <c r="K156" s="8"/>
      <c r="L156" s="22"/>
      <c r="M156" s="8" t="s">
        <v>6</v>
      </c>
      <c r="N156" s="18"/>
    </row>
    <row r="157" spans="2:14" x14ac:dyDescent="0.25">
      <c r="B157" s="12"/>
      <c r="K157" s="8"/>
      <c r="L157" s="22"/>
      <c r="M157" s="8" t="s">
        <v>6</v>
      </c>
      <c r="N157" s="18"/>
    </row>
    <row r="158" spans="2:14" x14ac:dyDescent="0.25">
      <c r="B158" s="12"/>
      <c r="K158" s="8"/>
      <c r="L158" s="22"/>
      <c r="M158" s="8" t="s">
        <v>6</v>
      </c>
      <c r="N158" s="18"/>
    </row>
    <row r="159" spans="2:14" x14ac:dyDescent="0.25">
      <c r="B159" s="12"/>
      <c r="K159" s="8"/>
      <c r="L159" s="22"/>
      <c r="M159" s="8" t="s">
        <v>6</v>
      </c>
      <c r="N159" s="18"/>
    </row>
    <row r="160" spans="2:14" x14ac:dyDescent="0.25">
      <c r="B160" s="12"/>
      <c r="K160" s="8"/>
      <c r="L160" s="22"/>
      <c r="M160" s="8" t="s">
        <v>6</v>
      </c>
      <c r="N160" s="18"/>
    </row>
    <row r="161" spans="2:14" x14ac:dyDescent="0.25">
      <c r="B161" s="12"/>
      <c r="K161" s="8"/>
      <c r="L161" s="22"/>
      <c r="M161" s="8" t="s">
        <v>6</v>
      </c>
      <c r="N161" s="18"/>
    </row>
    <row r="162" spans="2:14" x14ac:dyDescent="0.25">
      <c r="B162" s="12"/>
      <c r="K162" s="8"/>
      <c r="L162" s="22"/>
      <c r="M162" s="8" t="s">
        <v>6</v>
      </c>
      <c r="N162" s="18"/>
    </row>
    <row r="163" spans="2:14" x14ac:dyDescent="0.25">
      <c r="B163" s="12"/>
      <c r="K163" s="8"/>
      <c r="L163" s="22"/>
      <c r="M163" s="8" t="s">
        <v>6</v>
      </c>
      <c r="N163" s="18"/>
    </row>
    <row r="164" spans="2:14" x14ac:dyDescent="0.25">
      <c r="B164" s="12"/>
      <c r="K164" s="8"/>
      <c r="L164" s="22"/>
      <c r="M164" s="8" t="s">
        <v>6</v>
      </c>
      <c r="N164" s="18"/>
    </row>
    <row r="165" spans="2:14" x14ac:dyDescent="0.25">
      <c r="B165" s="12"/>
      <c r="K165" s="8"/>
      <c r="L165" s="22"/>
      <c r="M165" s="8" t="s">
        <v>6</v>
      </c>
      <c r="N165" s="18"/>
    </row>
    <row r="166" spans="2:14" x14ac:dyDescent="0.25">
      <c r="B166" s="12"/>
      <c r="K166" s="8"/>
      <c r="L166" s="22"/>
      <c r="M166" s="8" t="s">
        <v>6</v>
      </c>
      <c r="N166" s="18"/>
    </row>
    <row r="167" spans="2:14" x14ac:dyDescent="0.25">
      <c r="B167" s="12"/>
      <c r="K167" s="8"/>
      <c r="L167" s="22"/>
      <c r="M167" s="8" t="s">
        <v>6</v>
      </c>
      <c r="N167" s="18"/>
    </row>
    <row r="168" spans="2:14" x14ac:dyDescent="0.25">
      <c r="B168" s="12"/>
      <c r="K168" s="8"/>
      <c r="L168" s="22"/>
      <c r="M168" s="8" t="s">
        <v>6</v>
      </c>
      <c r="N168" s="18"/>
    </row>
    <row r="169" spans="2:14" x14ac:dyDescent="0.25">
      <c r="B169" s="12"/>
      <c r="K169" s="8"/>
      <c r="L169" s="22"/>
      <c r="M169" s="8" t="s">
        <v>6</v>
      </c>
      <c r="N169" s="18"/>
    </row>
    <row r="170" spans="2:14" x14ac:dyDescent="0.25">
      <c r="B170" s="12"/>
      <c r="K170" s="8"/>
      <c r="L170" s="22"/>
      <c r="M170" s="8" t="s">
        <v>6</v>
      </c>
      <c r="N170" s="18"/>
    </row>
    <row r="171" spans="2:14" x14ac:dyDescent="0.25">
      <c r="B171" s="12"/>
      <c r="K171" s="8"/>
      <c r="L171" s="22"/>
      <c r="M171" s="8" t="s">
        <v>6</v>
      </c>
      <c r="N171" s="18"/>
    </row>
    <row r="172" spans="2:14" x14ac:dyDescent="0.25">
      <c r="B172" s="12"/>
      <c r="K172" s="8"/>
      <c r="L172" s="22"/>
      <c r="M172" s="8" t="s">
        <v>6</v>
      </c>
      <c r="N172" s="18"/>
    </row>
    <row r="173" spans="2:14" x14ac:dyDescent="0.25">
      <c r="B173" s="12"/>
      <c r="K173" s="8"/>
      <c r="L173" s="22"/>
      <c r="M173" s="8" t="s">
        <v>6</v>
      </c>
      <c r="N173" s="18"/>
    </row>
    <row r="174" spans="2:14" x14ac:dyDescent="0.25">
      <c r="B174" s="12"/>
      <c r="K174" s="8"/>
      <c r="L174" s="22"/>
      <c r="M174" s="8" t="s">
        <v>6</v>
      </c>
      <c r="N174" s="18"/>
    </row>
    <row r="175" spans="2:14" x14ac:dyDescent="0.25">
      <c r="B175" s="12"/>
      <c r="K175" s="8"/>
      <c r="L175" s="22"/>
      <c r="M175" s="8" t="s">
        <v>6</v>
      </c>
      <c r="N175" s="18"/>
    </row>
    <row r="176" spans="2:14" x14ac:dyDescent="0.25">
      <c r="B176" s="12"/>
      <c r="K176" s="8"/>
      <c r="L176" s="22"/>
      <c r="M176" s="8" t="s">
        <v>6</v>
      </c>
      <c r="N176" s="18"/>
    </row>
    <row r="177" spans="2:14" x14ac:dyDescent="0.25">
      <c r="B177" s="12"/>
      <c r="K177" s="8"/>
      <c r="L177" s="22"/>
      <c r="M177" s="8" t="s">
        <v>6</v>
      </c>
      <c r="N177" s="18"/>
    </row>
    <row r="178" spans="2:14" x14ac:dyDescent="0.25">
      <c r="B178" s="12"/>
      <c r="K178" s="8"/>
      <c r="L178" s="22"/>
      <c r="M178" s="8" t="s">
        <v>6</v>
      </c>
      <c r="N178" s="18"/>
    </row>
    <row r="179" spans="2:14" x14ac:dyDescent="0.25">
      <c r="B179" s="12"/>
      <c r="K179" s="8"/>
      <c r="L179" s="22"/>
      <c r="M179" s="8" t="s">
        <v>6</v>
      </c>
      <c r="N179" s="18"/>
    </row>
    <row r="180" spans="2:14" x14ac:dyDescent="0.25">
      <c r="B180" s="12"/>
      <c r="K180" s="8"/>
      <c r="L180" s="22"/>
      <c r="M180" s="8" t="s">
        <v>6</v>
      </c>
      <c r="N180" s="18"/>
    </row>
    <row r="181" spans="2:14" x14ac:dyDescent="0.25">
      <c r="B181" s="12"/>
      <c r="K181" s="8"/>
      <c r="L181" s="22"/>
      <c r="M181" s="8" t="s">
        <v>6</v>
      </c>
      <c r="N181" s="18"/>
    </row>
    <row r="182" spans="2:14" x14ac:dyDescent="0.25">
      <c r="B182" s="12"/>
      <c r="K182" s="8"/>
      <c r="L182" s="22"/>
      <c r="M182" s="8" t="s">
        <v>6</v>
      </c>
      <c r="N182" s="18"/>
    </row>
    <row r="183" spans="2:14" x14ac:dyDescent="0.25">
      <c r="B183" s="12"/>
      <c r="K183" s="8"/>
      <c r="L183" s="22"/>
      <c r="M183" s="8" t="s">
        <v>6</v>
      </c>
      <c r="N183" s="18"/>
    </row>
    <row r="184" spans="2:14" x14ac:dyDescent="0.25">
      <c r="B184" s="12"/>
      <c r="K184" s="8"/>
      <c r="L184" s="22"/>
      <c r="M184" s="8" t="s">
        <v>6</v>
      </c>
      <c r="N184" s="18"/>
    </row>
    <row r="185" spans="2:14" x14ac:dyDescent="0.25">
      <c r="B185" s="12"/>
      <c r="K185" s="8"/>
      <c r="L185" s="22"/>
      <c r="M185" s="8" t="s">
        <v>6</v>
      </c>
      <c r="N185" s="18"/>
    </row>
    <row r="186" spans="2:14" x14ac:dyDescent="0.25">
      <c r="B186" s="12"/>
      <c r="K186" s="8"/>
      <c r="L186" s="22"/>
      <c r="M186" s="8" t="s">
        <v>6</v>
      </c>
      <c r="N186" s="18"/>
    </row>
    <row r="187" spans="2:14" x14ac:dyDescent="0.25">
      <c r="B187" s="12"/>
      <c r="K187" s="8"/>
      <c r="L187" s="22"/>
      <c r="M187" s="8" t="s">
        <v>6</v>
      </c>
      <c r="N187" s="18"/>
    </row>
    <row r="188" spans="2:14" x14ac:dyDescent="0.25">
      <c r="B188" s="12"/>
      <c r="K188" s="8"/>
      <c r="L188" s="22"/>
      <c r="M188" s="8" t="s">
        <v>6</v>
      </c>
      <c r="N188" s="18"/>
    </row>
    <row r="189" spans="2:14" x14ac:dyDescent="0.25">
      <c r="B189" s="12"/>
      <c r="K189" s="8"/>
      <c r="L189" s="22"/>
      <c r="M189" s="8" t="s">
        <v>6</v>
      </c>
      <c r="N189" s="18"/>
    </row>
    <row r="190" spans="2:14" x14ac:dyDescent="0.25">
      <c r="B190" s="12"/>
      <c r="K190" s="8"/>
      <c r="L190" s="22"/>
      <c r="M190" s="8" t="s">
        <v>6</v>
      </c>
      <c r="N190" s="18"/>
    </row>
    <row r="191" spans="2:14" x14ac:dyDescent="0.25">
      <c r="B191" s="12"/>
      <c r="K191" s="8"/>
      <c r="L191" s="22"/>
      <c r="M191" s="8" t="s">
        <v>6</v>
      </c>
      <c r="N191" s="18"/>
    </row>
    <row r="192" spans="2:14" x14ac:dyDescent="0.25">
      <c r="B192" s="12"/>
      <c r="K192" s="8"/>
      <c r="L192" s="22"/>
      <c r="M192" s="8" t="s">
        <v>6</v>
      </c>
      <c r="N192" s="18"/>
    </row>
    <row r="193" spans="2:14" x14ac:dyDescent="0.25">
      <c r="B193" s="12"/>
      <c r="K193" s="8"/>
      <c r="L193" s="22"/>
      <c r="M193" s="8" t="s">
        <v>6</v>
      </c>
      <c r="N193" s="18"/>
    </row>
    <row r="194" spans="2:14" x14ac:dyDescent="0.25">
      <c r="B194" s="12"/>
      <c r="K194" s="8"/>
      <c r="L194" s="22"/>
      <c r="M194" s="8" t="s">
        <v>6</v>
      </c>
      <c r="N194" s="18"/>
    </row>
    <row r="195" spans="2:14" x14ac:dyDescent="0.25">
      <c r="B195" s="12"/>
      <c r="K195" s="8"/>
      <c r="L195" s="22"/>
      <c r="M195" s="8" t="s">
        <v>6</v>
      </c>
      <c r="N195" s="18"/>
    </row>
    <row r="196" spans="2:14" x14ac:dyDescent="0.25">
      <c r="B196" s="12"/>
      <c r="K196" s="8"/>
      <c r="L196" s="22"/>
      <c r="M196" s="8" t="s">
        <v>6</v>
      </c>
      <c r="N196" s="18"/>
    </row>
    <row r="197" spans="2:14" x14ac:dyDescent="0.25">
      <c r="B197" s="12"/>
      <c r="K197" s="8"/>
      <c r="L197" s="22"/>
      <c r="M197" s="8" t="s">
        <v>6</v>
      </c>
      <c r="N197" s="18"/>
    </row>
    <row r="198" spans="2:14" x14ac:dyDescent="0.25">
      <c r="B198" s="12"/>
      <c r="K198" s="8"/>
      <c r="L198" s="22"/>
      <c r="M198" s="8" t="s">
        <v>6</v>
      </c>
      <c r="N198" s="18"/>
    </row>
    <row r="199" spans="2:14" x14ac:dyDescent="0.25">
      <c r="B199" s="12"/>
      <c r="K199" s="8"/>
      <c r="L199" s="22"/>
      <c r="M199" s="8" t="s">
        <v>6</v>
      </c>
      <c r="N199" s="18"/>
    </row>
    <row r="200" spans="2:14" x14ac:dyDescent="0.25">
      <c r="B200" s="12"/>
      <c r="K200" s="8"/>
      <c r="L200" s="22"/>
      <c r="M200" s="8" t="s">
        <v>6</v>
      </c>
      <c r="N200" s="18"/>
    </row>
    <row r="201" spans="2:14" x14ac:dyDescent="0.25">
      <c r="B201" s="12"/>
      <c r="K201" s="8"/>
      <c r="L201" s="22"/>
      <c r="M201" s="8" t="s">
        <v>6</v>
      </c>
      <c r="N201" s="18"/>
    </row>
    <row r="202" spans="2:14" x14ac:dyDescent="0.25">
      <c r="B202" s="12"/>
      <c r="K202" s="8"/>
      <c r="L202" s="22"/>
      <c r="M202" s="8" t="s">
        <v>6</v>
      </c>
      <c r="N202" s="18"/>
    </row>
    <row r="203" spans="2:14" x14ac:dyDescent="0.25">
      <c r="B203" s="12"/>
      <c r="K203" s="8"/>
      <c r="L203" s="22"/>
      <c r="M203" s="8" t="s">
        <v>6</v>
      </c>
      <c r="N203" s="18"/>
    </row>
    <row r="204" spans="2:14" x14ac:dyDescent="0.25">
      <c r="B204" s="12"/>
      <c r="K204" s="8"/>
      <c r="L204" s="22"/>
      <c r="M204" s="8" t="s">
        <v>6</v>
      </c>
      <c r="N204" s="18"/>
    </row>
    <row r="205" spans="2:14" x14ac:dyDescent="0.25">
      <c r="B205" s="12"/>
      <c r="K205" s="8"/>
      <c r="L205" s="22"/>
      <c r="M205" s="8" t="s">
        <v>6</v>
      </c>
      <c r="N205" s="18"/>
    </row>
    <row r="206" spans="2:14" x14ac:dyDescent="0.25">
      <c r="B206" s="12"/>
      <c r="K206" s="8"/>
      <c r="L206" s="22"/>
      <c r="M206" s="8" t="s">
        <v>6</v>
      </c>
      <c r="N206" s="18"/>
    </row>
    <row r="207" spans="2:14" x14ac:dyDescent="0.25">
      <c r="B207" s="12"/>
      <c r="K207" s="8"/>
      <c r="L207" s="22"/>
      <c r="M207" s="8" t="s">
        <v>6</v>
      </c>
      <c r="N207" s="18"/>
    </row>
    <row r="208" spans="2:14" x14ac:dyDescent="0.25">
      <c r="B208" s="12"/>
      <c r="K208" s="8"/>
      <c r="L208" s="22"/>
      <c r="M208" s="8" t="s">
        <v>6</v>
      </c>
      <c r="N208" s="18"/>
    </row>
    <row r="209" spans="2:14" x14ac:dyDescent="0.25">
      <c r="B209" s="12"/>
      <c r="K209" s="8"/>
      <c r="L209" s="22"/>
      <c r="M209" s="8" t="s">
        <v>6</v>
      </c>
      <c r="N209" s="18"/>
    </row>
    <row r="210" spans="2:14" x14ac:dyDescent="0.25">
      <c r="B210" s="12"/>
      <c r="K210" s="8"/>
      <c r="L210" s="22"/>
      <c r="M210" s="8" t="s">
        <v>6</v>
      </c>
      <c r="N210" s="18"/>
    </row>
    <row r="211" spans="2:14" x14ac:dyDescent="0.25">
      <c r="B211" s="12"/>
      <c r="K211" s="8"/>
      <c r="L211" s="22"/>
      <c r="M211" s="8" t="s">
        <v>6</v>
      </c>
      <c r="N211" s="18"/>
    </row>
    <row r="212" spans="2:14" x14ac:dyDescent="0.25">
      <c r="B212" s="12"/>
      <c r="K212" s="8"/>
      <c r="L212" s="22"/>
      <c r="M212" s="8" t="s">
        <v>6</v>
      </c>
      <c r="N212" s="18"/>
    </row>
    <row r="213" spans="2:14" x14ac:dyDescent="0.25">
      <c r="B213" s="12"/>
      <c r="K213" s="8"/>
      <c r="L213" s="22"/>
      <c r="M213" s="8" t="s">
        <v>6</v>
      </c>
      <c r="N213" s="18"/>
    </row>
    <row r="214" spans="2:14" x14ac:dyDescent="0.25">
      <c r="B214" s="12"/>
      <c r="K214" s="8"/>
      <c r="L214" s="22"/>
      <c r="M214" s="8" t="s">
        <v>6</v>
      </c>
      <c r="N214" s="8"/>
    </row>
    <row r="215" spans="2:14" x14ac:dyDescent="0.25">
      <c r="B215" s="12"/>
      <c r="K215" s="8"/>
      <c r="L215" s="22"/>
      <c r="M215" s="8" t="s">
        <v>6</v>
      </c>
      <c r="N215" s="8"/>
    </row>
    <row r="216" spans="2:14" x14ac:dyDescent="0.25">
      <c r="B216" s="12"/>
      <c r="K216" s="8"/>
      <c r="L216" s="22"/>
      <c r="M216" s="8" t="s">
        <v>6</v>
      </c>
      <c r="N216" s="8"/>
    </row>
    <row r="217" spans="2:14" x14ac:dyDescent="0.25">
      <c r="B217" s="12"/>
      <c r="K217" s="8"/>
      <c r="L217" s="22"/>
      <c r="M217" s="8" t="s">
        <v>6</v>
      </c>
      <c r="N217" s="8"/>
    </row>
    <row r="218" spans="2:14" x14ac:dyDescent="0.25">
      <c r="B218" s="12"/>
      <c r="K218" s="8"/>
      <c r="L218" s="22"/>
      <c r="M218" s="8" t="s">
        <v>6</v>
      </c>
      <c r="N218" s="8"/>
    </row>
    <row r="219" spans="2:14" x14ac:dyDescent="0.25">
      <c r="B219" s="12"/>
      <c r="K219" s="8"/>
      <c r="L219" s="22"/>
      <c r="M219" s="8" t="s">
        <v>6</v>
      </c>
      <c r="N219" s="8"/>
    </row>
    <row r="220" spans="2:14" x14ac:dyDescent="0.25">
      <c r="B220" s="12"/>
      <c r="K220" s="8"/>
      <c r="L220" s="22"/>
      <c r="M220" s="8" t="s">
        <v>6</v>
      </c>
      <c r="N220" s="8"/>
    </row>
    <row r="221" spans="2:14" x14ac:dyDescent="0.25">
      <c r="B221" s="12"/>
      <c r="K221" s="8"/>
      <c r="L221" s="22"/>
      <c r="M221" s="8" t="s">
        <v>6</v>
      </c>
      <c r="N221" s="8"/>
    </row>
    <row r="222" spans="2:14" x14ac:dyDescent="0.25">
      <c r="B222" s="12"/>
      <c r="K222" s="8"/>
      <c r="L222" s="22"/>
      <c r="M222" s="8" t="s">
        <v>6</v>
      </c>
      <c r="N222" s="8"/>
    </row>
    <row r="223" spans="2:14" x14ac:dyDescent="0.25">
      <c r="B223" s="12"/>
      <c r="K223" s="8"/>
      <c r="L223" s="22"/>
      <c r="M223" s="8" t="s">
        <v>6</v>
      </c>
      <c r="N223" s="8"/>
    </row>
    <row r="224" spans="2:14" x14ac:dyDescent="0.25">
      <c r="B224" s="12"/>
      <c r="K224" s="8"/>
      <c r="L224" s="22"/>
      <c r="M224" s="8" t="s">
        <v>6</v>
      </c>
      <c r="N224" s="8"/>
    </row>
    <row r="225" spans="2:14" x14ac:dyDescent="0.25">
      <c r="B225" s="12"/>
      <c r="K225" s="8"/>
      <c r="L225" s="22"/>
      <c r="M225" s="8" t="s">
        <v>6</v>
      </c>
      <c r="N225" s="8"/>
    </row>
    <row r="226" spans="2:14" x14ac:dyDescent="0.25">
      <c r="B226" s="12"/>
      <c r="K226" s="8"/>
      <c r="L226" s="22"/>
      <c r="M226" s="8" t="s">
        <v>6</v>
      </c>
      <c r="N226" s="8"/>
    </row>
    <row r="227" spans="2:14" x14ac:dyDescent="0.25">
      <c r="B227" s="12"/>
      <c r="K227" s="8"/>
      <c r="L227" s="22"/>
      <c r="M227" s="8" t="s">
        <v>6</v>
      </c>
      <c r="N227" s="8"/>
    </row>
    <row r="228" spans="2:14" x14ac:dyDescent="0.25">
      <c r="B228" s="12"/>
      <c r="K228" s="8"/>
      <c r="L228" s="22"/>
      <c r="M228" s="8" t="s">
        <v>6</v>
      </c>
      <c r="N228" s="8"/>
    </row>
    <row r="229" spans="2:14" x14ac:dyDescent="0.25">
      <c r="B229" s="12"/>
      <c r="K229" s="8"/>
      <c r="L229" s="22"/>
      <c r="M229" s="8" t="s">
        <v>6</v>
      </c>
      <c r="N229" s="8"/>
    </row>
    <row r="230" spans="2:14" x14ac:dyDescent="0.25">
      <c r="B230" s="12"/>
      <c r="K230" s="8"/>
      <c r="L230" s="22"/>
      <c r="M230" s="8" t="s">
        <v>6</v>
      </c>
      <c r="N230" s="8"/>
    </row>
    <row r="231" spans="2:14" x14ac:dyDescent="0.25">
      <c r="B231" s="12"/>
      <c r="K231" s="8"/>
      <c r="L231" s="22"/>
      <c r="M231" s="8" t="s">
        <v>6</v>
      </c>
      <c r="N231" s="8"/>
    </row>
    <row r="232" spans="2:14" x14ac:dyDescent="0.25">
      <c r="B232" s="12"/>
      <c r="K232" s="8"/>
      <c r="L232" s="22"/>
      <c r="M232" s="8" t="s">
        <v>6</v>
      </c>
      <c r="N232" s="8"/>
    </row>
    <row r="233" spans="2:14" x14ac:dyDescent="0.25">
      <c r="B233" s="12"/>
      <c r="K233" s="8"/>
      <c r="L233" s="22"/>
      <c r="M233" s="8" t="s">
        <v>6</v>
      </c>
      <c r="N233" s="8"/>
    </row>
    <row r="234" spans="2:14" x14ac:dyDescent="0.25">
      <c r="B234" s="12"/>
      <c r="K234" s="8"/>
      <c r="L234" s="22"/>
      <c r="M234" s="8" t="s">
        <v>6</v>
      </c>
      <c r="N234" s="8"/>
    </row>
    <row r="235" spans="2:14" x14ac:dyDescent="0.25">
      <c r="B235" s="12"/>
      <c r="K235" s="8"/>
      <c r="L235" s="22"/>
      <c r="M235" s="8" t="s">
        <v>6</v>
      </c>
      <c r="N235" s="8"/>
    </row>
    <row r="236" spans="2:14" x14ac:dyDescent="0.25">
      <c r="B236" s="12"/>
      <c r="K236" s="8"/>
      <c r="L236" s="22"/>
      <c r="M236" s="8" t="s">
        <v>6</v>
      </c>
      <c r="N236" s="8"/>
    </row>
    <row r="237" spans="2:14" x14ac:dyDescent="0.25">
      <c r="B237" s="12"/>
      <c r="K237" s="8"/>
      <c r="L237" s="22"/>
      <c r="M237" s="8" t="s">
        <v>6</v>
      </c>
      <c r="N237" s="8"/>
    </row>
    <row r="238" spans="2:14" x14ac:dyDescent="0.25">
      <c r="B238" s="12"/>
      <c r="K238" s="8"/>
      <c r="L238" s="22"/>
      <c r="M238" s="8" t="s">
        <v>6</v>
      </c>
      <c r="N238" s="8"/>
    </row>
    <row r="239" spans="2:14" x14ac:dyDescent="0.25">
      <c r="B239" s="12"/>
      <c r="K239" s="8"/>
      <c r="L239" s="22"/>
      <c r="M239" s="8" t="s">
        <v>6</v>
      </c>
      <c r="N239" s="8"/>
    </row>
    <row r="240" spans="2:14" x14ac:dyDescent="0.25">
      <c r="B240" s="12"/>
      <c r="K240" s="8"/>
      <c r="L240" s="22"/>
      <c r="M240" s="8" t="s">
        <v>6</v>
      </c>
      <c r="N240" s="8"/>
    </row>
    <row r="241" spans="2:14" x14ac:dyDescent="0.25">
      <c r="B241" s="12"/>
      <c r="K241" s="8"/>
      <c r="L241" s="22"/>
      <c r="M241" s="8" t="s">
        <v>6</v>
      </c>
      <c r="N241" s="8"/>
    </row>
    <row r="242" spans="2:14" x14ac:dyDescent="0.25">
      <c r="B242" s="12"/>
      <c r="K242" s="8"/>
      <c r="L242" s="22"/>
      <c r="M242" s="8" t="s">
        <v>6</v>
      </c>
      <c r="N242" s="8"/>
    </row>
    <row r="243" spans="2:14" x14ac:dyDescent="0.25">
      <c r="B243" s="12"/>
      <c r="K243" s="8"/>
      <c r="L243" s="22"/>
      <c r="M243" s="8" t="s">
        <v>6</v>
      </c>
      <c r="N243" s="8"/>
    </row>
    <row r="244" spans="2:14" x14ac:dyDescent="0.25">
      <c r="B244" s="12"/>
      <c r="K244" s="8"/>
      <c r="L244" s="22"/>
      <c r="M244" s="8" t="s">
        <v>6</v>
      </c>
      <c r="N244" s="8"/>
    </row>
    <row r="245" spans="2:14" x14ac:dyDescent="0.25">
      <c r="B245" s="12"/>
      <c r="K245" s="8"/>
      <c r="L245" s="22"/>
      <c r="M245" s="8" t="s">
        <v>6</v>
      </c>
      <c r="N245" s="8"/>
    </row>
    <row r="246" spans="2:14" x14ac:dyDescent="0.25">
      <c r="B246" s="12"/>
      <c r="K246" s="8"/>
      <c r="L246" s="22"/>
      <c r="M246" s="8" t="s">
        <v>6</v>
      </c>
      <c r="N246" s="8"/>
    </row>
    <row r="247" spans="2:14" x14ac:dyDescent="0.25">
      <c r="B247" s="12"/>
      <c r="K247" s="8"/>
      <c r="L247" s="22"/>
      <c r="M247" s="8" t="s">
        <v>6</v>
      </c>
      <c r="N247" s="8"/>
    </row>
    <row r="248" spans="2:14" x14ac:dyDescent="0.25">
      <c r="B248" s="12"/>
      <c r="K248" s="8"/>
      <c r="L248" s="22"/>
      <c r="M248" s="8" t="s">
        <v>6</v>
      </c>
      <c r="N248" s="8"/>
    </row>
    <row r="249" spans="2:14" x14ac:dyDescent="0.25">
      <c r="B249" s="12"/>
      <c r="K249" s="8"/>
      <c r="L249" s="22"/>
      <c r="M249" s="8" t="s">
        <v>6</v>
      </c>
      <c r="N249" s="8"/>
    </row>
    <row r="250" spans="2:14" x14ac:dyDescent="0.25">
      <c r="B250" s="12"/>
      <c r="K250" s="8"/>
      <c r="L250" s="22"/>
      <c r="M250" s="8" t="s">
        <v>6</v>
      </c>
      <c r="N250" s="8"/>
    </row>
    <row r="251" spans="2:14" x14ac:dyDescent="0.25">
      <c r="B251" s="12"/>
      <c r="K251" s="8"/>
      <c r="L251" s="22"/>
      <c r="M251" s="8" t="s">
        <v>6</v>
      </c>
      <c r="N251" s="8"/>
    </row>
    <row r="252" spans="2:14" x14ac:dyDescent="0.25">
      <c r="B252" s="12"/>
      <c r="K252" s="8"/>
      <c r="L252" s="22"/>
      <c r="M252" s="8" t="s">
        <v>6</v>
      </c>
      <c r="N252" s="8"/>
    </row>
    <row r="253" spans="2:14" x14ac:dyDescent="0.25">
      <c r="B253" s="12"/>
      <c r="K253" s="8"/>
      <c r="L253" s="22"/>
      <c r="M253" s="8" t="s">
        <v>6</v>
      </c>
      <c r="N253" s="8"/>
    </row>
    <row r="254" spans="2:14" x14ac:dyDescent="0.25">
      <c r="B254" s="12"/>
      <c r="K254" s="8"/>
      <c r="L254" s="22"/>
      <c r="M254" s="8" t="s">
        <v>6</v>
      </c>
      <c r="N254" s="8"/>
    </row>
    <row r="255" spans="2:14" x14ac:dyDescent="0.25">
      <c r="B255" s="12"/>
      <c r="K255" s="8"/>
      <c r="L255" s="22"/>
      <c r="M255" s="8" t="s">
        <v>6</v>
      </c>
      <c r="N255" s="8"/>
    </row>
    <row r="256" spans="2:14" x14ac:dyDescent="0.25">
      <c r="B256" s="12"/>
      <c r="K256" s="8"/>
      <c r="L256" s="22"/>
      <c r="M256" s="8" t="s">
        <v>6</v>
      </c>
      <c r="N256" s="8"/>
    </row>
    <row r="257" spans="2:14" x14ac:dyDescent="0.25">
      <c r="B257" s="12"/>
      <c r="K257" s="8"/>
      <c r="L257" s="22"/>
      <c r="M257" s="8" t="s">
        <v>6</v>
      </c>
      <c r="N257" s="8"/>
    </row>
    <row r="258" spans="2:14" x14ac:dyDescent="0.25">
      <c r="B258" s="12"/>
      <c r="K258" s="8"/>
      <c r="L258" s="22"/>
      <c r="M258" s="8" t="s">
        <v>6</v>
      </c>
      <c r="N258" s="8"/>
    </row>
    <row r="259" spans="2:14" x14ac:dyDescent="0.25">
      <c r="B259" s="12"/>
      <c r="K259" s="8"/>
      <c r="L259" s="22"/>
      <c r="M259" s="8" t="s">
        <v>6</v>
      </c>
      <c r="N259" s="8"/>
    </row>
    <row r="260" spans="2:14" x14ac:dyDescent="0.25">
      <c r="B260" s="12"/>
      <c r="K260" s="8"/>
      <c r="L260" s="22"/>
      <c r="M260" s="8" t="s">
        <v>6</v>
      </c>
      <c r="N260" s="8"/>
    </row>
    <row r="261" spans="2:14" x14ac:dyDescent="0.25">
      <c r="B261" s="12"/>
      <c r="K261" s="8"/>
      <c r="L261" s="22"/>
      <c r="M261" s="8" t="s">
        <v>6</v>
      </c>
      <c r="N261" s="8"/>
    </row>
    <row r="262" spans="2:14" x14ac:dyDescent="0.25">
      <c r="B262" s="12"/>
      <c r="K262" s="8"/>
      <c r="L262" s="22"/>
      <c r="M262" s="8" t="s">
        <v>6</v>
      </c>
      <c r="N262" s="8"/>
    </row>
    <row r="263" spans="2:14" x14ac:dyDescent="0.25">
      <c r="B263" s="12"/>
      <c r="K263" s="8"/>
      <c r="L263" s="22"/>
      <c r="M263" s="8" t="s">
        <v>6</v>
      </c>
      <c r="N263" s="8"/>
    </row>
    <row r="264" spans="2:14" x14ac:dyDescent="0.25">
      <c r="B264" s="12"/>
      <c r="K264" s="8"/>
      <c r="L264" s="22"/>
      <c r="M264" s="8" t="s">
        <v>6</v>
      </c>
      <c r="N264" s="8"/>
    </row>
    <row r="265" spans="2:14" x14ac:dyDescent="0.25">
      <c r="B265" s="12"/>
      <c r="K265" s="8"/>
      <c r="L265" s="22"/>
      <c r="M265" s="8" t="s">
        <v>6</v>
      </c>
      <c r="N265" s="8"/>
    </row>
    <row r="266" spans="2:14" x14ac:dyDescent="0.25">
      <c r="B266" s="12"/>
      <c r="K266" s="8"/>
      <c r="L266" s="22"/>
      <c r="M266" s="8" t="s">
        <v>6</v>
      </c>
      <c r="N266" s="8"/>
    </row>
    <row r="267" spans="2:14" x14ac:dyDescent="0.25">
      <c r="B267" s="12"/>
      <c r="K267" s="8"/>
      <c r="L267" s="22"/>
      <c r="M267" s="8" t="s">
        <v>6</v>
      </c>
      <c r="N267" s="8"/>
    </row>
    <row r="268" spans="2:14" x14ac:dyDescent="0.25">
      <c r="B268" s="12"/>
      <c r="K268" s="8"/>
      <c r="L268" s="22"/>
      <c r="M268" s="8" t="s">
        <v>6</v>
      </c>
      <c r="N268" s="8"/>
    </row>
    <row r="269" spans="2:14" x14ac:dyDescent="0.25">
      <c r="B269" s="12"/>
      <c r="K269" s="8"/>
      <c r="L269" s="22"/>
      <c r="M269" s="8" t="s">
        <v>6</v>
      </c>
      <c r="N269" s="8"/>
    </row>
    <row r="270" spans="2:14" x14ac:dyDescent="0.25">
      <c r="B270" s="12"/>
      <c r="K270" s="8"/>
      <c r="L270" s="22"/>
      <c r="M270" s="8" t="s">
        <v>6</v>
      </c>
      <c r="N270" s="8"/>
    </row>
    <row r="271" spans="2:14" x14ac:dyDescent="0.25">
      <c r="B271" s="12"/>
      <c r="K271" s="8"/>
      <c r="L271" s="22"/>
      <c r="M271" s="8" t="s">
        <v>6</v>
      </c>
      <c r="N271" s="8"/>
    </row>
    <row r="272" spans="2:14" x14ac:dyDescent="0.25">
      <c r="B272" s="12"/>
      <c r="K272" s="8"/>
      <c r="L272" s="22"/>
      <c r="M272" s="8" t="s">
        <v>6</v>
      </c>
      <c r="N272" s="8"/>
    </row>
    <row r="273" spans="2:14" x14ac:dyDescent="0.25">
      <c r="B273" s="12"/>
      <c r="K273" s="8"/>
      <c r="L273" s="22"/>
      <c r="M273" s="8" t="s">
        <v>6</v>
      </c>
      <c r="N273" s="8"/>
    </row>
    <row r="274" spans="2:14" x14ac:dyDescent="0.25">
      <c r="B274" s="12"/>
      <c r="K274" s="8"/>
      <c r="L274" s="22"/>
      <c r="M274" s="8" t="s">
        <v>6</v>
      </c>
      <c r="N274" s="8"/>
    </row>
    <row r="275" spans="2:14" x14ac:dyDescent="0.25">
      <c r="B275" s="12"/>
      <c r="K275" s="8"/>
      <c r="L275" s="22"/>
      <c r="M275" s="8" t="s">
        <v>6</v>
      </c>
      <c r="N275" s="8"/>
    </row>
    <row r="276" spans="2:14" x14ac:dyDescent="0.25">
      <c r="B276" s="12"/>
      <c r="K276" s="8"/>
      <c r="L276" s="22"/>
      <c r="M276" s="8" t="s">
        <v>6</v>
      </c>
      <c r="N276" s="8"/>
    </row>
    <row r="277" spans="2:14" x14ac:dyDescent="0.25">
      <c r="B277" s="12"/>
      <c r="K277" s="8"/>
      <c r="L277" s="22"/>
      <c r="M277" s="8" t="s">
        <v>6</v>
      </c>
      <c r="N277" s="8"/>
    </row>
    <row r="278" spans="2:14" x14ac:dyDescent="0.25">
      <c r="B278" s="12"/>
      <c r="K278" s="8"/>
      <c r="L278" s="22"/>
      <c r="M278" s="8" t="s">
        <v>6</v>
      </c>
      <c r="N278" s="8"/>
    </row>
    <row r="279" spans="2:14" x14ac:dyDescent="0.25">
      <c r="B279" s="12"/>
      <c r="K279" s="8"/>
      <c r="L279" s="22"/>
      <c r="M279" s="8" t="s">
        <v>6</v>
      </c>
      <c r="N279" s="8"/>
    </row>
    <row r="280" spans="2:14" x14ac:dyDescent="0.25">
      <c r="B280" s="12"/>
      <c r="K280" s="8"/>
      <c r="L280" s="22"/>
      <c r="M280" s="8" t="s">
        <v>6</v>
      </c>
      <c r="N280" s="8"/>
    </row>
    <row r="281" spans="2:14" x14ac:dyDescent="0.25">
      <c r="B281" s="12"/>
    </row>
    <row r="282" spans="2:14" x14ac:dyDescent="0.25">
      <c r="B282" s="12"/>
    </row>
    <row r="283" spans="2:14" x14ac:dyDescent="0.25">
      <c r="B283" s="12"/>
    </row>
    <row r="284" spans="2:14" x14ac:dyDescent="0.25">
      <c r="B284" s="12"/>
    </row>
    <row r="285" spans="2:14" x14ac:dyDescent="0.25">
      <c r="B285" s="12"/>
    </row>
    <row r="286" spans="2:14" x14ac:dyDescent="0.25">
      <c r="B286" s="12"/>
    </row>
    <row r="287" spans="2:14" x14ac:dyDescent="0.25">
      <c r="B287" s="12"/>
    </row>
    <row r="288" spans="2:14" x14ac:dyDescent="0.25">
      <c r="B288" s="12"/>
    </row>
    <row r="289" spans="2:2" x14ac:dyDescent="0.25">
      <c r="B289" s="12"/>
    </row>
    <row r="290" spans="2:2" x14ac:dyDescent="0.25">
      <c r="B290" s="12"/>
    </row>
    <row r="291" spans="2:2" x14ac:dyDescent="0.25">
      <c r="B291" s="12"/>
    </row>
    <row r="292" spans="2:2" x14ac:dyDescent="0.25">
      <c r="B292" s="12"/>
    </row>
    <row r="293" spans="2:2" x14ac:dyDescent="0.25">
      <c r="B293" s="12"/>
    </row>
    <row r="294" spans="2:2" x14ac:dyDescent="0.25">
      <c r="B294" s="12"/>
    </row>
    <row r="295" spans="2:2" x14ac:dyDescent="0.25">
      <c r="B295" s="12"/>
    </row>
    <row r="296" spans="2:2" x14ac:dyDescent="0.25">
      <c r="B296" s="12"/>
    </row>
    <row r="297" spans="2:2" x14ac:dyDescent="0.25">
      <c r="B297" s="12"/>
    </row>
    <row r="298" spans="2:2" x14ac:dyDescent="0.25">
      <c r="B298" s="12"/>
    </row>
    <row r="299" spans="2:2" x14ac:dyDescent="0.25">
      <c r="B299" s="12"/>
    </row>
    <row r="300" spans="2:2" x14ac:dyDescent="0.25">
      <c r="B300" s="12"/>
    </row>
    <row r="301" spans="2:2" x14ac:dyDescent="0.25">
      <c r="B301" s="12"/>
    </row>
    <row r="302" spans="2:2" x14ac:dyDescent="0.25">
      <c r="B302" s="12"/>
    </row>
    <row r="303" spans="2:2" x14ac:dyDescent="0.25">
      <c r="B303" s="12"/>
    </row>
    <row r="304" spans="2:2" x14ac:dyDescent="0.25">
      <c r="B304" s="12"/>
    </row>
    <row r="305" spans="2:2" x14ac:dyDescent="0.25">
      <c r="B305" s="12"/>
    </row>
    <row r="306" spans="2:2" x14ac:dyDescent="0.25">
      <c r="B306" s="12"/>
    </row>
    <row r="307" spans="2:2" x14ac:dyDescent="0.25">
      <c r="B307" s="12"/>
    </row>
    <row r="308" spans="2:2" x14ac:dyDescent="0.25">
      <c r="B308" s="12"/>
    </row>
    <row r="309" spans="2:2" x14ac:dyDescent="0.25">
      <c r="B309" s="12"/>
    </row>
    <row r="310" spans="2:2" x14ac:dyDescent="0.25">
      <c r="B310" s="12"/>
    </row>
    <row r="311" spans="2:2" x14ac:dyDescent="0.25">
      <c r="B311" s="12"/>
    </row>
    <row r="312" spans="2:2" x14ac:dyDescent="0.25">
      <c r="B312" s="12"/>
    </row>
    <row r="313" spans="2:2" x14ac:dyDescent="0.25">
      <c r="B313" s="12"/>
    </row>
    <row r="314" spans="2:2" x14ac:dyDescent="0.25">
      <c r="B314" s="12"/>
    </row>
    <row r="315" spans="2:2" x14ac:dyDescent="0.25">
      <c r="B315" s="12"/>
    </row>
    <row r="316" spans="2:2" x14ac:dyDescent="0.25">
      <c r="B316" s="12"/>
    </row>
    <row r="317" spans="2:2" x14ac:dyDescent="0.25">
      <c r="B317" s="12"/>
    </row>
    <row r="318" spans="2:2" x14ac:dyDescent="0.25">
      <c r="B318" s="12"/>
    </row>
    <row r="319" spans="2:2" x14ac:dyDescent="0.25">
      <c r="B319" s="12"/>
    </row>
    <row r="320" spans="2:2" x14ac:dyDescent="0.25">
      <c r="B320" s="12"/>
    </row>
    <row r="321" spans="2:2" x14ac:dyDescent="0.25">
      <c r="B321" s="12"/>
    </row>
    <row r="322" spans="2:2" x14ac:dyDescent="0.25">
      <c r="B322" s="12"/>
    </row>
    <row r="323" spans="2:2" x14ac:dyDescent="0.25">
      <c r="B323" s="12"/>
    </row>
    <row r="324" spans="2:2" x14ac:dyDescent="0.25">
      <c r="B324" s="12"/>
    </row>
    <row r="325" spans="2:2" x14ac:dyDescent="0.25">
      <c r="B325" s="12"/>
    </row>
    <row r="326" spans="2:2" x14ac:dyDescent="0.25">
      <c r="B326" s="12"/>
    </row>
    <row r="327" spans="2:2" x14ac:dyDescent="0.25">
      <c r="B327" s="12"/>
    </row>
    <row r="328" spans="2:2" x14ac:dyDescent="0.25">
      <c r="B328" s="12"/>
    </row>
    <row r="329" spans="2:2" x14ac:dyDescent="0.25">
      <c r="B329" s="12"/>
    </row>
    <row r="330" spans="2:2" x14ac:dyDescent="0.25">
      <c r="B330" s="12"/>
    </row>
    <row r="331" spans="2:2" x14ac:dyDescent="0.25">
      <c r="B331" s="12"/>
    </row>
    <row r="332" spans="2:2" x14ac:dyDescent="0.25">
      <c r="B332" s="12"/>
    </row>
    <row r="333" spans="2:2" x14ac:dyDescent="0.25">
      <c r="B333" s="12"/>
    </row>
    <row r="334" spans="2:2" x14ac:dyDescent="0.25">
      <c r="B334" s="12"/>
    </row>
    <row r="335" spans="2:2" x14ac:dyDescent="0.25">
      <c r="B335" s="12"/>
    </row>
    <row r="336" spans="2:2" x14ac:dyDescent="0.25">
      <c r="B336" s="12"/>
    </row>
    <row r="337" spans="2:2" x14ac:dyDescent="0.25">
      <c r="B337" s="12"/>
    </row>
    <row r="338" spans="2:2" x14ac:dyDescent="0.25">
      <c r="B338" s="12"/>
    </row>
    <row r="339" spans="2:2" x14ac:dyDescent="0.25">
      <c r="B339" s="12"/>
    </row>
    <row r="340" spans="2:2" x14ac:dyDescent="0.25">
      <c r="B340" s="12"/>
    </row>
    <row r="341" spans="2:2" x14ac:dyDescent="0.25">
      <c r="B341" s="12"/>
    </row>
    <row r="342" spans="2:2" x14ac:dyDescent="0.25">
      <c r="B342" s="12"/>
    </row>
    <row r="343" spans="2:2" x14ac:dyDescent="0.25">
      <c r="B343" s="12"/>
    </row>
    <row r="344" spans="2:2" x14ac:dyDescent="0.25">
      <c r="B344" s="12"/>
    </row>
    <row r="345" spans="2:2" x14ac:dyDescent="0.25">
      <c r="B345" s="12"/>
    </row>
    <row r="346" spans="2:2" x14ac:dyDescent="0.25">
      <c r="B346" s="12"/>
    </row>
    <row r="347" spans="2:2" x14ac:dyDescent="0.25">
      <c r="B347" s="12"/>
    </row>
    <row r="348" spans="2:2" x14ac:dyDescent="0.25">
      <c r="B348" s="12"/>
    </row>
    <row r="349" spans="2:2" x14ac:dyDescent="0.25">
      <c r="B349" s="12"/>
    </row>
    <row r="350" spans="2:2" x14ac:dyDescent="0.25">
      <c r="B350" s="12"/>
    </row>
    <row r="351" spans="2:2" x14ac:dyDescent="0.25">
      <c r="B351" s="12"/>
    </row>
    <row r="352" spans="2:2" x14ac:dyDescent="0.25">
      <c r="B352" s="12"/>
    </row>
    <row r="353" spans="2:2" x14ac:dyDescent="0.25">
      <c r="B353" s="12"/>
    </row>
    <row r="354" spans="2:2" x14ac:dyDescent="0.25">
      <c r="B354" s="12"/>
    </row>
    <row r="355" spans="2:2" x14ac:dyDescent="0.25">
      <c r="B355" s="12"/>
    </row>
    <row r="356" spans="2:2" x14ac:dyDescent="0.25">
      <c r="B356" s="12"/>
    </row>
    <row r="357" spans="2:2" x14ac:dyDescent="0.25">
      <c r="B357" s="12"/>
    </row>
    <row r="358" spans="2:2" x14ac:dyDescent="0.25">
      <c r="B358" s="12"/>
    </row>
    <row r="359" spans="2:2" x14ac:dyDescent="0.25">
      <c r="B359" s="12"/>
    </row>
    <row r="360" spans="2:2" x14ac:dyDescent="0.25">
      <c r="B360" s="12"/>
    </row>
    <row r="361" spans="2:2" x14ac:dyDescent="0.25">
      <c r="B361" s="12"/>
    </row>
    <row r="362" spans="2:2" x14ac:dyDescent="0.25">
      <c r="B362" s="12"/>
    </row>
    <row r="363" spans="2:2" x14ac:dyDescent="0.25">
      <c r="B363" s="12"/>
    </row>
    <row r="364" spans="2:2" x14ac:dyDescent="0.25">
      <c r="B364" s="12"/>
    </row>
    <row r="365" spans="2:2" x14ac:dyDescent="0.25">
      <c r="B365" s="12"/>
    </row>
    <row r="366" spans="2:2" x14ac:dyDescent="0.25">
      <c r="B366" s="12"/>
    </row>
    <row r="367" spans="2:2" x14ac:dyDescent="0.25">
      <c r="B367" s="12"/>
    </row>
    <row r="368" spans="2:2" x14ac:dyDescent="0.25">
      <c r="B368" s="12"/>
    </row>
    <row r="369" spans="2:2" x14ac:dyDescent="0.25">
      <c r="B369" s="12"/>
    </row>
    <row r="370" spans="2:2" x14ac:dyDescent="0.25">
      <c r="B370" s="12"/>
    </row>
    <row r="371" spans="2:2" x14ac:dyDescent="0.25">
      <c r="B371" s="12"/>
    </row>
    <row r="372" spans="2:2" x14ac:dyDescent="0.25">
      <c r="B372" s="12"/>
    </row>
    <row r="373" spans="2:2" x14ac:dyDescent="0.25">
      <c r="B373" s="12"/>
    </row>
    <row r="374" spans="2:2" x14ac:dyDescent="0.25">
      <c r="B374" s="12"/>
    </row>
    <row r="375" spans="2:2" x14ac:dyDescent="0.25">
      <c r="B375" s="12"/>
    </row>
    <row r="376" spans="2:2" x14ac:dyDescent="0.25">
      <c r="B376" s="12"/>
    </row>
    <row r="377" spans="2:2" x14ac:dyDescent="0.25">
      <c r="B377" s="12"/>
    </row>
    <row r="378" spans="2:2" x14ac:dyDescent="0.25">
      <c r="B378" s="12"/>
    </row>
    <row r="379" spans="2:2" x14ac:dyDescent="0.25">
      <c r="B379" s="12"/>
    </row>
    <row r="380" spans="2:2" x14ac:dyDescent="0.25">
      <c r="B380" s="12"/>
    </row>
    <row r="381" spans="2:2" x14ac:dyDescent="0.25">
      <c r="B381" s="12"/>
    </row>
    <row r="382" spans="2:2" x14ac:dyDescent="0.25">
      <c r="B382" s="12"/>
    </row>
    <row r="383" spans="2:2" x14ac:dyDescent="0.25">
      <c r="B383" s="12"/>
    </row>
    <row r="384" spans="2:2" x14ac:dyDescent="0.25">
      <c r="B384" s="12"/>
    </row>
    <row r="385" spans="2:2" x14ac:dyDescent="0.25">
      <c r="B385" s="12"/>
    </row>
    <row r="386" spans="2:2" x14ac:dyDescent="0.25">
      <c r="B386" s="12"/>
    </row>
    <row r="387" spans="2:2" x14ac:dyDescent="0.25">
      <c r="B387" s="12"/>
    </row>
    <row r="388" spans="2:2" x14ac:dyDescent="0.25">
      <c r="B388" s="12"/>
    </row>
    <row r="389" spans="2:2" x14ac:dyDescent="0.25">
      <c r="B389" s="12"/>
    </row>
    <row r="390" spans="2:2" x14ac:dyDescent="0.25">
      <c r="B390" s="12"/>
    </row>
    <row r="391" spans="2:2" x14ac:dyDescent="0.25">
      <c r="B391" s="12"/>
    </row>
    <row r="392" spans="2:2" x14ac:dyDescent="0.25">
      <c r="B392" s="12"/>
    </row>
    <row r="393" spans="2:2" x14ac:dyDescent="0.25">
      <c r="B393" s="12"/>
    </row>
    <row r="394" spans="2:2" x14ac:dyDescent="0.25">
      <c r="B394" s="12"/>
    </row>
    <row r="395" spans="2:2" x14ac:dyDescent="0.25">
      <c r="B395" s="12"/>
    </row>
    <row r="396" spans="2:2" x14ac:dyDescent="0.25">
      <c r="B396" s="12"/>
    </row>
    <row r="397" spans="2:2" x14ac:dyDescent="0.25">
      <c r="B397" s="12"/>
    </row>
    <row r="398" spans="2:2" x14ac:dyDescent="0.25">
      <c r="B398" s="12"/>
    </row>
    <row r="399" spans="2:2" x14ac:dyDescent="0.25">
      <c r="B399" s="12"/>
    </row>
    <row r="400" spans="2:2" x14ac:dyDescent="0.25">
      <c r="B400" s="12"/>
    </row>
    <row r="401" spans="2:2" x14ac:dyDescent="0.25">
      <c r="B401" s="12"/>
    </row>
    <row r="402" spans="2:2" x14ac:dyDescent="0.25">
      <c r="B402" s="12"/>
    </row>
    <row r="403" spans="2:2" x14ac:dyDescent="0.25">
      <c r="B403" s="12"/>
    </row>
    <row r="404" spans="2:2" x14ac:dyDescent="0.25">
      <c r="B404" s="12"/>
    </row>
    <row r="405" spans="2:2" x14ac:dyDescent="0.25">
      <c r="B405" s="12"/>
    </row>
    <row r="406" spans="2:2" x14ac:dyDescent="0.25">
      <c r="B406" s="12"/>
    </row>
    <row r="407" spans="2:2" x14ac:dyDescent="0.25">
      <c r="B407" s="12"/>
    </row>
    <row r="408" spans="2:2" x14ac:dyDescent="0.25">
      <c r="B408" s="12"/>
    </row>
  </sheetData>
  <mergeCells count="11">
    <mergeCell ref="J7:M8"/>
    <mergeCell ref="A1:N1"/>
    <mergeCell ref="A2:N2"/>
    <mergeCell ref="A83:A84"/>
    <mergeCell ref="N7:N8"/>
    <mergeCell ref="B7:B8"/>
    <mergeCell ref="A7:A8"/>
    <mergeCell ref="A3:N3"/>
    <mergeCell ref="A4:N4"/>
    <mergeCell ref="A62:B62"/>
    <mergeCell ref="C7:I7"/>
  </mergeCells>
  <pageMargins left="0.19685039370078741" right="0" top="1.1417322834645669" bottom="0.74803149606299213" header="0.31496062992125984" footer="0.31496062992125984"/>
  <pageSetup scale="67" orientation="portrait" r:id="rId1"/>
  <ignoredErrors>
    <ignoredError sqref="H9:H10 N10" formula="1"/>
    <ignoredError sqref="A55:A56 A9:A28 A30:A4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>
    <tabColor theme="6" tint="-0.249977111117893"/>
    <pageSetUpPr fitToPage="1"/>
  </sheetPr>
  <dimension ref="A1:Y33"/>
  <sheetViews>
    <sheetView showGridLines="0" showZeros="0" topLeftCell="A3" zoomScaleNormal="100" workbookViewId="0">
      <selection activeCell="L18" sqref="L18"/>
    </sheetView>
  </sheetViews>
  <sheetFormatPr baseColWidth="10" defaultColWidth="11.42578125" defaultRowHeight="12.75" x14ac:dyDescent="0.2"/>
  <cols>
    <col min="1" max="1" width="36.140625" customWidth="1"/>
    <col min="2" max="2" width="17.42578125" customWidth="1"/>
    <col min="3" max="3" width="15.85546875" customWidth="1"/>
    <col min="4" max="4" width="12.5703125" customWidth="1"/>
    <col min="5" max="5" width="13.5703125" hidden="1" customWidth="1"/>
    <col min="6" max="6" width="11.5703125" customWidth="1"/>
    <col min="7" max="7" width="12.5703125" customWidth="1"/>
    <col min="8" max="8" width="12.28515625" customWidth="1"/>
    <col min="9" max="9" width="12.5703125" customWidth="1"/>
    <col min="10" max="10" width="10.28515625" customWidth="1"/>
    <col min="11" max="11" width="12.140625" customWidth="1"/>
    <col min="12" max="12" width="12" customWidth="1"/>
    <col min="13" max="13" width="24.28515625" customWidth="1"/>
    <col min="15" max="16" width="0" hidden="1" customWidth="1"/>
    <col min="17" max="17" width="4.7109375" customWidth="1"/>
    <col min="18" max="18" width="22.42578125" bestFit="1" customWidth="1"/>
    <col min="20" max="20" width="1.42578125" customWidth="1"/>
    <col min="21" max="21" width="3.140625" customWidth="1"/>
    <col min="22" max="22" width="0.42578125" customWidth="1"/>
    <col min="23" max="23" width="1.5703125" customWidth="1"/>
    <col min="24" max="24" width="0.42578125" customWidth="1"/>
  </cols>
  <sheetData>
    <row r="1" spans="1:25" ht="15.75" x14ac:dyDescent="0.25">
      <c r="A1" s="580" t="s">
        <v>386</v>
      </c>
      <c r="B1" s="580"/>
      <c r="C1" s="580"/>
      <c r="D1" s="580"/>
      <c r="E1" s="580"/>
      <c r="F1" s="580"/>
      <c r="G1" s="580"/>
      <c r="H1" s="580"/>
      <c r="I1" s="580"/>
      <c r="J1" s="580"/>
    </row>
    <row r="2" spans="1:25" ht="15.75" x14ac:dyDescent="0.25">
      <c r="A2" s="580" t="s">
        <v>387</v>
      </c>
      <c r="B2" s="580"/>
      <c r="C2" s="580"/>
      <c r="D2" s="580"/>
      <c r="E2" s="580"/>
      <c r="F2" s="580"/>
      <c r="G2" s="580"/>
      <c r="H2" s="580"/>
      <c r="I2" s="580"/>
      <c r="J2" s="580"/>
    </row>
    <row r="3" spans="1:25" ht="15" x14ac:dyDescent="0.25">
      <c r="A3" s="589" t="s">
        <v>538</v>
      </c>
      <c r="B3" s="590"/>
      <c r="C3" s="590"/>
      <c r="D3" s="590"/>
      <c r="E3" s="590"/>
      <c r="F3" s="590"/>
      <c r="G3" s="590"/>
      <c r="H3" s="590"/>
      <c r="I3" s="590"/>
      <c r="J3" s="591"/>
    </row>
    <row r="4" spans="1:25" ht="15" x14ac:dyDescent="0.25">
      <c r="A4" s="589" t="s">
        <v>554</v>
      </c>
      <c r="B4" s="590"/>
      <c r="C4" s="590"/>
      <c r="D4" s="590"/>
      <c r="E4" s="590"/>
      <c r="F4" s="590"/>
      <c r="G4" s="590"/>
      <c r="H4" s="590"/>
      <c r="I4" s="590"/>
      <c r="J4" s="591"/>
    </row>
    <row r="5" spans="1:25" ht="15" thickBot="1" x14ac:dyDescent="0.25">
      <c r="A5" s="522"/>
      <c r="B5" s="523"/>
      <c r="C5" s="523"/>
      <c r="D5" s="523"/>
      <c r="E5" s="523"/>
      <c r="F5" s="523"/>
      <c r="G5" s="523"/>
      <c r="H5" s="523"/>
      <c r="I5" s="523"/>
    </row>
    <row r="6" spans="1:25" ht="21" customHeight="1" x14ac:dyDescent="0.2">
      <c r="A6" s="592" t="s">
        <v>0</v>
      </c>
      <c r="B6" s="594" t="s">
        <v>39</v>
      </c>
      <c r="C6" s="598" t="s">
        <v>31</v>
      </c>
      <c r="D6" s="599"/>
      <c r="E6" s="599"/>
      <c r="F6" s="600"/>
      <c r="G6" s="596" t="s">
        <v>40</v>
      </c>
      <c r="H6" s="596"/>
      <c r="I6" s="596" t="s">
        <v>1</v>
      </c>
      <c r="J6" s="597"/>
    </row>
    <row r="7" spans="1:25" ht="24.75" customHeight="1" thickBot="1" x14ac:dyDescent="0.25">
      <c r="A7" s="593"/>
      <c r="B7" s="595"/>
      <c r="C7" s="524" t="s">
        <v>87</v>
      </c>
      <c r="D7" s="525" t="s">
        <v>12</v>
      </c>
      <c r="E7" s="525" t="s">
        <v>12</v>
      </c>
      <c r="F7" s="525" t="s">
        <v>2</v>
      </c>
      <c r="G7" s="525" t="s">
        <v>36</v>
      </c>
      <c r="H7" s="525" t="s">
        <v>41</v>
      </c>
      <c r="I7" s="525" t="s">
        <v>376</v>
      </c>
      <c r="J7" s="526" t="s">
        <v>5</v>
      </c>
      <c r="L7" s="50"/>
    </row>
    <row r="8" spans="1:25" ht="20.100000000000001" customHeight="1" x14ac:dyDescent="0.2">
      <c r="A8" s="527"/>
      <c r="B8" s="528"/>
      <c r="C8" s="528"/>
      <c r="D8" s="529"/>
      <c r="E8" s="529"/>
      <c r="F8" s="530"/>
      <c r="G8" s="530"/>
      <c r="H8" s="530"/>
      <c r="I8" s="530"/>
      <c r="J8" s="531"/>
    </row>
    <row r="9" spans="1:25" ht="20.100000000000001" customHeight="1" x14ac:dyDescent="0.2">
      <c r="A9" s="532" t="s">
        <v>14</v>
      </c>
      <c r="B9" s="533"/>
      <c r="C9" s="534">
        <v>198000000</v>
      </c>
      <c r="D9" s="534">
        <v>198000000</v>
      </c>
      <c r="E9" s="534" t="e">
        <v>#REF!</v>
      </c>
      <c r="F9" s="534">
        <v>49855022</v>
      </c>
      <c r="G9" s="534">
        <v>26244354.539999999</v>
      </c>
      <c r="H9" s="534">
        <v>28582992.399999999</v>
      </c>
      <c r="I9" s="535">
        <v>-21272029.600000001</v>
      </c>
      <c r="J9" s="536">
        <v>57.332223020581552</v>
      </c>
      <c r="K9" s="150"/>
    </row>
    <row r="10" spans="1:25" ht="20.100000000000001" customHeight="1" x14ac:dyDescent="0.2">
      <c r="A10" s="532"/>
      <c r="B10" s="533"/>
      <c r="C10" s="533"/>
      <c r="D10" s="534"/>
      <c r="E10" s="534"/>
      <c r="F10" s="534"/>
      <c r="G10" s="534"/>
      <c r="H10" s="534"/>
      <c r="I10" s="535"/>
      <c r="J10" s="536"/>
      <c r="K10" s="150"/>
    </row>
    <row r="11" spans="1:25" ht="20.100000000000001" customHeight="1" x14ac:dyDescent="0.2">
      <c r="A11" s="532" t="s">
        <v>15</v>
      </c>
      <c r="B11" s="533"/>
      <c r="C11" s="534">
        <v>15328172</v>
      </c>
      <c r="D11" s="534">
        <v>15328172</v>
      </c>
      <c r="E11" s="534" t="e">
        <v>#REF!</v>
      </c>
      <c r="F11" s="534">
        <v>3130032</v>
      </c>
      <c r="G11" s="534">
        <v>11988543.539999999</v>
      </c>
      <c r="H11" s="534">
        <v>3476255.3999999994</v>
      </c>
      <c r="I11" s="535">
        <v>-346223.39999999944</v>
      </c>
      <c r="J11" s="536">
        <v>111.06133739207775</v>
      </c>
      <c r="K11" s="150"/>
      <c r="L11" s="1" t="s">
        <v>6</v>
      </c>
    </row>
    <row r="12" spans="1:25" ht="20.100000000000001" customHeight="1" x14ac:dyDescent="0.3">
      <c r="A12" s="537"/>
      <c r="B12" s="538"/>
      <c r="C12" s="538"/>
      <c r="D12" s="539"/>
      <c r="E12" s="539"/>
      <c r="F12" s="539" t="s">
        <v>6</v>
      </c>
      <c r="G12" s="539"/>
      <c r="H12" s="539"/>
      <c r="I12" s="540"/>
      <c r="J12" s="541"/>
      <c r="K12" s="148"/>
    </row>
    <row r="13" spans="1:25" ht="20.100000000000001" customHeight="1" x14ac:dyDescent="0.2">
      <c r="A13" s="542" t="s">
        <v>16</v>
      </c>
      <c r="B13" s="543" t="s">
        <v>42</v>
      </c>
      <c r="C13" s="544">
        <v>700000</v>
      </c>
      <c r="D13" s="544">
        <v>700000</v>
      </c>
      <c r="E13" s="544" t="e">
        <v>#REF!</v>
      </c>
      <c r="F13" s="544">
        <v>174999</v>
      </c>
      <c r="G13" s="544">
        <v>0</v>
      </c>
      <c r="H13" s="544">
        <v>356325.69</v>
      </c>
      <c r="I13" s="545">
        <v>181326.69</v>
      </c>
      <c r="J13" s="546">
        <v>203.61584351910582</v>
      </c>
      <c r="K13" s="149"/>
      <c r="L13" s="1" t="s">
        <v>6</v>
      </c>
      <c r="M13" s="23"/>
      <c r="N13" s="1"/>
      <c r="R13" s="43"/>
      <c r="S13" s="44"/>
      <c r="T13" s="44"/>
      <c r="U13" s="45"/>
      <c r="V13" s="45"/>
      <c r="W13" s="45"/>
      <c r="X13" s="45"/>
      <c r="Y13" s="45"/>
    </row>
    <row r="14" spans="1:25" ht="20.100000000000001" customHeight="1" x14ac:dyDescent="0.2">
      <c r="A14" s="542" t="s">
        <v>17</v>
      </c>
      <c r="B14" s="543" t="s">
        <v>43</v>
      </c>
      <c r="C14" s="544">
        <v>4776492</v>
      </c>
      <c r="D14" s="544">
        <v>4776492</v>
      </c>
      <c r="E14" s="544" t="e">
        <v>#REF!</v>
      </c>
      <c r="F14" s="544">
        <v>955299</v>
      </c>
      <c r="G14" s="544">
        <v>35424.230000000003</v>
      </c>
      <c r="H14" s="544">
        <v>211530.15</v>
      </c>
      <c r="I14" s="545">
        <v>-743768.85</v>
      </c>
      <c r="J14" s="546">
        <v>22.142821252822415</v>
      </c>
      <c r="K14" s="149"/>
      <c r="L14" s="1"/>
      <c r="M14" s="23"/>
      <c r="S14" s="44"/>
      <c r="T14" s="44"/>
      <c r="U14" s="45"/>
      <c r="V14" s="45"/>
      <c r="W14" s="45"/>
      <c r="X14" s="45"/>
      <c r="Y14" s="45"/>
    </row>
    <row r="15" spans="1:25" ht="20.100000000000001" customHeight="1" x14ac:dyDescent="0.2">
      <c r="A15" s="547" t="s">
        <v>18</v>
      </c>
      <c r="B15" s="543" t="s">
        <v>44</v>
      </c>
      <c r="C15" s="544">
        <v>4774884</v>
      </c>
      <c r="D15" s="544">
        <v>4774884</v>
      </c>
      <c r="E15" s="544" t="e">
        <v>#REF!</v>
      </c>
      <c r="F15" s="544">
        <v>954978</v>
      </c>
      <c r="G15" s="544">
        <v>913263.25</v>
      </c>
      <c r="H15" s="544">
        <v>2022641.06</v>
      </c>
      <c r="I15" s="545">
        <v>1067663.06</v>
      </c>
      <c r="J15" s="546">
        <v>211.79975454931946</v>
      </c>
      <c r="K15" s="149"/>
      <c r="L15" s="1"/>
      <c r="M15" s="23"/>
      <c r="S15" s="44"/>
      <c r="T15" s="44"/>
      <c r="U15" s="45"/>
      <c r="V15" s="45"/>
      <c r="W15" s="45"/>
      <c r="X15" s="45"/>
      <c r="Y15" s="45"/>
    </row>
    <row r="16" spans="1:25" ht="20.100000000000001" customHeight="1" x14ac:dyDescent="0.2">
      <c r="A16" s="547" t="s">
        <v>19</v>
      </c>
      <c r="B16" s="543" t="s">
        <v>45</v>
      </c>
      <c r="C16" s="544">
        <v>66714</v>
      </c>
      <c r="D16" s="544">
        <v>66714</v>
      </c>
      <c r="E16" s="544" t="e">
        <v>#REF!</v>
      </c>
      <c r="F16" s="544">
        <v>22236</v>
      </c>
      <c r="G16" s="544">
        <v>6929.67</v>
      </c>
      <c r="H16" s="544">
        <v>20436.07</v>
      </c>
      <c r="I16" s="545">
        <v>-1799.9300000000003</v>
      </c>
      <c r="J16" s="546">
        <v>91.905333693110265</v>
      </c>
      <c r="K16" s="149"/>
      <c r="L16" s="1"/>
      <c r="M16" s="23"/>
      <c r="S16" s="44"/>
      <c r="T16" s="44"/>
      <c r="U16" s="45"/>
      <c r="V16" s="45"/>
      <c r="W16" s="45"/>
      <c r="X16" s="45"/>
      <c r="Y16" s="45"/>
    </row>
    <row r="17" spans="1:25" ht="20.100000000000001" customHeight="1" x14ac:dyDescent="0.2">
      <c r="A17" s="547" t="s">
        <v>20</v>
      </c>
      <c r="B17" s="543" t="s">
        <v>46</v>
      </c>
      <c r="C17" s="544">
        <v>410082</v>
      </c>
      <c r="D17" s="544">
        <v>410082</v>
      </c>
      <c r="E17" s="544" t="e">
        <v>#REF!</v>
      </c>
      <c r="F17" s="544">
        <v>102519</v>
      </c>
      <c r="G17" s="544">
        <v>61694.92</v>
      </c>
      <c r="H17" s="544">
        <v>299334.27999999997</v>
      </c>
      <c r="I17" s="545">
        <v>196815.27999999997</v>
      </c>
      <c r="J17" s="546">
        <v>291.97932090636851</v>
      </c>
      <c r="K17" s="149"/>
      <c r="L17" s="1"/>
      <c r="M17" s="23"/>
      <c r="S17" s="44"/>
      <c r="T17" s="44"/>
      <c r="U17" s="45"/>
      <c r="V17" s="45"/>
      <c r="W17" s="45"/>
      <c r="X17" s="45"/>
      <c r="Y17" s="45"/>
    </row>
    <row r="18" spans="1:25" ht="20.100000000000001" customHeight="1" x14ac:dyDescent="0.2">
      <c r="A18" s="547" t="s">
        <v>21</v>
      </c>
      <c r="B18" s="543" t="s">
        <v>47</v>
      </c>
      <c r="C18" s="544">
        <v>2500000</v>
      </c>
      <c r="D18" s="544">
        <v>2500000</v>
      </c>
      <c r="E18" s="544" t="e">
        <v>#REF!</v>
      </c>
      <c r="F18" s="544">
        <v>500001</v>
      </c>
      <c r="G18" s="544">
        <v>30385.47</v>
      </c>
      <c r="H18" s="544">
        <v>145988.15</v>
      </c>
      <c r="I18" s="548">
        <v>-354012.85</v>
      </c>
      <c r="J18" s="546">
        <v>29.197571604856787</v>
      </c>
      <c r="K18" s="149"/>
      <c r="L18" s="1"/>
      <c r="M18" s="23"/>
      <c r="N18" s="1"/>
      <c r="S18" s="44"/>
      <c r="T18" s="44"/>
      <c r="U18" s="45"/>
      <c r="V18" s="45"/>
      <c r="W18" s="45"/>
      <c r="X18" s="45"/>
      <c r="Y18" s="45"/>
    </row>
    <row r="19" spans="1:25" ht="20.100000000000001" customHeight="1" x14ac:dyDescent="0.2">
      <c r="A19" s="547" t="s">
        <v>533</v>
      </c>
      <c r="B19" s="543" t="s">
        <v>48</v>
      </c>
      <c r="C19" s="544"/>
      <c r="D19" s="544"/>
      <c r="E19" s="544"/>
      <c r="F19" s="544"/>
      <c r="G19" s="544">
        <v>0</v>
      </c>
      <c r="H19" s="544">
        <v>0</v>
      </c>
      <c r="I19" s="548" t="s">
        <v>6</v>
      </c>
      <c r="J19" s="546">
        <v>0</v>
      </c>
      <c r="K19" s="149"/>
      <c r="L19" s="1"/>
      <c r="M19" s="23"/>
      <c r="S19" s="44"/>
      <c r="T19" s="44"/>
      <c r="U19" s="45"/>
      <c r="V19" s="45"/>
      <c r="W19" s="45"/>
      <c r="X19" s="45"/>
      <c r="Y19" s="45"/>
    </row>
    <row r="20" spans="1:25" ht="20.100000000000001" customHeight="1" x14ac:dyDescent="0.2">
      <c r="A20" s="547" t="s">
        <v>344</v>
      </c>
      <c r="B20" s="543" t="s">
        <v>49</v>
      </c>
      <c r="C20" s="544">
        <v>2100000</v>
      </c>
      <c r="D20" s="544">
        <v>2100000</v>
      </c>
      <c r="E20" s="544" t="e">
        <v>#REF!</v>
      </c>
      <c r="F20" s="544">
        <v>420000</v>
      </c>
      <c r="G20" s="544">
        <v>10940846</v>
      </c>
      <c r="H20" s="544">
        <v>420000</v>
      </c>
      <c r="I20" s="548">
        <v>0</v>
      </c>
      <c r="J20" s="546">
        <v>100</v>
      </c>
      <c r="K20" s="149"/>
      <c r="L20" s="1"/>
      <c r="M20" s="23"/>
      <c r="S20" s="44"/>
      <c r="T20" s="44"/>
      <c r="U20" s="45"/>
      <c r="V20" s="45"/>
      <c r="W20" s="45"/>
      <c r="X20" s="45"/>
      <c r="Y20" s="45"/>
    </row>
    <row r="21" spans="1:25" ht="20.100000000000001" customHeight="1" x14ac:dyDescent="0.3">
      <c r="A21" s="549"/>
      <c r="B21" s="550"/>
      <c r="C21" s="550"/>
      <c r="D21" s="539"/>
      <c r="E21" s="539"/>
      <c r="F21" s="539" t="s">
        <v>6</v>
      </c>
      <c r="G21" s="539" t="s">
        <v>6</v>
      </c>
      <c r="H21" s="539" t="s">
        <v>6</v>
      </c>
      <c r="I21" s="551"/>
      <c r="J21" s="541"/>
      <c r="K21" s="148"/>
      <c r="L21" s="1"/>
      <c r="M21" s="23"/>
      <c r="S21" s="44"/>
      <c r="T21" s="44"/>
      <c r="U21" s="45"/>
      <c r="V21" s="45"/>
      <c r="W21" s="45"/>
      <c r="X21" s="45"/>
      <c r="Y21" s="45"/>
    </row>
    <row r="22" spans="1:25" ht="20.100000000000001" customHeight="1" x14ac:dyDescent="0.2">
      <c r="A22" s="532" t="s">
        <v>22</v>
      </c>
      <c r="B22" s="552"/>
      <c r="C22" s="553">
        <v>182671828</v>
      </c>
      <c r="D22" s="534">
        <v>182671828</v>
      </c>
      <c r="E22" s="534">
        <v>99974034</v>
      </c>
      <c r="F22" s="534">
        <v>46724990</v>
      </c>
      <c r="G22" s="534">
        <v>14255811</v>
      </c>
      <c r="H22" s="534">
        <v>25106737</v>
      </c>
      <c r="I22" s="554">
        <v>21618253</v>
      </c>
      <c r="J22" s="536">
        <v>53.732995983519736</v>
      </c>
      <c r="K22" s="197"/>
      <c r="L22" s="1"/>
      <c r="M22" s="23" t="s">
        <v>6</v>
      </c>
      <c r="S22" s="46"/>
      <c r="T22" s="46"/>
      <c r="U22" s="45"/>
      <c r="V22" s="45"/>
      <c r="W22" s="45"/>
      <c r="X22" s="45"/>
      <c r="Y22" s="45"/>
    </row>
    <row r="23" spans="1:25" ht="20.100000000000001" customHeight="1" x14ac:dyDescent="0.2">
      <c r="A23" s="532" t="s">
        <v>6</v>
      </c>
      <c r="B23" s="552"/>
      <c r="C23" s="552"/>
      <c r="D23" s="534"/>
      <c r="E23" s="534"/>
      <c r="F23" s="534"/>
      <c r="G23" s="534"/>
      <c r="H23" s="534">
        <v>0</v>
      </c>
      <c r="I23" s="554"/>
      <c r="J23" s="536"/>
      <c r="K23" s="197"/>
      <c r="L23" s="1"/>
      <c r="M23" s="23"/>
      <c r="S23" s="44"/>
      <c r="T23" s="44"/>
      <c r="U23" s="45"/>
      <c r="V23" s="45"/>
      <c r="W23" s="45"/>
      <c r="X23" s="45"/>
      <c r="Y23" s="45"/>
    </row>
    <row r="24" spans="1:25" ht="33" customHeight="1" x14ac:dyDescent="0.2">
      <c r="A24" s="555" t="s">
        <v>50</v>
      </c>
      <c r="B24" s="552" t="s">
        <v>51</v>
      </c>
      <c r="C24" s="534">
        <v>127866634</v>
      </c>
      <c r="D24" s="534">
        <v>127866634</v>
      </c>
      <c r="E24" s="534">
        <v>94763500</v>
      </c>
      <c r="F24" s="534">
        <v>35694633</v>
      </c>
      <c r="G24" s="534">
        <v>3314965</v>
      </c>
      <c r="H24" s="534">
        <v>10860826</v>
      </c>
      <c r="I24" s="554">
        <v>-24833807</v>
      </c>
      <c r="J24" s="536">
        <v>30.42705607871077</v>
      </c>
      <c r="K24" s="197"/>
      <c r="L24" s="1"/>
      <c r="M24" s="23"/>
      <c r="S24" s="46"/>
      <c r="T24" s="46"/>
      <c r="U24" s="45"/>
      <c r="V24" s="45"/>
      <c r="W24" s="45"/>
      <c r="X24" s="45"/>
      <c r="Y24" s="45"/>
    </row>
    <row r="25" spans="1:25" ht="17.45" customHeight="1" x14ac:dyDescent="0.2">
      <c r="A25" s="555"/>
      <c r="B25" s="552"/>
      <c r="C25" s="552"/>
      <c r="D25" s="534"/>
      <c r="E25" s="534"/>
      <c r="F25" s="534"/>
      <c r="G25" s="534"/>
      <c r="H25" s="534"/>
      <c r="I25" s="554"/>
      <c r="J25" s="536"/>
      <c r="K25" s="197"/>
      <c r="L25" s="1"/>
      <c r="M25" s="23"/>
      <c r="S25" s="46"/>
      <c r="T25" s="46"/>
      <c r="U25" s="45"/>
      <c r="V25" s="45"/>
      <c r="W25" s="45"/>
      <c r="X25" s="45"/>
      <c r="Y25" s="45"/>
    </row>
    <row r="26" spans="1:25" ht="20.100000000000001" customHeight="1" x14ac:dyDescent="0.3">
      <c r="A26" s="547" t="s">
        <v>534</v>
      </c>
      <c r="B26" s="550"/>
      <c r="C26" s="544">
        <v>111927700</v>
      </c>
      <c r="D26" s="544">
        <v>111927700</v>
      </c>
      <c r="E26" s="544">
        <v>88702609</v>
      </c>
      <c r="F26" s="544">
        <v>31076377</v>
      </c>
      <c r="G26" s="544">
        <v>0</v>
      </c>
      <c r="H26" s="544">
        <v>10840726</v>
      </c>
      <c r="I26" s="545">
        <v>-20235651</v>
      </c>
      <c r="J26" s="546">
        <v>34.88413723388669</v>
      </c>
      <c r="K26" s="198"/>
      <c r="L26" s="1"/>
      <c r="M26" s="23"/>
      <c r="S26" s="44"/>
      <c r="T26" s="44"/>
      <c r="U26" s="45"/>
      <c r="V26" s="45"/>
      <c r="W26" s="45"/>
      <c r="X26" s="45"/>
      <c r="Y26" s="45"/>
    </row>
    <row r="27" spans="1:25" ht="20.100000000000001" customHeight="1" x14ac:dyDescent="0.2">
      <c r="A27" s="547" t="s">
        <v>535</v>
      </c>
      <c r="B27" s="543" t="s">
        <v>6</v>
      </c>
      <c r="C27" s="544">
        <v>109200</v>
      </c>
      <c r="D27" s="544">
        <v>109200</v>
      </c>
      <c r="E27" s="544" t="s">
        <v>6</v>
      </c>
      <c r="F27" s="544">
        <v>30000</v>
      </c>
      <c r="G27" s="544">
        <v>9900</v>
      </c>
      <c r="H27" s="544">
        <v>20100</v>
      </c>
      <c r="I27" s="545"/>
      <c r="J27" s="546">
        <v>67</v>
      </c>
      <c r="K27" s="198"/>
      <c r="L27" s="1"/>
      <c r="M27" s="23"/>
      <c r="S27" s="44"/>
      <c r="T27" s="44"/>
      <c r="U27" s="45"/>
      <c r="V27" s="45"/>
      <c r="W27" s="45"/>
      <c r="X27" s="45"/>
      <c r="Y27" s="45"/>
    </row>
    <row r="28" spans="1:25" ht="20.100000000000001" customHeight="1" x14ac:dyDescent="0.2">
      <c r="A28" s="547" t="s">
        <v>536</v>
      </c>
      <c r="B28" s="543"/>
      <c r="C28" s="544">
        <v>15829734</v>
      </c>
      <c r="D28" s="544">
        <v>15829734</v>
      </c>
      <c r="E28" s="544">
        <v>6060891</v>
      </c>
      <c r="F28" s="544">
        <v>4588256</v>
      </c>
      <c r="G28" s="544">
        <v>3305065</v>
      </c>
      <c r="H28" s="544">
        <v>3305065</v>
      </c>
      <c r="I28" s="545">
        <v>-1283191</v>
      </c>
      <c r="J28" s="546">
        <v>72.033142876073171</v>
      </c>
      <c r="K28" s="180"/>
      <c r="L28" s="1"/>
      <c r="M28" s="23"/>
      <c r="S28" s="44"/>
      <c r="T28" s="44"/>
      <c r="U28" s="45"/>
      <c r="V28" s="45"/>
      <c r="W28" s="45"/>
      <c r="X28" s="45"/>
      <c r="Y28" s="45"/>
    </row>
    <row r="29" spans="1:25" ht="20.100000000000001" customHeight="1" x14ac:dyDescent="0.3">
      <c r="A29" s="549" t="s">
        <v>6</v>
      </c>
      <c r="B29" s="550"/>
      <c r="C29" s="539" t="s">
        <v>6</v>
      </c>
      <c r="D29" s="539" t="s">
        <v>6</v>
      </c>
      <c r="E29" s="539" t="s">
        <v>6</v>
      </c>
      <c r="F29" s="556" t="s">
        <v>6</v>
      </c>
      <c r="G29" s="544" t="s">
        <v>6</v>
      </c>
      <c r="H29" s="539" t="s">
        <v>6</v>
      </c>
      <c r="I29" s="557"/>
      <c r="J29" s="541"/>
      <c r="K29" s="185"/>
      <c r="L29" s="1"/>
      <c r="M29" s="23"/>
      <c r="S29" s="44"/>
      <c r="T29" s="44"/>
      <c r="U29" s="45"/>
      <c r="V29" s="45"/>
      <c r="W29" s="45"/>
      <c r="X29" s="45"/>
      <c r="Y29" s="45"/>
    </row>
    <row r="30" spans="1:25" ht="23.25" customHeight="1" x14ac:dyDescent="0.2">
      <c r="A30" s="555" t="s">
        <v>52</v>
      </c>
      <c r="B30" s="552" t="s">
        <v>53</v>
      </c>
      <c r="C30" s="534">
        <v>54805194</v>
      </c>
      <c r="D30" s="534">
        <v>54805194</v>
      </c>
      <c r="E30" s="534">
        <v>5210534</v>
      </c>
      <c r="F30" s="534">
        <v>11030357</v>
      </c>
      <c r="G30" s="534">
        <v>10940846</v>
      </c>
      <c r="H30" s="534">
        <v>10940846</v>
      </c>
      <c r="I30" s="535">
        <v>-89511</v>
      </c>
      <c r="J30" s="536">
        <v>99.188503146362351</v>
      </c>
      <c r="K30" s="184"/>
      <c r="L30" s="1"/>
      <c r="M30" s="23"/>
      <c r="S30" s="47"/>
      <c r="T30" s="47"/>
      <c r="U30" s="45"/>
      <c r="V30" s="45"/>
      <c r="W30" s="45"/>
      <c r="X30" s="45"/>
      <c r="Y30" s="45"/>
    </row>
    <row r="31" spans="1:25" ht="20.100000000000001" customHeight="1" thickBot="1" x14ac:dyDescent="0.35">
      <c r="A31" s="558" t="s">
        <v>6</v>
      </c>
      <c r="B31" s="559"/>
      <c r="C31" s="560"/>
      <c r="D31" s="561"/>
      <c r="E31" s="561"/>
      <c r="F31" s="561">
        <v>0</v>
      </c>
      <c r="G31" s="560" t="s">
        <v>6</v>
      </c>
      <c r="H31" s="561" t="s">
        <v>6</v>
      </c>
      <c r="I31" s="562"/>
      <c r="J31" s="563"/>
    </row>
    <row r="32" spans="1:25" ht="10.5" customHeight="1" x14ac:dyDescent="0.3">
      <c r="A32" s="72" t="s">
        <v>6</v>
      </c>
      <c r="B32" s="72"/>
      <c r="C32" s="564"/>
      <c r="D32" s="72"/>
      <c r="E32" s="72"/>
      <c r="F32" s="72"/>
      <c r="G32" s="72"/>
      <c r="H32" s="72"/>
      <c r="I32" s="72"/>
      <c r="J32" s="72"/>
    </row>
    <row r="33" spans="1:10" ht="15.75" x14ac:dyDescent="0.3">
      <c r="A33" s="151" t="s">
        <v>508</v>
      </c>
      <c r="B33" s="151"/>
      <c r="C33" s="565"/>
      <c r="D33" s="72"/>
      <c r="E33" s="72"/>
      <c r="F33" s="72" t="s">
        <v>6</v>
      </c>
      <c r="G33" s="72"/>
      <c r="H33" s="72"/>
      <c r="I33" s="72"/>
      <c r="J33" s="72"/>
    </row>
  </sheetData>
  <mergeCells count="9">
    <mergeCell ref="A1:J1"/>
    <mergeCell ref="A2:J2"/>
    <mergeCell ref="A3:J3"/>
    <mergeCell ref="A4:J4"/>
    <mergeCell ref="A6:A7"/>
    <mergeCell ref="B6:B7"/>
    <mergeCell ref="G6:H6"/>
    <mergeCell ref="I6:J6"/>
    <mergeCell ref="C6:F6"/>
  </mergeCells>
  <phoneticPr fontId="3" type="noConversion"/>
  <pageMargins left="7.874015748031496E-2" right="0" top="0.39370078740157483" bottom="0.39370078740157483" header="0.51181102362204722" footer="0.51181102362204722"/>
  <pageSetup scale="89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4">
    <tabColor theme="6" tint="-0.249977111117893"/>
  </sheetPr>
  <dimension ref="A1:W56"/>
  <sheetViews>
    <sheetView showGridLines="0" showZeros="0" workbookViewId="0">
      <selection activeCell="E17" sqref="E17"/>
    </sheetView>
  </sheetViews>
  <sheetFormatPr baseColWidth="10" defaultColWidth="11.42578125" defaultRowHeight="12.75" x14ac:dyDescent="0.2"/>
  <cols>
    <col min="1" max="1" width="43.28515625" style="25" customWidth="1"/>
    <col min="2" max="2" width="12.28515625" style="25" customWidth="1"/>
    <col min="3" max="3" width="14.85546875" style="25" customWidth="1"/>
    <col min="4" max="4" width="17.140625" style="25" hidden="1" customWidth="1"/>
    <col min="5" max="5" width="13.7109375" style="25" customWidth="1"/>
    <col min="6" max="6" width="14.5703125" style="25" customWidth="1"/>
    <col min="7" max="7" width="13.42578125" style="25" customWidth="1"/>
    <col min="8" max="8" width="4" customWidth="1"/>
  </cols>
  <sheetData>
    <row r="1" spans="1:23" ht="6.75" customHeight="1" x14ac:dyDescent="0.2">
      <c r="A1" s="51"/>
      <c r="B1" s="51"/>
      <c r="C1" s="51"/>
      <c r="D1" s="52"/>
      <c r="E1" s="52"/>
      <c r="F1" s="52"/>
      <c r="G1" s="53"/>
    </row>
    <row r="2" spans="1:23" ht="15" customHeight="1" x14ac:dyDescent="0.25">
      <c r="A2" s="580" t="s">
        <v>386</v>
      </c>
      <c r="B2" s="580"/>
      <c r="C2" s="580"/>
      <c r="D2" s="580"/>
      <c r="E2" s="580"/>
      <c r="F2" s="580"/>
      <c r="G2" s="580"/>
      <c r="H2" s="31"/>
      <c r="I2" s="31"/>
    </row>
    <row r="3" spans="1:23" ht="16.5" customHeight="1" x14ac:dyDescent="0.25">
      <c r="A3" s="580" t="s">
        <v>387</v>
      </c>
      <c r="B3" s="580"/>
      <c r="C3" s="580"/>
      <c r="D3" s="580"/>
      <c r="E3" s="580"/>
      <c r="F3" s="580"/>
      <c r="G3" s="580"/>
      <c r="H3" s="31"/>
      <c r="I3" s="31"/>
    </row>
    <row r="4" spans="1:23" ht="18" customHeight="1" x14ac:dyDescent="0.25">
      <c r="A4" s="581" t="s">
        <v>539</v>
      </c>
      <c r="B4" s="581"/>
      <c r="C4" s="581"/>
      <c r="D4" s="581"/>
      <c r="E4" s="581"/>
      <c r="F4" s="581"/>
      <c r="G4" s="581"/>
    </row>
    <row r="5" spans="1:23" ht="18" customHeight="1" x14ac:dyDescent="0.25">
      <c r="A5" s="581" t="s">
        <v>554</v>
      </c>
      <c r="B5" s="581"/>
      <c r="C5" s="581"/>
      <c r="D5" s="581"/>
      <c r="E5" s="581"/>
      <c r="F5" s="581"/>
      <c r="G5" s="581"/>
    </row>
    <row r="6" spans="1:23" ht="15.75" customHeight="1" x14ac:dyDescent="0.2">
      <c r="A6" s="58"/>
      <c r="B6" s="58"/>
      <c r="C6" s="58"/>
      <c r="D6" s="58"/>
      <c r="E6" s="58"/>
      <c r="F6" s="58"/>
      <c r="G6" s="58" t="s">
        <v>6</v>
      </c>
    </row>
    <row r="7" spans="1:23" ht="20.25" customHeight="1" x14ac:dyDescent="0.2">
      <c r="A7" s="602" t="s">
        <v>0</v>
      </c>
      <c r="B7" s="606" t="s">
        <v>31</v>
      </c>
      <c r="C7" s="607"/>
      <c r="D7" s="607"/>
      <c r="E7" s="608"/>
      <c r="F7" s="609" t="s">
        <v>498</v>
      </c>
      <c r="G7" s="604" t="s">
        <v>380</v>
      </c>
    </row>
    <row r="8" spans="1:23" ht="24" customHeight="1" x14ac:dyDescent="0.2">
      <c r="A8" s="603"/>
      <c r="B8" s="252" t="s">
        <v>87</v>
      </c>
      <c r="C8" s="253" t="s">
        <v>12</v>
      </c>
      <c r="D8" s="254" t="s">
        <v>12</v>
      </c>
      <c r="E8" s="254" t="s">
        <v>2</v>
      </c>
      <c r="F8" s="610"/>
      <c r="G8" s="605"/>
    </row>
    <row r="9" spans="1:23" s="6" customFormat="1" ht="6" customHeight="1" x14ac:dyDescent="0.2">
      <c r="A9" s="255"/>
      <c r="B9" s="255"/>
      <c r="C9" s="256"/>
      <c r="D9" s="257" t="s">
        <v>6</v>
      </c>
      <c r="E9" s="257"/>
      <c r="F9" s="257" t="s">
        <v>6</v>
      </c>
      <c r="G9" s="258" t="s">
        <v>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24.95" customHeight="1" x14ac:dyDescent="0.2">
      <c r="A10" s="214" t="s">
        <v>54</v>
      </c>
      <c r="B10" s="259">
        <f>+[2]CA1!C11</f>
        <v>141094806</v>
      </c>
      <c r="C10" s="259">
        <f>+[2]CA1!D11</f>
        <v>141094806</v>
      </c>
      <c r="D10" s="259">
        <f>+[2]CA1!D11</f>
        <v>141094806</v>
      </c>
      <c r="E10" s="219">
        <f>+BALANCE!E11</f>
        <v>38404665</v>
      </c>
      <c r="F10" s="219">
        <v>17222146.399999999</v>
      </c>
      <c r="G10" s="260">
        <f>F10/E10*100</f>
        <v>44.84389175117137</v>
      </c>
      <c r="H10" s="19"/>
    </row>
    <row r="11" spans="1:23" ht="15" customHeight="1" x14ac:dyDescent="0.2">
      <c r="A11" s="214"/>
      <c r="B11" s="214"/>
      <c r="C11" s="259" t="s">
        <v>6</v>
      </c>
      <c r="D11" s="259">
        <f>+'C-A6'!D181</f>
        <v>50000</v>
      </c>
      <c r="E11" s="219"/>
      <c r="F11" s="219"/>
      <c r="G11" s="261"/>
      <c r="H11" s="19" t="s">
        <v>6</v>
      </c>
    </row>
    <row r="12" spans="1:23" ht="24.95" customHeight="1" x14ac:dyDescent="0.2">
      <c r="A12" s="262" t="s">
        <v>55</v>
      </c>
      <c r="B12" s="263">
        <f>+B14+B15</f>
        <v>141094806</v>
      </c>
      <c r="C12" s="259">
        <f>+'BALANCE GASTO'!C11</f>
        <v>141094806</v>
      </c>
      <c r="D12" s="259" t="e">
        <f>+'BALANCE GASTO'!#REF!</f>
        <v>#REF!</v>
      </c>
      <c r="E12" s="259">
        <f>+'C-A6'!E182</f>
        <v>43874965</v>
      </c>
      <c r="F12" s="259">
        <v>27197029.630000003</v>
      </c>
      <c r="G12" s="260">
        <f>F12/E12*100</f>
        <v>61.987581369010783</v>
      </c>
    </row>
    <row r="13" spans="1:23" ht="15" customHeight="1" x14ac:dyDescent="0.3">
      <c r="A13" s="264"/>
      <c r="B13" s="264"/>
      <c r="C13" s="259" t="s">
        <v>6</v>
      </c>
      <c r="D13" s="259">
        <f>+'C-A6'!D183</f>
        <v>0</v>
      </c>
      <c r="E13" s="265"/>
      <c r="F13" s="265" t="s">
        <v>6</v>
      </c>
      <c r="G13" s="266"/>
    </row>
    <row r="14" spans="1:23" ht="24.95" customHeight="1" x14ac:dyDescent="0.2">
      <c r="A14" s="267" t="s">
        <v>516</v>
      </c>
      <c r="B14" s="268">
        <f>+'BALANCE GASTO'!B13</f>
        <v>138802166</v>
      </c>
      <c r="C14" s="268">
        <f>+'BALANCE GASTO'!C13</f>
        <v>138377166</v>
      </c>
      <c r="D14" s="259" t="e">
        <f>+'BALANCE GASTO'!#REF!</f>
        <v>#REF!</v>
      </c>
      <c r="E14" s="268">
        <f>+'BALANCE GASTO'!D13</f>
        <v>41432125</v>
      </c>
      <c r="F14" s="268">
        <v>27155409.630000003</v>
      </c>
      <c r="G14" s="269">
        <f>F14/E14*100</f>
        <v>65.541918571639769</v>
      </c>
    </row>
    <row r="15" spans="1:23" ht="24.95" customHeight="1" x14ac:dyDescent="0.2">
      <c r="A15" s="270" t="s">
        <v>56</v>
      </c>
      <c r="B15" s="268">
        <f>+'C-A6'!C159</f>
        <v>2292640</v>
      </c>
      <c r="C15" s="268">
        <f>+'C-A6'!D159</f>
        <v>2717640</v>
      </c>
      <c r="D15" s="259" t="e">
        <f>+'BALANCE GASTO'!#REF!</f>
        <v>#REF!</v>
      </c>
      <c r="E15" s="268">
        <f>+'C-A6'!E159</f>
        <v>2442840</v>
      </c>
      <c r="F15" s="268">
        <v>41620</v>
      </c>
      <c r="G15" s="269">
        <f>F15/E15*100</f>
        <v>1.7037546462314355</v>
      </c>
    </row>
    <row r="16" spans="1:23" ht="13.5" customHeight="1" x14ac:dyDescent="0.2">
      <c r="A16" s="270"/>
      <c r="B16" s="270"/>
      <c r="C16" s="271"/>
      <c r="D16" s="268"/>
      <c r="E16" s="268"/>
      <c r="F16" s="268"/>
      <c r="G16" s="269" t="s">
        <v>6</v>
      </c>
      <c r="K16" s="1" t="s">
        <v>6</v>
      </c>
    </row>
    <row r="17" spans="1:10" ht="24.95" customHeight="1" x14ac:dyDescent="0.2">
      <c r="A17" s="262" t="s">
        <v>410</v>
      </c>
      <c r="B17" s="262"/>
      <c r="C17" s="272"/>
      <c r="D17" s="273">
        <v>0</v>
      </c>
      <c r="E17" s="273">
        <v>0</v>
      </c>
      <c r="F17" s="274">
        <v>-9974884.2300000042</v>
      </c>
      <c r="G17" s="269" t="s">
        <v>6</v>
      </c>
    </row>
    <row r="18" spans="1:10" ht="12.75" customHeight="1" x14ac:dyDescent="0.2">
      <c r="A18" s="270" t="s">
        <v>6</v>
      </c>
      <c r="B18" s="270"/>
      <c r="C18" s="271"/>
      <c r="D18" s="268"/>
      <c r="E18" s="268"/>
      <c r="F18" s="268"/>
      <c r="G18" s="269" t="s">
        <v>6</v>
      </c>
    </row>
    <row r="19" spans="1:10" ht="24.95" customHeight="1" x14ac:dyDescent="0.2">
      <c r="A19" s="262" t="s">
        <v>57</v>
      </c>
      <c r="B19" s="275">
        <f>+B21</f>
        <v>56905194</v>
      </c>
      <c r="C19" s="259">
        <f>SUM(C21)</f>
        <v>56905194</v>
      </c>
      <c r="D19" s="259">
        <f>SUM(D21:D24)</f>
        <v>56905194</v>
      </c>
      <c r="E19" s="259">
        <f>SUM(E21:E24)</f>
        <v>13430800</v>
      </c>
      <c r="F19" s="259">
        <v>5374399.8000000007</v>
      </c>
      <c r="G19" s="260">
        <f>F19/E19*100</f>
        <v>40.015485302439174</v>
      </c>
    </row>
    <row r="20" spans="1:10" ht="15.75" customHeight="1" x14ac:dyDescent="0.2">
      <c r="A20" s="270"/>
      <c r="B20" s="270"/>
      <c r="C20" s="271"/>
      <c r="D20" s="268" t="s">
        <v>6</v>
      </c>
      <c r="E20" s="268" t="s">
        <v>6</v>
      </c>
      <c r="F20" s="268"/>
      <c r="G20" s="269" t="s">
        <v>6</v>
      </c>
    </row>
    <row r="21" spans="1:10" ht="24.95" customHeight="1" x14ac:dyDescent="0.2">
      <c r="A21" s="270" t="s">
        <v>411</v>
      </c>
      <c r="B21" s="268">
        <f>+PROYECTOS!B40</f>
        <v>56905194</v>
      </c>
      <c r="C21" s="268">
        <f>+PROYECTOS!C40</f>
        <v>56905194</v>
      </c>
      <c r="D21" s="268">
        <f>+PROYECTOS!B40</f>
        <v>56905194</v>
      </c>
      <c r="E21" s="268">
        <f>+PROYECTOS!D40</f>
        <v>13430800</v>
      </c>
      <c r="F21" s="268">
        <v>5374399.8000000007</v>
      </c>
      <c r="G21" s="269">
        <f>F21/E21*100</f>
        <v>40.015485302439174</v>
      </c>
      <c r="H21" t="s">
        <v>6</v>
      </c>
    </row>
    <row r="22" spans="1:10" ht="24.95" customHeight="1" x14ac:dyDescent="0.2">
      <c r="A22" s="270" t="s">
        <v>513</v>
      </c>
      <c r="B22" s="270"/>
      <c r="C22" s="271"/>
      <c r="D22" s="268">
        <v>0</v>
      </c>
      <c r="E22" s="268">
        <v>0</v>
      </c>
      <c r="F22" s="268" t="s">
        <v>6</v>
      </c>
      <c r="G22" s="269" t="s">
        <v>6</v>
      </c>
    </row>
    <row r="23" spans="1:10" ht="24.95" customHeight="1" x14ac:dyDescent="0.2">
      <c r="A23" s="270" t="s">
        <v>514</v>
      </c>
      <c r="B23" s="270"/>
      <c r="C23" s="271"/>
      <c r="D23" s="268">
        <v>0</v>
      </c>
      <c r="E23" s="268">
        <v>0</v>
      </c>
      <c r="F23" s="268">
        <v>0</v>
      </c>
      <c r="G23" s="269" t="s">
        <v>6</v>
      </c>
    </row>
    <row r="24" spans="1:10" ht="24.95" customHeight="1" x14ac:dyDescent="0.2">
      <c r="A24" s="270" t="s">
        <v>515</v>
      </c>
      <c r="B24" s="270"/>
      <c r="C24" s="271"/>
      <c r="D24" s="268" t="s">
        <v>6</v>
      </c>
      <c r="E24" s="268" t="s">
        <v>6</v>
      </c>
      <c r="F24" s="268">
        <v>0</v>
      </c>
      <c r="G24" s="269" t="s">
        <v>6</v>
      </c>
    </row>
    <row r="25" spans="1:10" ht="11.25" customHeight="1" x14ac:dyDescent="0.2">
      <c r="A25" s="270"/>
      <c r="B25" s="270"/>
      <c r="C25" s="271"/>
      <c r="D25" s="268"/>
      <c r="E25" s="268"/>
      <c r="F25" s="268" t="s">
        <v>6</v>
      </c>
      <c r="G25" s="269" t="s">
        <v>6</v>
      </c>
    </row>
    <row r="26" spans="1:10" ht="24.95" customHeight="1" x14ac:dyDescent="0.2">
      <c r="A26" s="262" t="s">
        <v>58</v>
      </c>
      <c r="B26" s="263">
        <f>+B28+B30</f>
        <v>56905194</v>
      </c>
      <c r="C26" s="259">
        <f>SUM(C28:C30)</f>
        <v>56905194</v>
      </c>
      <c r="D26" s="259" t="e">
        <f>SUM(D28:D30)</f>
        <v>#REF!</v>
      </c>
      <c r="E26" s="259">
        <f>SUM(E28:E30)</f>
        <v>11450357</v>
      </c>
      <c r="F26" s="259">
        <v>11360846</v>
      </c>
      <c r="G26" s="260">
        <f>F26/E26*100</f>
        <v>99.218268915108936</v>
      </c>
    </row>
    <row r="27" spans="1:10" ht="12.75" customHeight="1" x14ac:dyDescent="0.2">
      <c r="A27" s="270"/>
      <c r="B27" s="270"/>
      <c r="C27" s="271"/>
      <c r="D27" s="268"/>
      <c r="E27" s="268"/>
      <c r="F27" s="268"/>
      <c r="G27" s="269" t="s">
        <v>6</v>
      </c>
    </row>
    <row r="28" spans="1:10" ht="24.95" customHeight="1" x14ac:dyDescent="0.2">
      <c r="A28" s="270" t="s">
        <v>59</v>
      </c>
      <c r="B28" s="268">
        <f>+BALANCE!C40</f>
        <v>2100000</v>
      </c>
      <c r="C28" s="268">
        <f>+BALANCE!D40</f>
        <v>2100000</v>
      </c>
      <c r="D28" s="268">
        <f>+BALANCE!D40</f>
        <v>2100000</v>
      </c>
      <c r="E28" s="268">
        <f>+BALANCE!E40</f>
        <v>420000</v>
      </c>
      <c r="F28" s="268">
        <v>420000</v>
      </c>
      <c r="G28" s="269">
        <f>F28/E28*100</f>
        <v>100</v>
      </c>
    </row>
    <row r="29" spans="1:10" ht="24.95" customHeight="1" x14ac:dyDescent="0.2">
      <c r="A29" s="270" t="s">
        <v>412</v>
      </c>
      <c r="B29" s="270"/>
      <c r="C29" s="271"/>
      <c r="D29" s="268">
        <v>0</v>
      </c>
      <c r="E29" s="268">
        <v>0</v>
      </c>
      <c r="F29" s="268">
        <v>0</v>
      </c>
      <c r="G29" s="269" t="s">
        <v>6</v>
      </c>
      <c r="J29" t="s">
        <v>6</v>
      </c>
    </row>
    <row r="30" spans="1:10" ht="24.95" customHeight="1" x14ac:dyDescent="0.2">
      <c r="A30" s="270" t="s">
        <v>60</v>
      </c>
      <c r="B30" s="268">
        <f>+BALANCE!C37</f>
        <v>54805194</v>
      </c>
      <c r="C30" s="268">
        <f>+BALANCE!D37</f>
        <v>54805194</v>
      </c>
      <c r="D30" s="268" t="e">
        <f>+BALANCE!#REF!</f>
        <v>#REF!</v>
      </c>
      <c r="E30" s="268">
        <f>+BALANCE!E37</f>
        <v>11030357</v>
      </c>
      <c r="F30" s="268">
        <v>10940846</v>
      </c>
      <c r="G30" s="269">
        <f>F30/E30*100</f>
        <v>99.188503146362351</v>
      </c>
    </row>
    <row r="31" spans="1:10" ht="8.25" customHeight="1" x14ac:dyDescent="0.3">
      <c r="A31" s="276"/>
      <c r="B31" s="276"/>
      <c r="C31" s="277"/>
      <c r="D31" s="278" t="s">
        <v>6</v>
      </c>
      <c r="E31" s="278" t="s">
        <v>6</v>
      </c>
      <c r="F31" s="265" t="s">
        <v>6</v>
      </c>
      <c r="G31" s="266" t="s">
        <v>6</v>
      </c>
    </row>
    <row r="32" spans="1:10" ht="24.95" customHeight="1" x14ac:dyDescent="0.3">
      <c r="A32" s="279" t="s">
        <v>61</v>
      </c>
      <c r="B32" s="280"/>
      <c r="C32" s="281"/>
      <c r="D32" s="282" t="s">
        <v>6</v>
      </c>
      <c r="E32" s="282" t="s">
        <v>6</v>
      </c>
      <c r="F32" s="283">
        <v>-3988438.0300000049</v>
      </c>
      <c r="G32" s="284" t="s">
        <v>6</v>
      </c>
    </row>
    <row r="33" spans="1:10" ht="16.5" customHeight="1" x14ac:dyDescent="0.2">
      <c r="A33" s="285" t="s">
        <v>6</v>
      </c>
      <c r="B33" s="285"/>
      <c r="C33" s="285"/>
      <c r="D33" s="286"/>
      <c r="E33" s="286"/>
      <c r="F33" s="286"/>
      <c r="G33" s="286"/>
      <c r="H33" s="29"/>
      <c r="I33" s="25"/>
      <c r="J33" s="25"/>
    </row>
    <row r="34" spans="1:10" ht="13.5" customHeight="1" x14ac:dyDescent="0.2">
      <c r="A34" s="151" t="s">
        <v>510</v>
      </c>
      <c r="B34"/>
      <c r="C34"/>
      <c r="D34"/>
      <c r="E34"/>
      <c r="F34"/>
      <c r="G34"/>
      <c r="H34" s="25"/>
      <c r="I34" s="40"/>
      <c r="J34" s="25"/>
    </row>
    <row r="35" spans="1:10" ht="12.75" customHeight="1" x14ac:dyDescent="0.2">
      <c r="A35"/>
      <c r="B35"/>
      <c r="C35"/>
      <c r="D35"/>
      <c r="E35"/>
      <c r="F35" s="601" t="s">
        <v>6</v>
      </c>
      <c r="G35" s="601"/>
      <c r="H35" s="25"/>
      <c r="I35" s="41" t="s">
        <v>6</v>
      </c>
      <c r="J35" s="25"/>
    </row>
    <row r="36" spans="1:10" ht="14.25" customHeight="1" x14ac:dyDescent="0.2">
      <c r="D36" s="29"/>
      <c r="E36" s="29"/>
      <c r="F36" s="29"/>
      <c r="G36" s="29"/>
    </row>
    <row r="37" spans="1:10" ht="11.25" customHeight="1" x14ac:dyDescent="0.2">
      <c r="A37" s="29" t="s">
        <v>6</v>
      </c>
      <c r="B37" s="29"/>
      <c r="C37" s="29"/>
    </row>
    <row r="38" spans="1:10" ht="11.25" customHeight="1" x14ac:dyDescent="0.2">
      <c r="A38" s="29"/>
      <c r="B38" s="29"/>
      <c r="C38" s="29"/>
      <c r="I38" t="s">
        <v>6</v>
      </c>
    </row>
    <row r="39" spans="1:10" ht="11.25" customHeight="1" x14ac:dyDescent="0.2">
      <c r="A39" s="29"/>
      <c r="B39" s="29"/>
      <c r="C39" s="29"/>
    </row>
    <row r="56" spans="6:6" x14ac:dyDescent="0.2">
      <c r="F56" s="25" t="s">
        <v>6</v>
      </c>
    </row>
  </sheetData>
  <mergeCells count="9">
    <mergeCell ref="A2:G2"/>
    <mergeCell ref="A3:G3"/>
    <mergeCell ref="F35:G35"/>
    <mergeCell ref="A4:G4"/>
    <mergeCell ref="A5:G5"/>
    <mergeCell ref="A7:A8"/>
    <mergeCell ref="G7:G8"/>
    <mergeCell ref="B7:E7"/>
    <mergeCell ref="F7:F8"/>
  </mergeCells>
  <phoneticPr fontId="3" type="noConversion"/>
  <pageMargins left="0.70866141732283472" right="0.59055118110236227" top="0.39370078740157483" bottom="0.39370078740157483" header="0.51181102362204722" footer="0.51181102362204722"/>
  <pageSetup scale="80" firstPageNumber="0" orientation="portrait" r:id="rId1"/>
  <headerFooter alignWithMargins="0"/>
  <ignoredErrors>
    <ignoredError sqref="C2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tabColor theme="6" tint="-0.249977111117893"/>
  </sheetPr>
  <dimension ref="A1:I88"/>
  <sheetViews>
    <sheetView showGridLines="0" showZeros="0" topLeftCell="A160" workbookViewId="0">
      <pane ySplit="1560" activePane="bottomLeft"/>
      <selection activeCell="C164" sqref="C164"/>
      <selection pane="bottomLeft" activeCell="H24" sqref="H24"/>
    </sheetView>
  </sheetViews>
  <sheetFormatPr baseColWidth="10" defaultColWidth="11.42578125" defaultRowHeight="12.75" x14ac:dyDescent="0.2"/>
  <cols>
    <col min="1" max="1" width="32" style="25" customWidth="1"/>
    <col min="2" max="2" width="11.28515625" style="25" customWidth="1"/>
    <col min="3" max="3" width="12.7109375" style="25" customWidth="1"/>
    <col min="4" max="4" width="12.28515625" style="25" customWidth="1"/>
    <col min="5" max="5" width="15.7109375" style="25" customWidth="1"/>
    <col min="6" max="6" width="14.28515625" style="25" customWidth="1"/>
  </cols>
  <sheetData>
    <row r="1" spans="1:9" ht="18" customHeight="1" x14ac:dyDescent="0.25">
      <c r="A1" s="580" t="s">
        <v>386</v>
      </c>
      <c r="B1" s="580"/>
      <c r="C1" s="580"/>
      <c r="D1" s="580"/>
      <c r="E1" s="580"/>
      <c r="F1" s="580"/>
    </row>
    <row r="2" spans="1:9" ht="19.5" customHeight="1" x14ac:dyDescent="0.25">
      <c r="A2" s="580" t="s">
        <v>387</v>
      </c>
      <c r="B2" s="580"/>
      <c r="C2" s="580"/>
      <c r="D2" s="580"/>
      <c r="E2" s="580"/>
      <c r="F2" s="580"/>
    </row>
    <row r="3" spans="1:9" ht="18" customHeight="1" x14ac:dyDescent="0.25">
      <c r="A3" s="581" t="s">
        <v>540</v>
      </c>
      <c r="B3" s="581"/>
      <c r="C3" s="581"/>
      <c r="D3" s="581"/>
      <c r="E3" s="581"/>
      <c r="F3" s="581"/>
    </row>
    <row r="4" spans="1:9" ht="18" customHeight="1" x14ac:dyDescent="0.25">
      <c r="A4" s="581" t="s">
        <v>556</v>
      </c>
      <c r="B4" s="581"/>
      <c r="C4" s="581"/>
      <c r="D4" s="581"/>
      <c r="E4" s="581"/>
      <c r="F4" s="581"/>
    </row>
    <row r="5" spans="1:9" ht="3" customHeight="1" x14ac:dyDescent="0.25">
      <c r="A5" s="287"/>
      <c r="B5" s="287"/>
      <c r="C5" s="287"/>
      <c r="D5" s="287"/>
      <c r="E5" s="287"/>
      <c r="F5" s="287"/>
    </row>
    <row r="6" spans="1:9" ht="8.25" customHeight="1" x14ac:dyDescent="0.25">
      <c r="A6" s="287"/>
      <c r="B6" s="287"/>
      <c r="C6" s="287"/>
      <c r="D6" s="7"/>
      <c r="E6" s="7"/>
      <c r="F6" s="58"/>
    </row>
    <row r="7" spans="1:9" ht="20.100000000000001" customHeight="1" x14ac:dyDescent="0.2">
      <c r="A7" s="611" t="s">
        <v>0</v>
      </c>
      <c r="B7" s="614" t="s">
        <v>31</v>
      </c>
      <c r="C7" s="615"/>
      <c r="D7" s="615"/>
      <c r="E7" s="616"/>
      <c r="F7" s="604" t="s">
        <v>380</v>
      </c>
    </row>
    <row r="8" spans="1:9" ht="18" customHeight="1" x14ac:dyDescent="0.2">
      <c r="A8" s="612"/>
      <c r="B8" s="288" t="s">
        <v>87</v>
      </c>
      <c r="C8" s="289" t="s">
        <v>12</v>
      </c>
      <c r="D8" s="566" t="s">
        <v>2</v>
      </c>
      <c r="E8" s="289" t="s">
        <v>13</v>
      </c>
      <c r="F8" s="613"/>
      <c r="I8" t="s">
        <v>6</v>
      </c>
    </row>
    <row r="9" spans="1:9" ht="6.75" customHeight="1" x14ac:dyDescent="0.3">
      <c r="A9" s="290"/>
      <c r="B9" s="290"/>
      <c r="C9" s="291"/>
      <c r="D9" s="292"/>
      <c r="E9" s="292"/>
      <c r="F9" s="293"/>
    </row>
    <row r="10" spans="1:9" ht="18" customHeight="1" x14ac:dyDescent="0.3">
      <c r="A10" s="294" t="s">
        <v>24</v>
      </c>
      <c r="B10" s="294"/>
      <c r="C10" s="295"/>
      <c r="D10" s="296"/>
      <c r="E10" s="296"/>
      <c r="F10" s="297"/>
    </row>
    <row r="11" spans="1:9" ht="9" customHeight="1" x14ac:dyDescent="0.2">
      <c r="A11" s="214"/>
      <c r="B11" s="214"/>
      <c r="C11" s="298"/>
      <c r="D11" s="298"/>
      <c r="E11" s="298"/>
      <c r="F11" s="221"/>
    </row>
    <row r="12" spans="1:9" ht="15" customHeight="1" x14ac:dyDescent="0.2">
      <c r="A12" s="214" t="s">
        <v>25</v>
      </c>
      <c r="B12" s="299">
        <f>B15</f>
        <v>141094.80600000001</v>
      </c>
      <c r="C12" s="299">
        <f>C15</f>
        <v>141094.80600000001</v>
      </c>
      <c r="D12" s="299">
        <f>+D15</f>
        <v>38404.665000000001</v>
      </c>
      <c r="E12" s="299">
        <f>+E15</f>
        <v>17222.146399999998</v>
      </c>
      <c r="F12" s="218">
        <f>E12/D12*100</f>
        <v>44.84389175117137</v>
      </c>
    </row>
    <row r="13" spans="1:9" ht="11.25" customHeight="1" x14ac:dyDescent="0.3">
      <c r="A13" s="300"/>
      <c r="B13" s="301"/>
      <c r="C13" s="301"/>
      <c r="D13" s="301"/>
      <c r="E13" s="301"/>
      <c r="F13" s="302" t="s">
        <v>6</v>
      </c>
    </row>
    <row r="14" spans="1:9" ht="15" customHeight="1" x14ac:dyDescent="0.3">
      <c r="A14" s="214" t="s">
        <v>62</v>
      </c>
      <c r="B14" s="301"/>
      <c r="C14" s="301"/>
      <c r="D14" s="301"/>
      <c r="E14" s="301"/>
      <c r="F14" s="302" t="s">
        <v>6</v>
      </c>
    </row>
    <row r="15" spans="1:9" ht="15" customHeight="1" x14ac:dyDescent="0.2">
      <c r="A15" s="214" t="s">
        <v>63</v>
      </c>
      <c r="B15" s="299">
        <f>SUM(B16:B19)</f>
        <v>141094.80600000001</v>
      </c>
      <c r="C15" s="299">
        <f>SUM(C16:C19)</f>
        <v>141094.80600000001</v>
      </c>
      <c r="D15" s="299">
        <f>+D16+D17+D18+D19</f>
        <v>38404.665000000001</v>
      </c>
      <c r="E15" s="303">
        <f>+(BALANCE!G13)/1000</f>
        <v>17222.146399999998</v>
      </c>
      <c r="F15" s="218">
        <f>E15/D15*100</f>
        <v>44.84389175117137</v>
      </c>
    </row>
    <row r="16" spans="1:9" ht="15" customHeight="1" x14ac:dyDescent="0.2">
      <c r="A16" s="230" t="s">
        <v>64</v>
      </c>
      <c r="B16" s="303">
        <f>+(BALANCE!C15)/1000</f>
        <v>5476.4920000000002</v>
      </c>
      <c r="C16" s="303">
        <f>+(BALANCE!D15)/1000</f>
        <v>5476.4920000000002</v>
      </c>
      <c r="D16" s="303">
        <f>+(BALANCE!E15)/1000</f>
        <v>1130.298</v>
      </c>
      <c r="E16" s="303">
        <f>+(BALANCE!G15)/1000</f>
        <v>567.85583999999994</v>
      </c>
      <c r="F16" s="229">
        <f>E16/D16*100</f>
        <v>50.239480207874379</v>
      </c>
      <c r="G16" t="s">
        <v>6</v>
      </c>
    </row>
    <row r="17" spans="1:8" ht="15" customHeight="1" x14ac:dyDescent="0.2">
      <c r="A17" s="230" t="s">
        <v>413</v>
      </c>
      <c r="B17" s="303">
        <f>+(BALANCE!C21)/1000</f>
        <v>127866.63400000001</v>
      </c>
      <c r="C17" s="303">
        <f>+(BALANCE!D21)/1000</f>
        <v>127866.63400000001</v>
      </c>
      <c r="D17" s="303">
        <f>+(BALANCE!E21)/1000</f>
        <v>35694.633000000002</v>
      </c>
      <c r="E17" s="303">
        <f>+(BALANCE!G21)/1000</f>
        <v>14165.891</v>
      </c>
      <c r="F17" s="229">
        <f>E17/D17*100</f>
        <v>39.686333236708158</v>
      </c>
      <c r="H17" t="s">
        <v>6</v>
      </c>
    </row>
    <row r="18" spans="1:8" ht="15" customHeight="1" x14ac:dyDescent="0.2">
      <c r="A18" s="230" t="s">
        <v>65</v>
      </c>
      <c r="B18" s="303">
        <f>+(BALANCE!C26)/1000</f>
        <v>5251.68</v>
      </c>
      <c r="C18" s="303">
        <f>+(BALANCE!D26)/1000</f>
        <v>5251.68</v>
      </c>
      <c r="D18" s="303">
        <f>+(BALANCE!E26)/1000</f>
        <v>1079.7329999999999</v>
      </c>
      <c r="E18" s="303">
        <f>+(BALANCE!G26)/1000</f>
        <v>2342.4114100000002</v>
      </c>
      <c r="F18" s="229">
        <f>E18/D18*100</f>
        <v>216.94357864397961</v>
      </c>
    </row>
    <row r="19" spans="1:8" ht="15" customHeight="1" x14ac:dyDescent="0.2">
      <c r="A19" s="230" t="s">
        <v>66</v>
      </c>
      <c r="B19" s="303">
        <f>+(BALANCE!C31)/1000</f>
        <v>2500</v>
      </c>
      <c r="C19" s="303">
        <f>+(BALANCE!D31)/1000</f>
        <v>2500</v>
      </c>
      <c r="D19" s="303">
        <f>+(BALANCE!E31)/1000</f>
        <v>500.00099999999998</v>
      </c>
      <c r="E19" s="303">
        <f>+(BALANCE!G31)/1000</f>
        <v>145.98814999999999</v>
      </c>
      <c r="F19" s="229">
        <f>E19/D19*100</f>
        <v>29.197571604856794</v>
      </c>
    </row>
    <row r="20" spans="1:8" ht="9" customHeight="1" x14ac:dyDescent="0.3">
      <c r="A20" s="300"/>
      <c r="B20" s="301"/>
      <c r="C20" s="301"/>
      <c r="D20" s="301"/>
      <c r="E20" s="301"/>
      <c r="F20" s="302" t="s">
        <v>6</v>
      </c>
    </row>
    <row r="21" spans="1:8" ht="15" customHeight="1" x14ac:dyDescent="0.3">
      <c r="A21" s="214" t="s">
        <v>11</v>
      </c>
      <c r="B21" s="301">
        <f t="shared" ref="B21:E21" si="0">SUM(B23:B25)</f>
        <v>2100</v>
      </c>
      <c r="C21" s="301">
        <f t="shared" si="0"/>
        <v>7310.5339999999997</v>
      </c>
      <c r="D21" s="299">
        <f t="shared" si="0"/>
        <v>5059.3770000000004</v>
      </c>
      <c r="E21" s="299">
        <f t="shared" si="0"/>
        <v>11360.846</v>
      </c>
      <c r="F21" s="218">
        <f>E21/D21*100</f>
        <v>224.55029542174856</v>
      </c>
    </row>
    <row r="22" spans="1:8" ht="9" customHeight="1" x14ac:dyDescent="0.3">
      <c r="A22" s="300"/>
      <c r="B22" s="301"/>
      <c r="C22" s="301"/>
      <c r="D22" s="301"/>
      <c r="E22" s="301"/>
      <c r="F22" s="302" t="s">
        <v>6</v>
      </c>
    </row>
    <row r="23" spans="1:8" ht="15" customHeight="1" x14ac:dyDescent="0.2">
      <c r="A23" s="230" t="s">
        <v>414</v>
      </c>
      <c r="B23" s="303">
        <f>+(BALANCE!C40)/1000</f>
        <v>2100</v>
      </c>
      <c r="C23" s="303">
        <f>+(BALANCE!D40)/1000</f>
        <v>2100</v>
      </c>
      <c r="D23" s="303">
        <f>+(BALANCE!E40)/1000</f>
        <v>420</v>
      </c>
      <c r="E23" s="303">
        <f>+(BALANCE!G40)/1000</f>
        <v>420</v>
      </c>
      <c r="F23" s="229">
        <f>E23/D23*100</f>
        <v>100</v>
      </c>
    </row>
    <row r="24" spans="1:8" ht="15" customHeight="1" x14ac:dyDescent="0.2">
      <c r="A24" s="230" t="s">
        <v>67</v>
      </c>
      <c r="B24" s="303">
        <v>0</v>
      </c>
      <c r="C24" s="303">
        <v>0</v>
      </c>
      <c r="D24" s="303">
        <v>0</v>
      </c>
      <c r="E24" s="303">
        <v>0</v>
      </c>
      <c r="F24" s="229" t="s">
        <v>6</v>
      </c>
    </row>
    <row r="25" spans="1:8" ht="15" customHeight="1" x14ac:dyDescent="0.2">
      <c r="A25" s="214" t="s">
        <v>415</v>
      </c>
      <c r="B25" s="303">
        <f t="shared" ref="B25:E25" si="1">SUM(B26)</f>
        <v>0</v>
      </c>
      <c r="C25" s="303">
        <f t="shared" si="1"/>
        <v>5210.5339999999997</v>
      </c>
      <c r="D25" s="299">
        <f t="shared" si="1"/>
        <v>4639.3770000000004</v>
      </c>
      <c r="E25" s="299">
        <f t="shared" si="1"/>
        <v>10940.846</v>
      </c>
      <c r="F25" s="218">
        <f>E25/D25*100</f>
        <v>235.82575850162638</v>
      </c>
    </row>
    <row r="26" spans="1:8" ht="15" customHeight="1" x14ac:dyDescent="0.2">
      <c r="A26" s="230" t="s">
        <v>416</v>
      </c>
      <c r="B26" s="303">
        <f>+(BALANCE!C45)/1000</f>
        <v>0</v>
      </c>
      <c r="C26" s="303">
        <f>+(BALANCE!D45)/1000</f>
        <v>5210.5339999999997</v>
      </c>
      <c r="D26" s="303">
        <f>+(BALANCE!E45)/1000</f>
        <v>4639.3770000000004</v>
      </c>
      <c r="E26" s="303">
        <f>+(BALANCE!G37)/1000</f>
        <v>10940.846</v>
      </c>
      <c r="F26" s="229">
        <f>E26/D26*100</f>
        <v>235.82575850162638</v>
      </c>
    </row>
    <row r="27" spans="1:8" ht="15" customHeight="1" x14ac:dyDescent="0.2">
      <c r="A27" s="230" t="s">
        <v>68</v>
      </c>
      <c r="B27" s="303"/>
      <c r="C27" s="303"/>
      <c r="D27" s="303"/>
      <c r="E27" s="303"/>
      <c r="F27" s="229" t="s">
        <v>6</v>
      </c>
    </row>
    <row r="28" spans="1:8" ht="9" customHeight="1" x14ac:dyDescent="0.2">
      <c r="A28" s="230"/>
      <c r="B28" s="303"/>
      <c r="C28" s="303"/>
      <c r="D28" s="303"/>
      <c r="E28" s="303"/>
      <c r="F28" s="229" t="s">
        <v>6</v>
      </c>
    </row>
    <row r="29" spans="1:8" ht="18" customHeight="1" x14ac:dyDescent="0.2">
      <c r="A29" s="214" t="s">
        <v>69</v>
      </c>
      <c r="B29" s="299">
        <f t="shared" ref="B29:E29" si="2">+B12+B21</f>
        <v>143194.80600000001</v>
      </c>
      <c r="C29" s="299">
        <f t="shared" si="2"/>
        <v>148405.34000000003</v>
      </c>
      <c r="D29" s="299">
        <f t="shared" si="2"/>
        <v>43464.042000000001</v>
      </c>
      <c r="E29" s="299">
        <f t="shared" si="2"/>
        <v>28582.992399999996</v>
      </c>
      <c r="F29" s="218">
        <f>E29/D29*100</f>
        <v>65.762389057142897</v>
      </c>
    </row>
    <row r="30" spans="1:8" ht="9" customHeight="1" x14ac:dyDescent="0.2">
      <c r="A30" s="230"/>
      <c r="B30" s="226"/>
      <c r="C30" s="226"/>
      <c r="D30" s="303"/>
      <c r="E30" s="303"/>
      <c r="F30" s="229" t="s">
        <v>6</v>
      </c>
    </row>
    <row r="31" spans="1:8" ht="18" customHeight="1" x14ac:dyDescent="0.25">
      <c r="A31" s="294" t="s">
        <v>26</v>
      </c>
      <c r="B31" s="304"/>
      <c r="C31" s="304"/>
      <c r="D31" s="303"/>
      <c r="E31" s="303"/>
      <c r="F31" s="229" t="s">
        <v>6</v>
      </c>
    </row>
    <row r="32" spans="1:8" ht="9" customHeight="1" x14ac:dyDescent="0.2">
      <c r="A32" s="230"/>
      <c r="B32" s="226"/>
      <c r="C32" s="226"/>
      <c r="D32" s="303"/>
      <c r="E32" s="303"/>
      <c r="F32" s="229" t="s">
        <v>6</v>
      </c>
    </row>
    <row r="33" spans="1:7" ht="15" customHeight="1" x14ac:dyDescent="0.2">
      <c r="A33" s="214" t="s">
        <v>27</v>
      </c>
      <c r="B33" s="299">
        <f>+B35+B41</f>
        <v>141094.80600000001</v>
      </c>
      <c r="C33" s="299">
        <f>+C35+C41</f>
        <v>141094.80600000001</v>
      </c>
      <c r="D33" s="299">
        <f>+D35+D41</f>
        <v>43874.964999999997</v>
      </c>
      <c r="E33" s="299">
        <f>+E35+E41</f>
        <v>27197.029790000001</v>
      </c>
      <c r="F33" s="218">
        <f>E33/D33*100</f>
        <v>61.987581733683442</v>
      </c>
    </row>
    <row r="34" spans="1:7" ht="15" customHeight="1" x14ac:dyDescent="0.2">
      <c r="A34" s="230"/>
      <c r="B34" s="226"/>
      <c r="C34" s="226"/>
      <c r="D34" s="303"/>
      <c r="E34" s="303"/>
      <c r="F34" s="229"/>
    </row>
    <row r="35" spans="1:7" ht="18" customHeight="1" x14ac:dyDescent="0.2">
      <c r="A35" s="214" t="s">
        <v>417</v>
      </c>
      <c r="B35" s="299">
        <f t="shared" ref="B35:E35" si="3">SUM(B36:B39)</f>
        <v>138802.166</v>
      </c>
      <c r="C35" s="299">
        <f t="shared" si="3"/>
        <v>138377.166</v>
      </c>
      <c r="D35" s="299">
        <f t="shared" si="3"/>
        <v>41432.125</v>
      </c>
      <c r="E35" s="299">
        <f t="shared" si="3"/>
        <v>27155.409790000002</v>
      </c>
      <c r="F35" s="218">
        <f>E35/D35*100</f>
        <v>65.541918957813536</v>
      </c>
      <c r="G35" s="24"/>
    </row>
    <row r="36" spans="1:7" ht="20.25" customHeight="1" x14ac:dyDescent="0.2">
      <c r="A36" s="230" t="s">
        <v>336</v>
      </c>
      <c r="B36" s="303">
        <f>(+'C-A6'!C11)/1000</f>
        <v>125299.72900000001</v>
      </c>
      <c r="C36" s="303">
        <f>(+'C-A6'!D11)/1000</f>
        <v>124924.72900000001</v>
      </c>
      <c r="D36" s="303">
        <f>(+'C-A6'!E11)/1000</f>
        <v>32661.571</v>
      </c>
      <c r="E36" s="303">
        <f>(+'C-A6'!G11)/1000</f>
        <v>24726.2644</v>
      </c>
      <c r="F36" s="229">
        <f>E36/D36*100</f>
        <v>75.704455244972763</v>
      </c>
      <c r="G36" s="24"/>
    </row>
    <row r="37" spans="1:7" ht="17.25" customHeight="1" x14ac:dyDescent="0.2">
      <c r="A37" s="230" t="s">
        <v>418</v>
      </c>
      <c r="B37" s="303">
        <f>(+'C-A6'!C37)/1000</f>
        <v>7951.9620000000004</v>
      </c>
      <c r="C37" s="303">
        <f>(+'C-A6'!D37)/1000</f>
        <v>7524.8620000000001</v>
      </c>
      <c r="D37" s="303">
        <f>(+'C-A6'!E37)/1000</f>
        <v>3833.94</v>
      </c>
      <c r="E37" s="303">
        <f>(+'C-A6'!G37)/1000</f>
        <v>1354.8032199999998</v>
      </c>
      <c r="F37" s="229">
        <f>E37/D37*100</f>
        <v>35.337100215444153</v>
      </c>
      <c r="G37" s="24"/>
    </row>
    <row r="38" spans="1:7" ht="15.75" customHeight="1" x14ac:dyDescent="0.2">
      <c r="A38" s="230" t="s">
        <v>70</v>
      </c>
      <c r="B38" s="303">
        <f>(+'C-A6'!C94)/1000</f>
        <v>3342.5610000000001</v>
      </c>
      <c r="C38" s="303">
        <f>(+'C-A6'!D94)/1000</f>
        <v>3738.5610000000001</v>
      </c>
      <c r="D38" s="303">
        <f>(+'C-A6'!E94)/1000</f>
        <v>3227.1559999999999</v>
      </c>
      <c r="E38" s="303">
        <f>(+'C-A6'!G94)/1000</f>
        <v>781.44716999999991</v>
      </c>
      <c r="F38" s="229">
        <f>E38/D38*100</f>
        <v>24.214731794806323</v>
      </c>
      <c r="G38" s="24"/>
    </row>
    <row r="39" spans="1:7" ht="17.25" customHeight="1" x14ac:dyDescent="0.2">
      <c r="A39" s="230" t="s">
        <v>506</v>
      </c>
      <c r="B39" s="303">
        <f>(+'C-A6'!C154)/1000</f>
        <v>2207.9140000000002</v>
      </c>
      <c r="C39" s="303">
        <f>(+'C-A6'!D154)/1000</f>
        <v>2189.0140000000001</v>
      </c>
      <c r="D39" s="303">
        <f>(+'C-A6'!E154)/1000</f>
        <v>1709.4580000000001</v>
      </c>
      <c r="E39" s="303">
        <f>(+'C-A6'!G154)/1000</f>
        <v>292.89499999999998</v>
      </c>
      <c r="F39" s="229">
        <f>E39/D39*100</f>
        <v>17.133793284187149</v>
      </c>
      <c r="G39" s="24"/>
    </row>
    <row r="40" spans="1:7" ht="9" customHeight="1" x14ac:dyDescent="0.2">
      <c r="A40" s="230" t="s">
        <v>6</v>
      </c>
      <c r="B40" s="226"/>
      <c r="C40" s="226"/>
      <c r="D40" s="303" t="s">
        <v>6</v>
      </c>
      <c r="E40" s="303" t="s">
        <v>6</v>
      </c>
      <c r="F40" s="229" t="s">
        <v>6</v>
      </c>
    </row>
    <row r="41" spans="1:7" ht="15" customHeight="1" x14ac:dyDescent="0.2">
      <c r="A41" s="214" t="s">
        <v>551</v>
      </c>
      <c r="B41" s="299">
        <f>(+'C-A6'!C159)/1000</f>
        <v>2292.64</v>
      </c>
      <c r="C41" s="299">
        <f>(+'C-A6'!D159)/1000</f>
        <v>2717.64</v>
      </c>
      <c r="D41" s="299">
        <f>(+'C-A6'!E159)/1000</f>
        <v>2442.84</v>
      </c>
      <c r="E41" s="299">
        <f>(+'C-A6'!G159)/1000</f>
        <v>41.62</v>
      </c>
      <c r="F41" s="218">
        <f>E41/D41*100</f>
        <v>1.7037546462314355</v>
      </c>
    </row>
    <row r="42" spans="1:7" ht="8.25" customHeight="1" x14ac:dyDescent="0.2">
      <c r="A42" s="230"/>
      <c r="B42" s="226"/>
      <c r="C42" s="226"/>
      <c r="D42" s="303"/>
      <c r="E42" s="303"/>
      <c r="F42" s="229" t="s">
        <v>6</v>
      </c>
    </row>
    <row r="43" spans="1:7" ht="15" customHeight="1" x14ac:dyDescent="0.2">
      <c r="A43" s="214" t="s">
        <v>28</v>
      </c>
      <c r="B43" s="299">
        <f t="shared" ref="B43:E43" si="4">SUM(B45)</f>
        <v>56905.194000000003</v>
      </c>
      <c r="C43" s="299">
        <f t="shared" si="4"/>
        <v>56905.194000000003</v>
      </c>
      <c r="D43" s="299">
        <f t="shared" si="4"/>
        <v>13430.8</v>
      </c>
      <c r="E43" s="299">
        <f t="shared" si="4"/>
        <v>5374.3998000000011</v>
      </c>
      <c r="F43" s="218">
        <f>E43/D43*100</f>
        <v>40.015485302439181</v>
      </c>
      <c r="G43" t="s">
        <v>6</v>
      </c>
    </row>
    <row r="44" spans="1:7" ht="15" customHeight="1" x14ac:dyDescent="0.2">
      <c r="A44" s="230"/>
      <c r="B44" s="226"/>
      <c r="C44" s="226"/>
      <c r="D44" s="303"/>
      <c r="E44" s="303"/>
      <c r="F44" s="229" t="s">
        <v>6</v>
      </c>
    </row>
    <row r="45" spans="1:7" ht="15" customHeight="1" x14ac:dyDescent="0.2">
      <c r="A45" s="230" t="s">
        <v>419</v>
      </c>
      <c r="B45" s="303">
        <f>+(PROYECTOS!B40)/1000</f>
        <v>56905.194000000003</v>
      </c>
      <c r="C45" s="303">
        <f>+(PROYECTOS!C40)/1000</f>
        <v>56905.194000000003</v>
      </c>
      <c r="D45" s="303">
        <f>+(PROYECTOS!D40)/1000</f>
        <v>13430.8</v>
      </c>
      <c r="E45" s="303">
        <f>+(PROYECTOS!F40)/1000</f>
        <v>5374.3998000000011</v>
      </c>
      <c r="F45" s="229">
        <f>E45/D45*100</f>
        <v>40.015485302439181</v>
      </c>
    </row>
    <row r="46" spans="1:7" ht="14.25" customHeight="1" x14ac:dyDescent="0.2">
      <c r="A46" s="230" t="s">
        <v>71</v>
      </c>
      <c r="B46" s="226"/>
      <c r="C46" s="303">
        <f>+(PROYECTOS!B41)/1000</f>
        <v>0</v>
      </c>
      <c r="D46" s="303">
        <v>0</v>
      </c>
      <c r="E46" s="303">
        <v>0</v>
      </c>
      <c r="F46" s="229" t="s">
        <v>6</v>
      </c>
    </row>
    <row r="47" spans="1:7" ht="15" customHeight="1" x14ac:dyDescent="0.2">
      <c r="A47" s="230" t="s">
        <v>420</v>
      </c>
      <c r="B47" s="226"/>
      <c r="C47" s="303">
        <f>+(PROYECTOS!B42)/1000</f>
        <v>0</v>
      </c>
      <c r="D47" s="303" t="s">
        <v>6</v>
      </c>
      <c r="E47" s="303" t="s">
        <v>6</v>
      </c>
      <c r="F47" s="229" t="s">
        <v>6</v>
      </c>
    </row>
    <row r="48" spans="1:7" ht="15" customHeight="1" x14ac:dyDescent="0.2">
      <c r="A48" s="230" t="s">
        <v>72</v>
      </c>
      <c r="B48" s="226"/>
      <c r="C48" s="226"/>
      <c r="D48" s="303">
        <v>0</v>
      </c>
      <c r="E48" s="303">
        <v>0</v>
      </c>
      <c r="F48" s="229" t="s">
        <v>6</v>
      </c>
    </row>
    <row r="49" spans="1:6" ht="8.25" customHeight="1" x14ac:dyDescent="0.2">
      <c r="A49" s="230"/>
      <c r="B49" s="226"/>
      <c r="C49" s="226"/>
      <c r="D49" s="303"/>
      <c r="E49" s="303"/>
      <c r="F49" s="229" t="s">
        <v>6</v>
      </c>
    </row>
    <row r="50" spans="1:6" ht="18" customHeight="1" x14ac:dyDescent="0.2">
      <c r="A50" s="214" t="s">
        <v>73</v>
      </c>
      <c r="B50" s="299">
        <f t="shared" ref="B50:E50" si="5">+B33+B43</f>
        <v>198000</v>
      </c>
      <c r="C50" s="299">
        <f t="shared" si="5"/>
        <v>198000</v>
      </c>
      <c r="D50" s="299">
        <f t="shared" si="5"/>
        <v>57305.764999999999</v>
      </c>
      <c r="E50" s="299">
        <f t="shared" si="5"/>
        <v>32571.42959</v>
      </c>
      <c r="F50" s="218">
        <f>E50/D50*100</f>
        <v>56.837963143847745</v>
      </c>
    </row>
    <row r="51" spans="1:6" ht="9" customHeight="1" x14ac:dyDescent="0.2">
      <c r="A51" s="230"/>
      <c r="B51" s="230"/>
      <c r="C51" s="226"/>
      <c r="D51" s="303"/>
      <c r="E51" s="303"/>
      <c r="F51" s="229" t="s">
        <v>6</v>
      </c>
    </row>
    <row r="52" spans="1:6" ht="21.75" customHeight="1" x14ac:dyDescent="0.25">
      <c r="A52" s="305" t="s">
        <v>29</v>
      </c>
      <c r="B52" s="306"/>
      <c r="C52" s="307"/>
      <c r="D52" s="308" t="s">
        <v>6</v>
      </c>
      <c r="E52" s="309">
        <f>E29-E50</f>
        <v>-3988.4371900000042</v>
      </c>
      <c r="F52" s="310" t="s">
        <v>6</v>
      </c>
    </row>
    <row r="53" spans="1:6" ht="15" customHeight="1" x14ac:dyDescent="0.2">
      <c r="A53" s="311"/>
      <c r="B53" s="7"/>
      <c r="C53" s="7"/>
      <c r="D53" s="312"/>
      <c r="E53" s="312"/>
      <c r="F53" s="313"/>
    </row>
    <row r="54" spans="1:6" ht="15" customHeight="1" x14ac:dyDescent="0.2">
      <c r="A54" s="577" t="s">
        <v>508</v>
      </c>
      <c r="B54" s="577"/>
      <c r="C54" s="151"/>
      <c r="D54" s="7" t="s">
        <v>6</v>
      </c>
      <c r="E54" s="7"/>
      <c r="F54" s="58"/>
    </row>
    <row r="55" spans="1:6" ht="15" customHeight="1" x14ac:dyDescent="0.2">
      <c r="A55" s="25" t="s">
        <v>6</v>
      </c>
      <c r="F55" s="30"/>
    </row>
    <row r="56" spans="1:6" ht="15" customHeight="1" x14ac:dyDescent="0.2">
      <c r="D56" s="42" t="s">
        <v>6</v>
      </c>
      <c r="E56" s="42"/>
      <c r="F56" s="30"/>
    </row>
    <row r="57" spans="1:6" ht="15" customHeight="1" x14ac:dyDescent="0.25">
      <c r="A57" s="31"/>
      <c r="B57" s="31"/>
      <c r="C57" s="31"/>
      <c r="D57" s="35"/>
      <c r="E57" s="35" t="s">
        <v>6</v>
      </c>
      <c r="F57" s="30"/>
    </row>
    <row r="58" spans="1:6" ht="15" customHeight="1" x14ac:dyDescent="0.25">
      <c r="A58" s="31"/>
      <c r="B58" s="31"/>
      <c r="C58" s="31"/>
      <c r="D58" s="35"/>
      <c r="E58" s="35"/>
      <c r="F58" s="30"/>
    </row>
    <row r="59" spans="1:6" ht="15" customHeight="1" x14ac:dyDescent="0.25">
      <c r="A59" s="31"/>
      <c r="B59" s="31"/>
      <c r="C59" s="31"/>
      <c r="D59" s="35"/>
      <c r="E59" s="35"/>
      <c r="F59" s="30"/>
    </row>
    <row r="60" spans="1:6" ht="15" customHeight="1" x14ac:dyDescent="0.2">
      <c r="A60" s="29"/>
      <c r="B60" s="29"/>
      <c r="C60" s="29"/>
      <c r="D60" s="29"/>
      <c r="F60" s="30"/>
    </row>
    <row r="61" spans="1:6" ht="15" customHeight="1" x14ac:dyDescent="0.2">
      <c r="A61" s="29"/>
      <c r="B61" s="29"/>
      <c r="C61" s="29"/>
      <c r="D61" s="29"/>
      <c r="F61" s="30"/>
    </row>
    <row r="62" spans="1:6" ht="15" customHeight="1" x14ac:dyDescent="0.2">
      <c r="A62" s="29"/>
      <c r="B62" s="29"/>
      <c r="C62" s="29"/>
      <c r="F62" s="30"/>
    </row>
    <row r="63" spans="1:6" x14ac:dyDescent="0.2">
      <c r="A63" s="29"/>
      <c r="B63" s="29"/>
      <c r="C63" s="29"/>
      <c r="F63" s="30"/>
    </row>
    <row r="64" spans="1:6" x14ac:dyDescent="0.2">
      <c r="A64" s="29"/>
      <c r="B64" s="29"/>
      <c r="C64" s="29"/>
      <c r="F64" s="30"/>
    </row>
    <row r="65" spans="1:6" x14ac:dyDescent="0.2">
      <c r="A65" s="29"/>
      <c r="B65" s="29"/>
      <c r="C65" s="29"/>
      <c r="F65" s="30"/>
    </row>
    <row r="66" spans="1:6" ht="15" x14ac:dyDescent="0.25">
      <c r="A66" s="29"/>
      <c r="B66" s="29"/>
      <c r="C66" s="29"/>
      <c r="D66" s="32"/>
      <c r="E66" s="32"/>
      <c r="F66" s="30"/>
    </row>
    <row r="67" spans="1:6" ht="15" x14ac:dyDescent="0.25">
      <c r="A67" s="29"/>
      <c r="B67" s="29"/>
      <c r="C67" s="29"/>
      <c r="D67" s="32"/>
      <c r="E67" s="32"/>
      <c r="F67" s="30"/>
    </row>
    <row r="68" spans="1:6" x14ac:dyDescent="0.2">
      <c r="A68" s="29"/>
      <c r="B68" s="29"/>
      <c r="C68" s="29"/>
      <c r="F68" s="30"/>
    </row>
    <row r="69" spans="1:6" x14ac:dyDescent="0.2">
      <c r="F69" s="30"/>
    </row>
    <row r="70" spans="1:6" x14ac:dyDescent="0.2">
      <c r="F70" s="30"/>
    </row>
    <row r="71" spans="1:6" x14ac:dyDescent="0.2">
      <c r="F71" s="30"/>
    </row>
    <row r="72" spans="1:6" x14ac:dyDescent="0.2">
      <c r="F72" s="30"/>
    </row>
    <row r="73" spans="1:6" x14ac:dyDescent="0.2">
      <c r="F73" s="30"/>
    </row>
    <row r="74" spans="1:6" x14ac:dyDescent="0.2">
      <c r="F74" s="30"/>
    </row>
    <row r="75" spans="1:6" x14ac:dyDescent="0.2">
      <c r="F75" s="30"/>
    </row>
    <row r="76" spans="1:6" x14ac:dyDescent="0.2">
      <c r="F76" s="30"/>
    </row>
    <row r="77" spans="1:6" x14ac:dyDescent="0.2">
      <c r="F77" s="30"/>
    </row>
    <row r="78" spans="1:6" x14ac:dyDescent="0.2">
      <c r="F78" s="30"/>
    </row>
    <row r="79" spans="1:6" x14ac:dyDescent="0.2">
      <c r="F79" s="30"/>
    </row>
    <row r="80" spans="1:6" x14ac:dyDescent="0.2">
      <c r="F80" s="30"/>
    </row>
    <row r="81" spans="6:6" x14ac:dyDescent="0.2">
      <c r="F81" s="30"/>
    </row>
    <row r="82" spans="6:6" x14ac:dyDescent="0.2">
      <c r="F82" s="30"/>
    </row>
    <row r="83" spans="6:6" x14ac:dyDescent="0.2">
      <c r="F83" s="30"/>
    </row>
    <row r="84" spans="6:6" x14ac:dyDescent="0.2">
      <c r="F84" s="30"/>
    </row>
    <row r="85" spans="6:6" x14ac:dyDescent="0.2">
      <c r="F85" s="30"/>
    </row>
    <row r="86" spans="6:6" x14ac:dyDescent="0.2">
      <c r="F86" s="30"/>
    </row>
    <row r="87" spans="6:6" x14ac:dyDescent="0.2">
      <c r="F87" s="30"/>
    </row>
    <row r="88" spans="6:6" x14ac:dyDescent="0.2">
      <c r="F88" s="30"/>
    </row>
  </sheetData>
  <mergeCells count="8">
    <mergeCell ref="A54:B54"/>
    <mergeCell ref="A1:F1"/>
    <mergeCell ref="A2:F2"/>
    <mergeCell ref="A7:A8"/>
    <mergeCell ref="A3:F3"/>
    <mergeCell ref="A4:F4"/>
    <mergeCell ref="F7:F8"/>
    <mergeCell ref="B7:E7"/>
  </mergeCells>
  <phoneticPr fontId="3" type="noConversion"/>
  <pageMargins left="1.1417322834645669" right="0.86614173228346458" top="0.6692913385826772" bottom="0.59055118110236227" header="0.51181102362204722" footer="0.51181102362204722"/>
  <pageSetup scale="85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6">
    <tabColor theme="6" tint="-0.249977111117893"/>
  </sheetPr>
  <dimension ref="A1:Q188"/>
  <sheetViews>
    <sheetView showGridLines="0" showZeros="0" workbookViewId="0">
      <selection activeCell="M13" sqref="M13"/>
    </sheetView>
  </sheetViews>
  <sheetFormatPr baseColWidth="10" defaultColWidth="11.42578125" defaultRowHeight="12.75" x14ac:dyDescent="0.2"/>
  <cols>
    <col min="1" max="1" width="35.28515625" style="25" customWidth="1"/>
    <col min="2" max="3" width="13" style="25" customWidth="1"/>
    <col min="4" max="4" width="11" style="25" customWidth="1"/>
    <col min="5" max="5" width="12.7109375" style="25" hidden="1" customWidth="1"/>
    <col min="6" max="7" width="13" style="25" customWidth="1"/>
    <col min="8" max="8" width="12.7109375" style="25" customWidth="1"/>
    <col min="9" max="9" width="12.28515625" style="25" customWidth="1"/>
    <col min="10" max="10" width="11.85546875" style="25" hidden="1" customWidth="1"/>
    <col min="11" max="11" width="13.28515625" style="25" customWidth="1"/>
    <col min="12" max="12" width="0.140625" customWidth="1"/>
    <col min="13" max="13" width="13.5703125" customWidth="1"/>
  </cols>
  <sheetData>
    <row r="1" spans="1:14" ht="12" customHeight="1" x14ac:dyDescent="0.2">
      <c r="A1" s="55"/>
      <c r="B1" s="55"/>
      <c r="C1" s="55"/>
      <c r="D1" s="51"/>
      <c r="E1" s="51"/>
      <c r="F1" s="54"/>
      <c r="G1" s="54"/>
      <c r="H1" s="54"/>
      <c r="I1" s="54"/>
      <c r="J1" s="54"/>
      <c r="K1" s="54"/>
    </row>
    <row r="2" spans="1:14" ht="18" customHeight="1" x14ac:dyDescent="0.25">
      <c r="A2" s="580" t="s">
        <v>386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</row>
    <row r="3" spans="1:14" ht="15.75" customHeight="1" x14ac:dyDescent="0.25">
      <c r="A3" s="580" t="s">
        <v>387</v>
      </c>
      <c r="B3" s="580"/>
      <c r="C3" s="580"/>
      <c r="D3" s="580"/>
      <c r="E3" s="580"/>
      <c r="F3" s="580"/>
      <c r="G3" s="580"/>
      <c r="H3" s="580"/>
      <c r="I3" s="580"/>
      <c r="J3" s="580"/>
      <c r="K3" s="580"/>
    </row>
    <row r="4" spans="1:14" ht="15" x14ac:dyDescent="0.25">
      <c r="A4" s="581" t="s">
        <v>541</v>
      </c>
      <c r="B4" s="581"/>
      <c r="C4" s="581"/>
      <c r="D4" s="581"/>
      <c r="E4" s="581"/>
      <c r="F4" s="581"/>
      <c r="G4" s="581"/>
      <c r="H4" s="581"/>
      <c r="I4" s="581"/>
      <c r="J4" s="581"/>
      <c r="K4" s="581"/>
    </row>
    <row r="5" spans="1:14" ht="15" x14ac:dyDescent="0.25">
      <c r="A5" s="581" t="s">
        <v>554</v>
      </c>
      <c r="B5" s="581"/>
      <c r="C5" s="581"/>
      <c r="D5" s="581"/>
      <c r="E5" s="581"/>
      <c r="F5" s="581"/>
      <c r="G5" s="581"/>
      <c r="H5" s="581"/>
      <c r="I5" s="581"/>
      <c r="J5" s="581"/>
      <c r="K5" s="581"/>
    </row>
    <row r="6" spans="1:14" ht="13.5" thickBo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 t="s">
        <v>6</v>
      </c>
      <c r="L6" t="s">
        <v>6</v>
      </c>
    </row>
    <row r="7" spans="1:14" ht="20.100000000000001" customHeight="1" x14ac:dyDescent="0.2">
      <c r="A7" s="618" t="s">
        <v>0</v>
      </c>
      <c r="B7" s="623" t="s">
        <v>74</v>
      </c>
      <c r="C7" s="624"/>
      <c r="D7" s="624"/>
      <c r="E7" s="624"/>
      <c r="F7" s="624"/>
      <c r="G7" s="624"/>
      <c r="H7" s="625"/>
      <c r="I7" s="620" t="s">
        <v>307</v>
      </c>
      <c r="J7" s="618"/>
      <c r="K7" s="620" t="s">
        <v>380</v>
      </c>
      <c r="L7" t="s">
        <v>6</v>
      </c>
    </row>
    <row r="8" spans="1:14" ht="21.75" customHeight="1" x14ac:dyDescent="0.2">
      <c r="A8" s="619"/>
      <c r="B8" s="385" t="s">
        <v>87</v>
      </c>
      <c r="C8" s="385" t="s">
        <v>12</v>
      </c>
      <c r="D8" s="200" t="s">
        <v>2</v>
      </c>
      <c r="E8" s="568" t="s">
        <v>36</v>
      </c>
      <c r="F8" s="569" t="s">
        <v>13</v>
      </c>
      <c r="G8" s="567" t="s">
        <v>553</v>
      </c>
      <c r="H8" s="567" t="s">
        <v>355</v>
      </c>
      <c r="I8" s="621"/>
      <c r="J8" s="622"/>
      <c r="K8" s="621"/>
      <c r="L8" t="s">
        <v>3</v>
      </c>
      <c r="M8" t="s">
        <v>6</v>
      </c>
    </row>
    <row r="9" spans="1:14" ht="24.75" customHeight="1" x14ac:dyDescent="0.2">
      <c r="A9" s="314" t="s">
        <v>76</v>
      </c>
      <c r="B9" s="315">
        <f>+B11+B36</f>
        <v>198000000</v>
      </c>
      <c r="C9" s="316">
        <f>+C11+C36</f>
        <v>198000000</v>
      </c>
      <c r="D9" s="316">
        <f>++D11+D36</f>
        <v>57305765</v>
      </c>
      <c r="E9" s="316">
        <f>+E11+E36</f>
        <v>13244254.09</v>
      </c>
      <c r="F9" s="316">
        <f>+F11+F36</f>
        <v>32571429.59</v>
      </c>
      <c r="G9" s="316">
        <f>+G11+G36</f>
        <v>23314979.090000004</v>
      </c>
      <c r="H9" s="316">
        <f>++H11+H36</f>
        <v>24376648.719999999</v>
      </c>
      <c r="I9" s="316">
        <f>+D9-F9</f>
        <v>24734335.41</v>
      </c>
      <c r="J9" s="316" t="e">
        <f>+#REF!-F9</f>
        <v>#REF!</v>
      </c>
      <c r="K9" s="317">
        <f>+F9/D9*100</f>
        <v>56.837963143847745</v>
      </c>
      <c r="L9">
        <v>84817701.783999994</v>
      </c>
    </row>
    <row r="10" spans="1:14" ht="11.1" customHeight="1" x14ac:dyDescent="0.2">
      <c r="A10" s="314"/>
      <c r="B10" s="314"/>
      <c r="C10" s="318"/>
      <c r="D10" s="316"/>
      <c r="E10" s="316"/>
      <c r="F10" s="316" t="s">
        <v>6</v>
      </c>
      <c r="G10" s="316"/>
      <c r="H10" s="316" t="s">
        <v>6</v>
      </c>
      <c r="I10" s="316" t="s">
        <v>6</v>
      </c>
      <c r="J10" s="316" t="s">
        <v>6</v>
      </c>
      <c r="K10" s="317" t="s">
        <v>6</v>
      </c>
      <c r="L10" t="s">
        <v>6</v>
      </c>
    </row>
    <row r="11" spans="1:14" ht="15" x14ac:dyDescent="0.25">
      <c r="A11" s="314" t="s">
        <v>77</v>
      </c>
      <c r="B11" s="315">
        <f>+B13+B20+B34</f>
        <v>141094806</v>
      </c>
      <c r="C11" s="316">
        <f>+C13+C20+C34</f>
        <v>141094806</v>
      </c>
      <c r="D11" s="319">
        <f>+D13+D20</f>
        <v>43874965</v>
      </c>
      <c r="E11" s="319">
        <f>+E20+E13</f>
        <v>11708434.6</v>
      </c>
      <c r="F11" s="319">
        <f>+F20+F13</f>
        <v>27197029.789999999</v>
      </c>
      <c r="G11" s="319">
        <f>+G20+G13</f>
        <v>22565462.900000002</v>
      </c>
      <c r="H11" s="319">
        <f>+H20+H13+H34</f>
        <v>24192520.059999999</v>
      </c>
      <c r="I11" s="319">
        <f>+D11-F11</f>
        <v>16677935.210000001</v>
      </c>
      <c r="J11" s="319" t="e">
        <f>+#REF!-F11</f>
        <v>#REF!</v>
      </c>
      <c r="K11" s="320">
        <f>+F11/D11*100</f>
        <v>61.987581733683427</v>
      </c>
      <c r="L11">
        <v>71948551.653999999</v>
      </c>
      <c r="N11" t="s">
        <v>6</v>
      </c>
    </row>
    <row r="12" spans="1:14" ht="10.35" customHeight="1" x14ac:dyDescent="0.2">
      <c r="A12" s="314"/>
      <c r="B12" s="314"/>
      <c r="C12" s="318"/>
      <c r="D12" s="316"/>
      <c r="E12" s="316"/>
      <c r="F12" s="316" t="s">
        <v>6</v>
      </c>
      <c r="G12" s="316"/>
      <c r="H12" s="316"/>
      <c r="I12" s="316"/>
      <c r="J12" s="316" t="s">
        <v>6</v>
      </c>
      <c r="K12" s="317"/>
      <c r="L12" t="s">
        <v>6</v>
      </c>
    </row>
    <row r="13" spans="1:14" ht="18" customHeight="1" x14ac:dyDescent="0.2">
      <c r="A13" s="314" t="s">
        <v>78</v>
      </c>
      <c r="B13" s="315">
        <f>SUM(B15:B18)</f>
        <v>138802166</v>
      </c>
      <c r="C13" s="316">
        <f>SUM(C15:C18)</f>
        <v>138377166</v>
      </c>
      <c r="D13" s="316">
        <f>SUM(D15:D18)</f>
        <v>41432125</v>
      </c>
      <c r="E13" s="316">
        <f>SUM(E15:E18)</f>
        <v>11680513.310000001</v>
      </c>
      <c r="F13" s="316">
        <f>SUM(F15:F18)+1</f>
        <v>27155409.789999999</v>
      </c>
      <c r="G13" s="316">
        <f>SUM(G15:G18)</f>
        <v>22544341.120000001</v>
      </c>
      <c r="H13" s="316">
        <f>SUM(H15:H18)</f>
        <v>24171398.279999997</v>
      </c>
      <c r="I13" s="316">
        <f>+D13-F13</f>
        <v>14276715.210000001</v>
      </c>
      <c r="J13" s="316" t="e">
        <f>+#REF!-F13</f>
        <v>#REF!</v>
      </c>
      <c r="K13" s="317">
        <f>+F13/D13*100</f>
        <v>65.541918957813522</v>
      </c>
      <c r="L13">
        <v>71049250.593999997</v>
      </c>
      <c r="M13" s="1" t="s">
        <v>6</v>
      </c>
    </row>
    <row r="14" spans="1:14" ht="11.1" customHeight="1" x14ac:dyDescent="0.2">
      <c r="A14" s="314"/>
      <c r="B14" s="314"/>
      <c r="C14" s="318"/>
      <c r="D14" s="316"/>
      <c r="E14" s="316"/>
      <c r="F14" s="316" t="s">
        <v>6</v>
      </c>
      <c r="G14" s="316"/>
      <c r="H14" s="316"/>
      <c r="I14" s="316"/>
      <c r="J14" s="316"/>
      <c r="K14" s="317"/>
      <c r="L14" t="s">
        <v>6</v>
      </c>
    </row>
    <row r="15" spans="1:14" ht="20.100000000000001" customHeight="1" x14ac:dyDescent="0.2">
      <c r="A15" s="321" t="s">
        <v>79</v>
      </c>
      <c r="B15" s="322">
        <f>+'C-A6'!C11</f>
        <v>125299729</v>
      </c>
      <c r="C15" s="322">
        <f>+'C-A6'!D11</f>
        <v>124924729</v>
      </c>
      <c r="D15" s="322">
        <f>+'C-A6'!E11</f>
        <v>32661571</v>
      </c>
      <c r="E15" s="322">
        <f>+'C-A6'!F11</f>
        <v>10309773.470000001</v>
      </c>
      <c r="F15" s="322">
        <f>+'C-A6'!G11-1</f>
        <v>24726263.399999999</v>
      </c>
      <c r="G15" s="322">
        <f>+'C-A6'!H11</f>
        <v>21635454.079999998</v>
      </c>
      <c r="H15" s="322">
        <f>+'C-A6'!I11</f>
        <v>23490298.18</v>
      </c>
      <c r="I15" s="322">
        <f>+D15-F15</f>
        <v>7935307.6000000015</v>
      </c>
      <c r="J15" s="322" t="e">
        <f>+#REF!-F15</f>
        <v>#REF!</v>
      </c>
      <c r="K15" s="323">
        <f>+F15/D15*100</f>
        <v>75.704452183270661</v>
      </c>
      <c r="L15">
        <v>67328817.609999999</v>
      </c>
    </row>
    <row r="16" spans="1:14" ht="20.100000000000001" customHeight="1" x14ac:dyDescent="0.2">
      <c r="A16" s="321" t="s">
        <v>421</v>
      </c>
      <c r="B16" s="322">
        <f>+'C-A6'!C37</f>
        <v>7951962</v>
      </c>
      <c r="C16" s="322">
        <f>+'C-A6'!D37</f>
        <v>7524862</v>
      </c>
      <c r="D16" s="322">
        <f>+'C-A6'!E37</f>
        <v>3833940</v>
      </c>
      <c r="E16" s="322">
        <f>+'C-A6'!F37</f>
        <v>883390.25999999978</v>
      </c>
      <c r="F16" s="322">
        <f>+'C-A6'!G37</f>
        <v>1354803.2199999997</v>
      </c>
      <c r="G16" s="322">
        <f>+'C-A6'!H37</f>
        <v>664091.17999999993</v>
      </c>
      <c r="H16" s="322">
        <f>+'C-A6'!I37</f>
        <v>599272.81000000006</v>
      </c>
      <c r="I16" s="322">
        <f>+D16-F16</f>
        <v>2479136.7800000003</v>
      </c>
      <c r="J16" s="322" t="e">
        <f>+#REF!-F16</f>
        <v>#REF!</v>
      </c>
      <c r="K16" s="323">
        <f>+F16/D16*100</f>
        <v>35.337100215444153</v>
      </c>
      <c r="L16">
        <v>2361674.9099999997</v>
      </c>
    </row>
    <row r="17" spans="1:14" ht="20.100000000000001" customHeight="1" x14ac:dyDescent="0.2">
      <c r="A17" s="321" t="s">
        <v>80</v>
      </c>
      <c r="B17" s="322">
        <f>+'C-A6'!C94</f>
        <v>3342561</v>
      </c>
      <c r="C17" s="322">
        <f>+'C-A6'!D94</f>
        <v>3738561</v>
      </c>
      <c r="D17" s="322">
        <f>+'C-A6'!E94</f>
        <v>3227156</v>
      </c>
      <c r="E17" s="322">
        <f>+'C-A6'!F94</f>
        <v>305947.99</v>
      </c>
      <c r="F17" s="322">
        <f>+'C-A6'!G94</f>
        <v>781447.16999999993</v>
      </c>
      <c r="G17" s="322">
        <f>+'C-A6'!H94</f>
        <v>176310.94</v>
      </c>
      <c r="H17" s="322">
        <f>+'C-A6'!I94</f>
        <v>70602.790000000008</v>
      </c>
      <c r="I17" s="322">
        <f>+D17-F17</f>
        <v>2445708.83</v>
      </c>
      <c r="J17" s="322" t="e">
        <f>+#REF!-F17</f>
        <v>#REF!</v>
      </c>
      <c r="K17" s="323">
        <f>+F17/D17*100</f>
        <v>24.214731794806323</v>
      </c>
      <c r="L17">
        <v>1178096.594</v>
      </c>
      <c r="N17" t="s">
        <v>6</v>
      </c>
    </row>
    <row r="18" spans="1:14" ht="20.100000000000001" customHeight="1" x14ac:dyDescent="0.2">
      <c r="A18" s="321" t="s">
        <v>507</v>
      </c>
      <c r="B18" s="322">
        <f>+'C-A6'!C154</f>
        <v>2207914</v>
      </c>
      <c r="C18" s="322">
        <f>+'C-A6'!D154</f>
        <v>2189014</v>
      </c>
      <c r="D18" s="322">
        <f>+'C-A6'!E154</f>
        <v>1709458</v>
      </c>
      <c r="E18" s="322">
        <f>+'C-A6'!F154</f>
        <v>181401.59</v>
      </c>
      <c r="F18" s="322">
        <f>+'C-A6'!G154</f>
        <v>292895</v>
      </c>
      <c r="G18" s="322">
        <f>+'C-A6'!H154</f>
        <v>68484.92</v>
      </c>
      <c r="H18" s="322">
        <f>+'C-A6'!I154</f>
        <v>11224.5</v>
      </c>
      <c r="I18" s="322">
        <f>+D18-F18</f>
        <v>1416563</v>
      </c>
      <c r="J18" s="322" t="e">
        <f>+#REF!-F18</f>
        <v>#REF!</v>
      </c>
      <c r="K18" s="323">
        <f>+F18/D18*100</f>
        <v>17.133793284187153</v>
      </c>
      <c r="L18">
        <v>105848.37</v>
      </c>
    </row>
    <row r="19" spans="1:14" ht="9.75" customHeight="1" x14ac:dyDescent="0.2">
      <c r="A19" s="314"/>
      <c r="B19" s="314"/>
      <c r="C19" s="316"/>
      <c r="D19" s="316"/>
      <c r="E19" s="316" t="s">
        <v>6</v>
      </c>
      <c r="F19" s="316" t="s">
        <v>6</v>
      </c>
      <c r="G19" s="316" t="s">
        <v>6</v>
      </c>
      <c r="H19" s="316"/>
      <c r="I19" s="316"/>
      <c r="J19" s="316"/>
      <c r="K19" s="317" t="s">
        <v>6</v>
      </c>
      <c r="L19" t="s">
        <v>6</v>
      </c>
    </row>
    <row r="20" spans="1:14" ht="18" customHeight="1" x14ac:dyDescent="0.2">
      <c r="A20" s="314" t="s">
        <v>81</v>
      </c>
      <c r="B20" s="316">
        <f>+'C-A6'!C159</f>
        <v>2292640</v>
      </c>
      <c r="C20" s="316">
        <f>+'C-A6'!D159</f>
        <v>2717640</v>
      </c>
      <c r="D20" s="316">
        <f>+'C-A6'!E159</f>
        <v>2442840</v>
      </c>
      <c r="E20" s="316">
        <f>+'C-A6'!F159</f>
        <v>27921.29</v>
      </c>
      <c r="F20" s="316">
        <f>+'C-A6'!G159</f>
        <v>41620</v>
      </c>
      <c r="G20" s="316">
        <f>+'C-A6'!H159</f>
        <v>21121.78</v>
      </c>
      <c r="H20" s="316">
        <f>+'C-A6'!I159</f>
        <v>21121.78</v>
      </c>
      <c r="I20" s="316">
        <f>+D20-F20</f>
        <v>2401220</v>
      </c>
      <c r="J20" s="316" t="e">
        <f>+#REF!-F20</f>
        <v>#REF!</v>
      </c>
      <c r="K20" s="317">
        <f>+F20/D20*100</f>
        <v>1.7037546462314355</v>
      </c>
      <c r="L20">
        <v>899301.06000000017</v>
      </c>
    </row>
    <row r="21" spans="1:14" ht="12.75" customHeight="1" x14ac:dyDescent="0.2">
      <c r="A21" s="314" t="s">
        <v>337</v>
      </c>
      <c r="B21" s="314"/>
      <c r="C21" s="316"/>
      <c r="D21" s="316"/>
      <c r="E21" s="316" t="s">
        <v>6</v>
      </c>
      <c r="F21" s="316" t="s">
        <v>6</v>
      </c>
      <c r="G21" s="316" t="s">
        <v>6</v>
      </c>
      <c r="H21" s="316"/>
      <c r="I21" s="316"/>
      <c r="J21" s="316"/>
      <c r="K21" s="317" t="s">
        <v>6</v>
      </c>
      <c r="L21" t="s">
        <v>6</v>
      </c>
    </row>
    <row r="22" spans="1:14" ht="18" customHeight="1" x14ac:dyDescent="0.2">
      <c r="A22" s="314" t="s">
        <v>547</v>
      </c>
      <c r="B22" s="315">
        <f>+B28</f>
        <v>2005640</v>
      </c>
      <c r="C22" s="316">
        <f>SUM(C28)</f>
        <v>2372640</v>
      </c>
      <c r="D22" s="316">
        <f t="shared" ref="D22:H22" si="0">SUM(D28)</f>
        <v>2018205</v>
      </c>
      <c r="E22" s="316">
        <f t="shared" si="0"/>
        <v>12472.869999999999</v>
      </c>
      <c r="F22" s="316">
        <f t="shared" si="0"/>
        <v>12472.869999999999</v>
      </c>
      <c r="G22" s="316">
        <f t="shared" ref="G22" si="1">SUM(G28)</f>
        <v>20221.78</v>
      </c>
      <c r="H22" s="316">
        <f t="shared" si="0"/>
        <v>20221.78</v>
      </c>
      <c r="I22" s="316">
        <f>+D22-F22</f>
        <v>2005732.13</v>
      </c>
      <c r="J22" s="316" t="e">
        <f>+#REF!-F22</f>
        <v>#REF!</v>
      </c>
      <c r="K22" s="317">
        <f>+F22/D22*100</f>
        <v>0.6180179912347854</v>
      </c>
      <c r="L22">
        <v>59671.520000000004</v>
      </c>
    </row>
    <row r="23" spans="1:14" ht="12.75" hidden="1" customHeight="1" x14ac:dyDescent="0.2">
      <c r="A23" s="314" t="s">
        <v>82</v>
      </c>
      <c r="B23" s="314"/>
      <c r="C23" s="316"/>
      <c r="D23" s="316" t="s">
        <v>6</v>
      </c>
      <c r="E23" s="316">
        <f ca="1">+F23-L23</f>
        <v>134579</v>
      </c>
      <c r="F23" s="316">
        <f t="shared" ref="F23:F35" ca="1" si="2">+E23+L23</f>
        <v>1231</v>
      </c>
      <c r="G23" s="316">
        <f>+H23-N23</f>
        <v>0</v>
      </c>
      <c r="H23" s="316"/>
      <c r="I23" s="316"/>
      <c r="J23" s="316"/>
      <c r="K23" s="317" t="s">
        <v>6</v>
      </c>
      <c r="L23">
        <v>1231</v>
      </c>
    </row>
    <row r="24" spans="1:14" ht="12.75" hidden="1" customHeight="1" x14ac:dyDescent="0.2">
      <c r="A24" s="314" t="s">
        <v>422</v>
      </c>
      <c r="B24" s="314"/>
      <c r="C24" s="316"/>
      <c r="D24" s="316"/>
      <c r="E24" s="316">
        <f ca="1">+F24-L24</f>
        <v>134579</v>
      </c>
      <c r="F24" s="316">
        <f t="shared" ca="1" si="2"/>
        <v>1231</v>
      </c>
      <c r="G24" s="316">
        <f>+H24-N24</f>
        <v>0</v>
      </c>
      <c r="H24" s="316"/>
      <c r="I24" s="316"/>
      <c r="J24" s="316"/>
      <c r="K24" s="317" t="s">
        <v>6</v>
      </c>
      <c r="L24">
        <v>1231</v>
      </c>
    </row>
    <row r="25" spans="1:14" ht="12.75" hidden="1" customHeight="1" x14ac:dyDescent="0.2">
      <c r="A25" s="314" t="s">
        <v>423</v>
      </c>
      <c r="B25" s="314"/>
      <c r="C25" s="316"/>
      <c r="D25" s="316"/>
      <c r="E25" s="316">
        <f ca="1">+F25-L25</f>
        <v>134579</v>
      </c>
      <c r="F25" s="316">
        <f t="shared" ca="1" si="2"/>
        <v>1231</v>
      </c>
      <c r="G25" s="316">
        <f>+H25-N25</f>
        <v>0</v>
      </c>
      <c r="H25" s="316"/>
      <c r="I25" s="316"/>
      <c r="J25" s="316"/>
      <c r="K25" s="317" t="s">
        <v>6</v>
      </c>
      <c r="L25">
        <v>1231</v>
      </c>
    </row>
    <row r="26" spans="1:14" ht="12.75" hidden="1" customHeight="1" x14ac:dyDescent="0.2">
      <c r="A26" s="314" t="s">
        <v>83</v>
      </c>
      <c r="B26" s="314"/>
      <c r="C26" s="316"/>
      <c r="D26" s="316"/>
      <c r="E26" s="316">
        <f ca="1">+F26-L26</f>
        <v>134579</v>
      </c>
      <c r="F26" s="316">
        <f t="shared" ca="1" si="2"/>
        <v>1231</v>
      </c>
      <c r="G26" s="316">
        <f>+H26-N26</f>
        <v>0</v>
      </c>
      <c r="H26" s="316"/>
      <c r="I26" s="316"/>
      <c r="J26" s="316"/>
      <c r="K26" s="317" t="s">
        <v>6</v>
      </c>
      <c r="L26">
        <v>1231</v>
      </c>
    </row>
    <row r="27" spans="1:14" ht="12.75" customHeight="1" x14ac:dyDescent="0.2">
      <c r="A27" s="314"/>
      <c r="B27" s="314"/>
      <c r="C27" s="316"/>
      <c r="D27" s="316"/>
      <c r="E27" s="316"/>
      <c r="F27" s="316"/>
      <c r="G27" s="316"/>
      <c r="H27" s="316"/>
      <c r="I27" s="316"/>
      <c r="J27" s="316"/>
      <c r="K27" s="317"/>
    </row>
    <row r="28" spans="1:14" ht="18" customHeight="1" x14ac:dyDescent="0.2">
      <c r="A28" s="321" t="s">
        <v>548</v>
      </c>
      <c r="B28" s="322">
        <f>+'C-A6'!C160+'C-A6'!C162++'C-A6'!C168+'C-A6'!C172</f>
        <v>2005640</v>
      </c>
      <c r="C28" s="322">
        <f>+'C-A6'!D160+'C-A6'!D162++'C-A6'!D168+'C-A6'!D172</f>
        <v>2372640</v>
      </c>
      <c r="D28" s="322">
        <f>+'C-A6'!E160+'C-A6'!E162++'C-A6'!E168</f>
        <v>2018205</v>
      </c>
      <c r="E28" s="322">
        <f>+'C-A6'!F160+'C-A6'!F162++'C-A6'!F168</f>
        <v>12472.869999999999</v>
      </c>
      <c r="F28" s="322">
        <f>+'C-A6'!F160+'C-A6'!F162++'C-A6'!F168</f>
        <v>12472.869999999999</v>
      </c>
      <c r="G28" s="322">
        <f>+'C-A6'!H160+'C-A6'!H162++'C-A6'!H168</f>
        <v>20221.78</v>
      </c>
      <c r="H28" s="322">
        <f>+'C-A6'!I160+'C-A6'!I162++'C-A6'!I168</f>
        <v>20221.78</v>
      </c>
      <c r="I28" s="322">
        <f>+I22</f>
        <v>2005732.13</v>
      </c>
      <c r="J28" s="322" t="e">
        <f>+J22</f>
        <v>#REF!</v>
      </c>
      <c r="K28" s="323">
        <f>+F28/D28*100</f>
        <v>0.6180179912347854</v>
      </c>
      <c r="L28">
        <v>59671.520000000004</v>
      </c>
    </row>
    <row r="29" spans="1:14" ht="18" customHeight="1" x14ac:dyDescent="0.2">
      <c r="A29" s="321" t="s">
        <v>549</v>
      </c>
      <c r="B29" s="321"/>
      <c r="C29" s="322"/>
      <c r="D29" s="322" t="s">
        <v>6</v>
      </c>
      <c r="E29" s="322" t="s">
        <v>6</v>
      </c>
      <c r="F29" s="322" t="s">
        <v>6</v>
      </c>
      <c r="G29" s="322" t="s">
        <v>6</v>
      </c>
      <c r="H29" s="322"/>
      <c r="I29" s="322"/>
      <c r="J29" s="322"/>
      <c r="K29" s="323" t="s">
        <v>6</v>
      </c>
      <c r="L29" t="s">
        <v>6</v>
      </c>
    </row>
    <row r="30" spans="1:14" ht="18" customHeight="1" x14ac:dyDescent="0.2">
      <c r="A30" s="321" t="s">
        <v>550</v>
      </c>
      <c r="B30" s="321"/>
      <c r="C30" s="322"/>
      <c r="D30" s="322" t="s">
        <v>6</v>
      </c>
      <c r="E30" s="322"/>
      <c r="F30" s="322">
        <f t="shared" si="2"/>
        <v>0</v>
      </c>
      <c r="G30" s="322"/>
      <c r="H30" s="322"/>
      <c r="I30" s="322"/>
      <c r="J30" s="322"/>
      <c r="K30" s="323" t="s">
        <v>6</v>
      </c>
      <c r="L30">
        <v>0</v>
      </c>
    </row>
    <row r="31" spans="1:14" ht="9" customHeight="1" x14ac:dyDescent="0.2">
      <c r="A31" s="321"/>
      <c r="B31" s="321"/>
      <c r="C31" s="322"/>
      <c r="D31" s="322"/>
      <c r="E31" s="322"/>
      <c r="F31" s="322"/>
      <c r="G31" s="322"/>
      <c r="H31" s="322"/>
      <c r="I31" s="322"/>
      <c r="J31" s="322"/>
      <c r="K31" s="323"/>
    </row>
    <row r="32" spans="1:14" ht="22.5" customHeight="1" x14ac:dyDescent="0.2">
      <c r="A32" s="324" t="s">
        <v>546</v>
      </c>
      <c r="B32" s="325">
        <f>+'C-A6'!C174</f>
        <v>287000</v>
      </c>
      <c r="C32" s="325">
        <f>+'C-A6'!D174</f>
        <v>293000</v>
      </c>
      <c r="D32" s="325">
        <f>+'C-A6'!E174</f>
        <v>293000</v>
      </c>
      <c r="E32" s="325">
        <f>+'C-A6'!F174</f>
        <v>5868.42</v>
      </c>
      <c r="F32" s="325">
        <f>+'C-A6'!G174</f>
        <v>10343.42</v>
      </c>
      <c r="G32" s="325">
        <f>+'C-A6'!H174</f>
        <v>900</v>
      </c>
      <c r="H32" s="325">
        <f>+'C-A6'!I163+'C-A6'!I165++'C-A6'!I174</f>
        <v>900</v>
      </c>
      <c r="I32" s="325">
        <f>+D32-F32</f>
        <v>282656.58</v>
      </c>
      <c r="J32" s="325" t="e">
        <f>+#REF!-F32</f>
        <v>#REF!</v>
      </c>
      <c r="K32" s="326">
        <f>+F32/D32*100</f>
        <v>3.5301774744027306</v>
      </c>
      <c r="L32">
        <v>5963.5599999999995</v>
      </c>
    </row>
    <row r="33" spans="1:17" ht="12.6" customHeight="1" x14ac:dyDescent="0.2">
      <c r="A33" s="314"/>
      <c r="B33" s="314"/>
      <c r="C33" s="316"/>
      <c r="D33" s="316"/>
      <c r="E33" s="316"/>
      <c r="F33" s="316"/>
      <c r="G33" s="316"/>
      <c r="H33" s="316"/>
      <c r="I33" s="316"/>
      <c r="J33" s="316"/>
      <c r="K33" s="317"/>
    </row>
    <row r="34" spans="1:17" ht="15.75" customHeight="1" x14ac:dyDescent="0.2">
      <c r="A34" s="314" t="s">
        <v>6</v>
      </c>
      <c r="B34" s="314"/>
      <c r="C34" s="316"/>
      <c r="D34" s="316" t="s">
        <v>6</v>
      </c>
      <c r="E34" s="316" t="s">
        <v>6</v>
      </c>
      <c r="F34" s="316" t="s">
        <v>6</v>
      </c>
      <c r="G34" s="316" t="s">
        <v>6</v>
      </c>
      <c r="H34" s="316">
        <v>0</v>
      </c>
      <c r="I34" s="316" t="s">
        <v>6</v>
      </c>
      <c r="J34" s="316" t="s">
        <v>6</v>
      </c>
      <c r="K34" s="317">
        <v>0</v>
      </c>
      <c r="L34" t="s">
        <v>6</v>
      </c>
    </row>
    <row r="35" spans="1:17" ht="7.9" customHeight="1" x14ac:dyDescent="0.2">
      <c r="A35" s="314" t="s">
        <v>6</v>
      </c>
      <c r="B35" s="314"/>
      <c r="C35" s="316"/>
      <c r="D35" s="316"/>
      <c r="E35" s="316"/>
      <c r="F35" s="316">
        <f t="shared" si="2"/>
        <v>0</v>
      </c>
      <c r="G35" s="316"/>
      <c r="H35" s="316"/>
      <c r="I35" s="316" t="s">
        <v>6</v>
      </c>
      <c r="J35" s="316" t="s">
        <v>6</v>
      </c>
      <c r="K35" s="317" t="s">
        <v>6</v>
      </c>
      <c r="L35">
        <v>0</v>
      </c>
    </row>
    <row r="36" spans="1:17" ht="15" x14ac:dyDescent="0.25">
      <c r="A36" s="327" t="s">
        <v>84</v>
      </c>
      <c r="B36" s="328">
        <f>+B39</f>
        <v>56905194</v>
      </c>
      <c r="C36" s="329">
        <f>+C39+C45</f>
        <v>56905194</v>
      </c>
      <c r="D36" s="329">
        <f>+D45+D39</f>
        <v>13430800</v>
      </c>
      <c r="E36" s="329">
        <f>+E39+E45</f>
        <v>1535819.4900000002</v>
      </c>
      <c r="F36" s="329">
        <f>+F39</f>
        <v>5374399.8000000007</v>
      </c>
      <c r="G36" s="329">
        <f>+G39+G45</f>
        <v>749516.19</v>
      </c>
      <c r="H36" s="329">
        <f>+H45+H39</f>
        <v>184128.66</v>
      </c>
      <c r="I36" s="329">
        <f>+D36-F36</f>
        <v>8056400.1999999993</v>
      </c>
      <c r="J36" s="329" t="e">
        <f>+#REF!-F36</f>
        <v>#REF!</v>
      </c>
      <c r="K36" s="330">
        <f>+F36/D36*100</f>
        <v>40.015485302439174</v>
      </c>
      <c r="L36">
        <v>12869150.130000001</v>
      </c>
    </row>
    <row r="37" spans="1:17" ht="4.5" customHeight="1" x14ac:dyDescent="0.2">
      <c r="A37" s="314"/>
      <c r="B37" s="314"/>
      <c r="C37" s="316"/>
      <c r="D37" s="331" t="s">
        <v>6</v>
      </c>
      <c r="E37" s="316" t="s">
        <v>6</v>
      </c>
      <c r="F37" s="316" t="s">
        <v>6</v>
      </c>
      <c r="G37" s="316" t="s">
        <v>6</v>
      </c>
      <c r="H37" s="316"/>
      <c r="I37" s="316"/>
      <c r="J37" s="316"/>
      <c r="K37" s="317" t="s">
        <v>6</v>
      </c>
      <c r="L37" t="s">
        <v>6</v>
      </c>
    </row>
    <row r="38" spans="1:17" ht="15.75" customHeight="1" x14ac:dyDescent="0.2">
      <c r="A38" s="314"/>
      <c r="B38" s="314"/>
      <c r="C38" s="316"/>
      <c r="D38" s="331"/>
      <c r="E38" s="316"/>
      <c r="F38" s="316"/>
      <c r="G38" s="316"/>
      <c r="H38" s="316"/>
      <c r="I38" s="316"/>
      <c r="J38" s="316"/>
      <c r="K38" s="317"/>
    </row>
    <row r="39" spans="1:17" ht="13.5" x14ac:dyDescent="0.2">
      <c r="A39" s="314" t="s">
        <v>85</v>
      </c>
      <c r="B39" s="315">
        <f>+B41+B42+B43</f>
        <v>56905194</v>
      </c>
      <c r="C39" s="316">
        <f t="shared" ref="C39:G39" si="3">+C41+C42+C43</f>
        <v>56905194</v>
      </c>
      <c r="D39" s="316">
        <f t="shared" si="3"/>
        <v>13430800</v>
      </c>
      <c r="E39" s="316">
        <f t="shared" si="3"/>
        <v>1535819.4900000002</v>
      </c>
      <c r="F39" s="316">
        <f>+F41+F42+F43-1</f>
        <v>5374399.8000000007</v>
      </c>
      <c r="G39" s="316">
        <f t="shared" si="3"/>
        <v>749516.19</v>
      </c>
      <c r="H39" s="316">
        <f>+H41+H42+H43</f>
        <v>184128.66</v>
      </c>
      <c r="I39" s="316">
        <f>+D39-F39</f>
        <v>8056400.1999999993</v>
      </c>
      <c r="J39" s="316" t="e">
        <f>+#REF!-F39</f>
        <v>#REF!</v>
      </c>
      <c r="K39" s="317">
        <f>+F39/D39*100</f>
        <v>40.015485302439174</v>
      </c>
      <c r="L39">
        <v>12869150.130000001</v>
      </c>
      <c r="N39" t="s">
        <v>6</v>
      </c>
    </row>
    <row r="40" spans="1:17" ht="6" customHeight="1" x14ac:dyDescent="0.2">
      <c r="A40" s="314"/>
      <c r="B40" s="314"/>
      <c r="C40" s="316"/>
      <c r="D40" s="316"/>
      <c r="E40" s="316" t="s">
        <v>6</v>
      </c>
      <c r="F40" s="316" t="s">
        <v>6</v>
      </c>
      <c r="G40" s="316" t="s">
        <v>6</v>
      </c>
      <c r="H40" s="316"/>
      <c r="I40" s="316" t="s">
        <v>6</v>
      </c>
      <c r="J40" s="316" t="s">
        <v>6</v>
      </c>
      <c r="K40" s="317"/>
      <c r="L40" t="s">
        <v>6</v>
      </c>
    </row>
    <row r="41" spans="1:17" ht="18" customHeight="1" x14ac:dyDescent="0.2">
      <c r="A41" s="314" t="s">
        <v>424</v>
      </c>
      <c r="B41" s="322">
        <f>+PROYECTOS!B8</f>
        <v>27799680</v>
      </c>
      <c r="C41" s="322">
        <f>+PROYECTOS!C8</f>
        <v>27244875</v>
      </c>
      <c r="D41" s="322">
        <f>+PROYECTOS!D8</f>
        <v>6004798</v>
      </c>
      <c r="E41" s="322">
        <f>+PROYECTOS!E8</f>
        <v>568021.31000000006</v>
      </c>
      <c r="F41" s="322">
        <f>+PROYECTOS!F8</f>
        <v>2739344.3200000003</v>
      </c>
      <c r="G41" s="322">
        <f>+PROYECTOS!G8</f>
        <v>38003</v>
      </c>
      <c r="H41" s="322">
        <f>+PROYECTOS!H8</f>
        <v>38003</v>
      </c>
      <c r="I41" s="322">
        <f>+D41-F41</f>
        <v>3265453.6799999997</v>
      </c>
      <c r="J41" s="322" t="e">
        <f>+#REF!-F41</f>
        <v>#REF!</v>
      </c>
      <c r="K41" s="323">
        <f>+F41/D41*100</f>
        <v>45.619258466313113</v>
      </c>
      <c r="L41" s="56">
        <v>12221531.41</v>
      </c>
      <c r="N41" s="1"/>
      <c r="O41" s="1"/>
      <c r="Q41" s="39"/>
    </row>
    <row r="42" spans="1:17" ht="18" customHeight="1" x14ac:dyDescent="0.2">
      <c r="A42" s="314" t="s">
        <v>425</v>
      </c>
      <c r="B42" s="322">
        <f>+PROYECTOS!B16</f>
        <v>15761574</v>
      </c>
      <c r="C42" s="322">
        <f>+PROYECTOS!C16</f>
        <v>16301395</v>
      </c>
      <c r="D42" s="322">
        <f>+PROYECTOS!D16</f>
        <v>4313302</v>
      </c>
      <c r="E42" s="322">
        <f>+PROYECTOS!E16</f>
        <v>497103.84</v>
      </c>
      <c r="F42" s="322">
        <f>+PROYECTOS!F16</f>
        <v>1177627.1200000001</v>
      </c>
      <c r="G42" s="322">
        <f>+PROYECTOS!G16-1</f>
        <v>333063.46999999997</v>
      </c>
      <c r="H42" s="322">
        <f>+PROYECTOS!H16</f>
        <v>83344.63</v>
      </c>
      <c r="I42" s="322">
        <f>+D42-F42</f>
        <v>3135674.88</v>
      </c>
      <c r="J42" s="322" t="e">
        <f>+#REF!-F42</f>
        <v>#REF!</v>
      </c>
      <c r="K42" s="323">
        <f>+F42/D42*100</f>
        <v>27.302218115031131</v>
      </c>
      <c r="L42" s="56">
        <v>647618.71999999986</v>
      </c>
      <c r="N42" s="1"/>
      <c r="O42" s="1"/>
      <c r="Q42" s="39"/>
    </row>
    <row r="43" spans="1:17" ht="19.5" customHeight="1" x14ac:dyDescent="0.2">
      <c r="A43" s="314" t="s">
        <v>426</v>
      </c>
      <c r="B43" s="322">
        <f>+PROYECTOS!B31</f>
        <v>13343940</v>
      </c>
      <c r="C43" s="322">
        <f>+PROYECTOS!C31</f>
        <v>13358924</v>
      </c>
      <c r="D43" s="322">
        <f>+PROYECTOS!D31</f>
        <v>3112700</v>
      </c>
      <c r="E43" s="322">
        <f>+PROYECTOS!E31</f>
        <v>470694.34</v>
      </c>
      <c r="F43" s="322">
        <f>+PROYECTOS!F31</f>
        <v>1457429.36</v>
      </c>
      <c r="G43" s="322">
        <f>+PROYECTOS!G31</f>
        <v>378449.72000000003</v>
      </c>
      <c r="H43" s="322">
        <f>+PROYECTOS!H31</f>
        <v>62781.03</v>
      </c>
      <c r="I43" s="322">
        <f>+D43-F43</f>
        <v>1655270.64</v>
      </c>
      <c r="J43" s="322" t="e">
        <f>+#REF!-F43</f>
        <v>#REF!</v>
      </c>
      <c r="K43" s="323">
        <f>+F43/D43*100</f>
        <v>46.82203103415042</v>
      </c>
      <c r="L43" s="56">
        <v>0</v>
      </c>
      <c r="N43" s="1"/>
      <c r="O43" s="1"/>
    </row>
    <row r="44" spans="1:17" ht="7.5" customHeight="1" x14ac:dyDescent="0.2">
      <c r="A44" s="314"/>
      <c r="B44" s="314"/>
      <c r="C44" s="316"/>
      <c r="D44" s="316"/>
      <c r="E44" s="316"/>
      <c r="F44" s="316" t="s">
        <v>6</v>
      </c>
      <c r="G44" s="316"/>
      <c r="H44" s="316"/>
      <c r="I44" s="316" t="s">
        <v>6</v>
      </c>
      <c r="J44" s="316" t="s">
        <v>6</v>
      </c>
      <c r="K44" s="317" t="s">
        <v>6</v>
      </c>
      <c r="L44" t="s">
        <v>6</v>
      </c>
    </row>
    <row r="45" spans="1:17" ht="13.5" x14ac:dyDescent="0.2">
      <c r="A45" s="314"/>
      <c r="B45" s="314"/>
      <c r="C45" s="316"/>
      <c r="D45" s="316">
        <v>0</v>
      </c>
      <c r="E45" s="316">
        <v>0</v>
      </c>
      <c r="F45" s="316" t="s">
        <v>6</v>
      </c>
      <c r="G45" s="316"/>
      <c r="H45" s="316">
        <v>0</v>
      </c>
      <c r="I45" s="316" t="s">
        <v>6</v>
      </c>
      <c r="J45" s="316" t="s">
        <v>6</v>
      </c>
      <c r="K45" s="317" t="s">
        <v>6</v>
      </c>
      <c r="L45" t="s">
        <v>6</v>
      </c>
    </row>
    <row r="46" spans="1:17" ht="9" customHeight="1" x14ac:dyDescent="0.2">
      <c r="A46" s="314"/>
      <c r="B46" s="314"/>
      <c r="C46" s="316"/>
      <c r="D46" s="316"/>
      <c r="E46" s="316"/>
      <c r="F46" s="316" t="s">
        <v>6</v>
      </c>
      <c r="G46" s="316"/>
      <c r="H46" s="316" t="s">
        <v>6</v>
      </c>
      <c r="I46" s="316" t="s">
        <v>6</v>
      </c>
      <c r="J46" s="316" t="s">
        <v>6</v>
      </c>
      <c r="K46" s="317" t="s">
        <v>6</v>
      </c>
      <c r="L46" t="s">
        <v>6</v>
      </c>
    </row>
    <row r="47" spans="1:17" ht="13.5" x14ac:dyDescent="0.2">
      <c r="A47" s="314"/>
      <c r="B47" s="314"/>
      <c r="C47" s="316"/>
      <c r="D47" s="316"/>
      <c r="E47" s="316"/>
      <c r="F47" s="316" t="s">
        <v>6</v>
      </c>
      <c r="G47" s="316"/>
      <c r="H47" s="316"/>
      <c r="I47" s="316" t="s">
        <v>6</v>
      </c>
      <c r="J47" s="316" t="s">
        <v>6</v>
      </c>
      <c r="K47" s="317" t="s">
        <v>6</v>
      </c>
      <c r="L47" t="s">
        <v>6</v>
      </c>
    </row>
    <row r="48" spans="1:17" ht="13.5" x14ac:dyDescent="0.2">
      <c r="A48" s="314"/>
      <c r="B48" s="314"/>
      <c r="C48" s="316"/>
      <c r="D48" s="316"/>
      <c r="E48" s="316"/>
      <c r="F48" s="316" t="s">
        <v>6</v>
      </c>
      <c r="G48" s="316"/>
      <c r="H48" s="316"/>
      <c r="I48" s="316" t="s">
        <v>6</v>
      </c>
      <c r="J48" s="316" t="s">
        <v>6</v>
      </c>
      <c r="K48" s="317" t="s">
        <v>6</v>
      </c>
      <c r="L48" t="s">
        <v>6</v>
      </c>
    </row>
    <row r="49" spans="1:12" ht="13.5" x14ac:dyDescent="0.2">
      <c r="A49" s="314"/>
      <c r="B49" s="314"/>
      <c r="C49" s="316"/>
      <c r="D49" s="316"/>
      <c r="E49" s="316"/>
      <c r="F49" s="316" t="s">
        <v>6</v>
      </c>
      <c r="G49" s="316"/>
      <c r="H49" s="316"/>
      <c r="I49" s="316" t="s">
        <v>6</v>
      </c>
      <c r="J49" s="316" t="s">
        <v>6</v>
      </c>
      <c r="K49" s="317" t="s">
        <v>6</v>
      </c>
      <c r="L49" t="s">
        <v>6</v>
      </c>
    </row>
    <row r="50" spans="1:12" ht="13.5" x14ac:dyDescent="0.2">
      <c r="A50" s="314"/>
      <c r="B50" s="314"/>
      <c r="C50" s="316"/>
      <c r="D50" s="316" t="s">
        <v>6</v>
      </c>
      <c r="E50" s="316" t="s">
        <v>6</v>
      </c>
      <c r="F50" s="316" t="s">
        <v>6</v>
      </c>
      <c r="G50" s="316"/>
      <c r="H50" s="316"/>
      <c r="I50" s="316" t="s">
        <v>6</v>
      </c>
      <c r="J50" s="316" t="s">
        <v>6</v>
      </c>
      <c r="K50" s="317" t="s">
        <v>6</v>
      </c>
      <c r="L50" t="s">
        <v>6</v>
      </c>
    </row>
    <row r="51" spans="1:12" ht="13.5" x14ac:dyDescent="0.2">
      <c r="A51" s="314"/>
      <c r="B51" s="314"/>
      <c r="C51" s="316"/>
      <c r="D51" s="316" t="s">
        <v>6</v>
      </c>
      <c r="E51" s="316" t="s">
        <v>6</v>
      </c>
      <c r="F51" s="316" t="s">
        <v>6</v>
      </c>
      <c r="G51" s="316"/>
      <c r="H51" s="316"/>
      <c r="I51" s="316" t="s">
        <v>38</v>
      </c>
      <c r="J51" s="316" t="s">
        <v>6</v>
      </c>
      <c r="K51" s="317" t="s">
        <v>6</v>
      </c>
      <c r="L51" t="s">
        <v>6</v>
      </c>
    </row>
    <row r="52" spans="1:12" ht="6.75" customHeight="1" x14ac:dyDescent="0.2">
      <c r="A52" s="314"/>
      <c r="B52" s="314"/>
      <c r="C52" s="316"/>
      <c r="D52" s="316"/>
      <c r="E52" s="316"/>
      <c r="F52" s="316" t="s">
        <v>6</v>
      </c>
      <c r="G52" s="316"/>
      <c r="H52" s="316"/>
      <c r="I52" s="316" t="s">
        <v>6</v>
      </c>
      <c r="J52" s="316" t="s">
        <v>6</v>
      </c>
      <c r="K52" s="317" t="s">
        <v>6</v>
      </c>
      <c r="L52" t="s">
        <v>6</v>
      </c>
    </row>
    <row r="53" spans="1:12" ht="13.5" x14ac:dyDescent="0.2">
      <c r="A53" s="314"/>
      <c r="B53" s="314"/>
      <c r="C53" s="316"/>
      <c r="D53" s="316">
        <v>0</v>
      </c>
      <c r="E53" s="316">
        <v>0</v>
      </c>
      <c r="F53" s="316" t="s">
        <v>6</v>
      </c>
      <c r="G53" s="316"/>
      <c r="H53" s="316">
        <v>0</v>
      </c>
      <c r="I53" s="316" t="s">
        <v>38</v>
      </c>
      <c r="J53" s="316" t="s">
        <v>6</v>
      </c>
      <c r="K53" s="317" t="s">
        <v>6</v>
      </c>
      <c r="L53" t="s">
        <v>6</v>
      </c>
    </row>
    <row r="54" spans="1:12" ht="7.5" customHeight="1" x14ac:dyDescent="0.2">
      <c r="A54" s="314"/>
      <c r="B54" s="314"/>
      <c r="C54" s="316"/>
      <c r="D54" s="316"/>
      <c r="E54" s="316"/>
      <c r="F54" s="316" t="s">
        <v>6</v>
      </c>
      <c r="G54" s="316"/>
      <c r="H54" s="316"/>
      <c r="I54" s="316" t="s">
        <v>6</v>
      </c>
      <c r="J54" s="316" t="s">
        <v>6</v>
      </c>
      <c r="K54" s="317" t="s">
        <v>6</v>
      </c>
      <c r="L54" t="s">
        <v>6</v>
      </c>
    </row>
    <row r="55" spans="1:12" ht="13.5" x14ac:dyDescent="0.2">
      <c r="A55" s="314"/>
      <c r="B55" s="314"/>
      <c r="C55" s="316"/>
      <c r="D55" s="316"/>
      <c r="E55" s="316"/>
      <c r="F55" s="316" t="s">
        <v>6</v>
      </c>
      <c r="G55" s="316"/>
      <c r="H55" s="316"/>
      <c r="I55" s="316" t="s">
        <v>6</v>
      </c>
      <c r="J55" s="316" t="s">
        <v>6</v>
      </c>
      <c r="K55" s="317" t="s">
        <v>6</v>
      </c>
      <c r="L55" t="s">
        <v>6</v>
      </c>
    </row>
    <row r="56" spans="1:12" ht="13.5" x14ac:dyDescent="0.2">
      <c r="A56" s="314"/>
      <c r="B56" s="314"/>
      <c r="C56" s="316"/>
      <c r="D56" s="316"/>
      <c r="E56" s="316"/>
      <c r="F56" s="316" t="s">
        <v>6</v>
      </c>
      <c r="G56" s="316"/>
      <c r="H56" s="316"/>
      <c r="I56" s="316" t="s">
        <v>6</v>
      </c>
      <c r="J56" s="316" t="s">
        <v>6</v>
      </c>
      <c r="K56" s="317" t="s">
        <v>6</v>
      </c>
      <c r="L56" t="s">
        <v>6</v>
      </c>
    </row>
    <row r="57" spans="1:12" ht="15.75" x14ac:dyDescent="0.3">
      <c r="A57" s="332"/>
      <c r="B57" s="332"/>
      <c r="C57" s="333"/>
      <c r="D57" s="334"/>
      <c r="E57" s="334"/>
      <c r="F57" s="334" t="s">
        <v>6</v>
      </c>
      <c r="G57" s="334"/>
      <c r="H57" s="334"/>
      <c r="I57" s="334" t="s">
        <v>6</v>
      </c>
      <c r="J57" s="334" t="s">
        <v>6</v>
      </c>
      <c r="K57" s="335" t="s">
        <v>6</v>
      </c>
      <c r="L57" t="s">
        <v>6</v>
      </c>
    </row>
    <row r="58" spans="1:12" ht="12" customHeight="1" thickBot="1" x14ac:dyDescent="0.3">
      <c r="A58" s="336"/>
      <c r="B58" s="336"/>
      <c r="C58" s="337"/>
      <c r="D58" s="338"/>
      <c r="E58" s="338"/>
      <c r="F58" s="339" t="s">
        <v>6</v>
      </c>
      <c r="G58" s="339"/>
      <c r="H58" s="338"/>
      <c r="I58" s="338"/>
      <c r="J58" s="339" t="s">
        <v>6</v>
      </c>
      <c r="K58" s="340"/>
    </row>
    <row r="59" spans="1:12" ht="8.25" customHeight="1" x14ac:dyDescent="0.25">
      <c r="A59" s="287"/>
      <c r="B59" s="287"/>
      <c r="C59" s="287"/>
      <c r="D59" s="87"/>
      <c r="E59" s="87"/>
      <c r="F59" s="87"/>
      <c r="G59" s="87"/>
      <c r="H59" s="87"/>
      <c r="I59" s="87"/>
      <c r="J59" s="87"/>
      <c r="K59" s="341"/>
    </row>
    <row r="60" spans="1:12" x14ac:dyDescent="0.2">
      <c r="A60" s="617" t="s">
        <v>508</v>
      </c>
      <c r="B60" s="617"/>
      <c r="C60" s="7"/>
      <c r="D60" s="1"/>
      <c r="E60" s="1"/>
      <c r="F60" s="87"/>
      <c r="G60" s="87"/>
      <c r="H60" s="87"/>
      <c r="I60" s="87"/>
      <c r="J60" s="87"/>
      <c r="K60" s="58"/>
    </row>
    <row r="61" spans="1:12" x14ac:dyDescent="0.2">
      <c r="A61" s="29" t="s">
        <v>6</v>
      </c>
      <c r="B61" s="29"/>
      <c r="C61" s="29"/>
      <c r="D61" s="34"/>
      <c r="E61" s="34"/>
      <c r="F61" s="33"/>
      <c r="G61" s="33"/>
      <c r="H61" s="33"/>
      <c r="I61" s="33"/>
      <c r="J61" s="33"/>
      <c r="K61" s="30"/>
    </row>
    <row r="62" spans="1:12" x14ac:dyDescent="0.2">
      <c r="A62" s="29" t="s">
        <v>6</v>
      </c>
      <c r="B62" s="29"/>
      <c r="C62" s="29"/>
      <c r="D62" s="34"/>
      <c r="E62" s="34"/>
      <c r="F62" s="33"/>
      <c r="G62" s="33"/>
      <c r="H62" s="33"/>
      <c r="I62" s="33"/>
      <c r="J62" s="33"/>
      <c r="K62" s="30"/>
    </row>
    <row r="63" spans="1:12" x14ac:dyDescent="0.2">
      <c r="A63" s="29" t="s">
        <v>6</v>
      </c>
      <c r="B63" s="29"/>
      <c r="C63" s="29"/>
      <c r="D63" s="28"/>
      <c r="E63" s="28"/>
      <c r="F63" s="28"/>
      <c r="G63" s="28"/>
      <c r="H63" s="28"/>
      <c r="I63" s="28"/>
      <c r="J63" s="28"/>
      <c r="K63" s="30"/>
    </row>
    <row r="64" spans="1:12" x14ac:dyDescent="0.2">
      <c r="A64" s="29" t="s">
        <v>6</v>
      </c>
      <c r="B64" s="29"/>
      <c r="C64" s="29"/>
      <c r="D64" s="28"/>
      <c r="E64" s="28"/>
      <c r="F64" s="28"/>
      <c r="G64" s="28"/>
      <c r="H64" s="28"/>
      <c r="I64" s="28"/>
      <c r="J64" s="28"/>
      <c r="K64" s="30"/>
    </row>
    <row r="65" spans="1:11" x14ac:dyDescent="0.2">
      <c r="A65" s="29" t="s">
        <v>6</v>
      </c>
      <c r="B65" s="29"/>
      <c r="C65" s="29"/>
      <c r="D65" s="28"/>
      <c r="E65" s="28"/>
      <c r="F65" s="28"/>
      <c r="G65" s="28"/>
      <c r="H65" s="28"/>
      <c r="I65" s="28"/>
      <c r="J65" s="28"/>
      <c r="K65" s="30"/>
    </row>
    <row r="66" spans="1:11" x14ac:dyDescent="0.2">
      <c r="A66" s="29" t="s">
        <v>6</v>
      </c>
      <c r="B66" s="29"/>
      <c r="C66" s="29"/>
      <c r="D66" s="28"/>
      <c r="E66" s="28"/>
      <c r="F66" s="28"/>
      <c r="G66" s="28"/>
      <c r="H66" s="28"/>
      <c r="I66" s="28"/>
      <c r="J66" s="28"/>
      <c r="K66" s="30"/>
    </row>
    <row r="67" spans="1:11" x14ac:dyDescent="0.2">
      <c r="A67" s="29" t="s">
        <v>6</v>
      </c>
      <c r="B67" s="29"/>
      <c r="C67" s="29"/>
      <c r="D67" s="28"/>
      <c r="E67" s="28"/>
      <c r="F67" s="28"/>
      <c r="G67" s="28"/>
      <c r="H67" s="28"/>
      <c r="I67" s="28"/>
      <c r="J67" s="28"/>
      <c r="K67" s="30"/>
    </row>
    <row r="68" spans="1:11" x14ac:dyDescent="0.2">
      <c r="A68" s="29" t="s">
        <v>6</v>
      </c>
      <c r="B68" s="29"/>
      <c r="C68" s="29"/>
      <c r="D68" s="28"/>
      <c r="E68" s="28"/>
      <c r="F68" s="28"/>
      <c r="G68" s="28"/>
      <c r="H68" s="28"/>
      <c r="I68" s="28"/>
      <c r="J68" s="28"/>
      <c r="K68" s="30"/>
    </row>
    <row r="69" spans="1:11" ht="74.25" customHeight="1" x14ac:dyDescent="0.2">
      <c r="A69" s="29" t="s">
        <v>6</v>
      </c>
      <c r="B69" s="29"/>
      <c r="C69" s="29"/>
      <c r="D69" s="28"/>
      <c r="E69" s="28"/>
      <c r="F69" s="28"/>
      <c r="G69" s="28"/>
      <c r="H69" s="28"/>
      <c r="I69" s="28"/>
      <c r="J69" s="28"/>
      <c r="K69" s="30"/>
    </row>
    <row r="70" spans="1:11" x14ac:dyDescent="0.2">
      <c r="A70" s="25" t="s">
        <v>6</v>
      </c>
      <c r="D70" s="28"/>
      <c r="E70" s="28"/>
      <c r="F70" s="28"/>
      <c r="G70" s="28"/>
      <c r="H70" s="28"/>
      <c r="I70" s="28"/>
      <c r="J70" s="28"/>
      <c r="K70" s="30"/>
    </row>
    <row r="71" spans="1:11" x14ac:dyDescent="0.2">
      <c r="D71" s="28"/>
      <c r="E71" s="28"/>
      <c r="F71" s="28"/>
      <c r="G71" s="28"/>
      <c r="H71" s="28"/>
      <c r="I71" s="28"/>
      <c r="J71" s="28"/>
      <c r="K71" s="30"/>
    </row>
    <row r="72" spans="1:11" x14ac:dyDescent="0.2">
      <c r="A72" s="25" t="s">
        <v>6</v>
      </c>
      <c r="D72" s="28"/>
      <c r="E72" s="28"/>
      <c r="F72" s="28"/>
      <c r="G72" s="28"/>
      <c r="H72" s="28"/>
      <c r="I72" s="28"/>
      <c r="J72" s="28"/>
      <c r="K72" s="30"/>
    </row>
    <row r="73" spans="1:11" x14ac:dyDescent="0.2">
      <c r="A73" s="25" t="s">
        <v>6</v>
      </c>
      <c r="D73" s="28"/>
      <c r="E73" s="28"/>
      <c r="F73" s="28"/>
      <c r="G73" s="28"/>
      <c r="H73" s="28"/>
      <c r="I73" s="28"/>
      <c r="J73" s="28"/>
      <c r="K73" s="30"/>
    </row>
    <row r="74" spans="1:11" x14ac:dyDescent="0.2">
      <c r="D74" s="28"/>
      <c r="E74" s="28"/>
      <c r="F74" s="28"/>
      <c r="G74" s="28"/>
      <c r="H74" s="28"/>
      <c r="I74" s="28"/>
      <c r="J74" s="28"/>
      <c r="K74" s="30"/>
    </row>
    <row r="75" spans="1:11" x14ac:dyDescent="0.2">
      <c r="D75" s="28"/>
      <c r="E75" s="28"/>
      <c r="F75" s="28"/>
      <c r="G75" s="28"/>
      <c r="H75" s="28"/>
      <c r="I75" s="28"/>
      <c r="J75" s="28"/>
      <c r="K75" s="30"/>
    </row>
    <row r="76" spans="1:11" x14ac:dyDescent="0.2">
      <c r="D76" s="28"/>
      <c r="E76" s="28"/>
      <c r="F76" s="28"/>
      <c r="G76" s="28"/>
      <c r="H76" s="28"/>
      <c r="I76" s="28"/>
      <c r="J76" s="28"/>
      <c r="K76" s="30"/>
    </row>
    <row r="77" spans="1:11" x14ac:dyDescent="0.2">
      <c r="D77" s="28"/>
      <c r="E77" s="28"/>
      <c r="F77" s="28"/>
      <c r="G77" s="28"/>
      <c r="H77" s="28"/>
      <c r="I77" s="28"/>
      <c r="J77" s="28"/>
      <c r="K77" s="30"/>
    </row>
    <row r="78" spans="1:11" x14ac:dyDescent="0.2">
      <c r="D78" s="28"/>
      <c r="E78" s="28"/>
      <c r="F78" s="28"/>
      <c r="G78" s="28"/>
      <c r="H78" s="28"/>
      <c r="I78" s="28"/>
      <c r="J78" s="28"/>
      <c r="K78" s="30"/>
    </row>
    <row r="79" spans="1:11" x14ac:dyDescent="0.2">
      <c r="D79" s="28"/>
      <c r="E79" s="28"/>
      <c r="F79" s="28"/>
      <c r="G79" s="28"/>
      <c r="H79" s="28"/>
      <c r="I79" s="28"/>
      <c r="J79" s="28"/>
      <c r="K79" s="30"/>
    </row>
    <row r="80" spans="1:11" x14ac:dyDescent="0.2">
      <c r="D80" s="28"/>
      <c r="E80" s="28"/>
      <c r="F80" s="28"/>
      <c r="G80" s="28"/>
      <c r="H80" s="28"/>
      <c r="I80" s="28"/>
      <c r="J80" s="28"/>
      <c r="K80" s="30"/>
    </row>
    <row r="81" spans="4:11" x14ac:dyDescent="0.2">
      <c r="D81" s="28"/>
      <c r="E81" s="28"/>
      <c r="F81" s="28"/>
      <c r="G81" s="28"/>
      <c r="H81" s="28"/>
      <c r="I81" s="28"/>
      <c r="J81" s="28"/>
      <c r="K81" s="30"/>
    </row>
    <row r="82" spans="4:11" x14ac:dyDescent="0.2">
      <c r="D82" s="28"/>
      <c r="E82" s="28"/>
      <c r="F82" s="28"/>
      <c r="G82" s="28"/>
      <c r="H82" s="28"/>
      <c r="I82" s="28"/>
      <c r="J82" s="28"/>
      <c r="K82" s="30"/>
    </row>
    <row r="83" spans="4:11" x14ac:dyDescent="0.2">
      <c r="D83" s="28"/>
      <c r="E83" s="28"/>
      <c r="F83" s="28"/>
      <c r="G83" s="28"/>
      <c r="H83" s="28"/>
      <c r="I83" s="28"/>
      <c r="J83" s="28"/>
      <c r="K83" s="30"/>
    </row>
    <row r="84" spans="4:11" x14ac:dyDescent="0.2">
      <c r="D84" s="28"/>
      <c r="E84" s="28"/>
      <c r="F84" s="28"/>
      <c r="G84" s="28"/>
      <c r="H84" s="28"/>
      <c r="I84" s="28"/>
      <c r="J84" s="28"/>
      <c r="K84" s="30"/>
    </row>
    <row r="85" spans="4:11" x14ac:dyDescent="0.2">
      <c r="D85" s="28"/>
      <c r="E85" s="28"/>
      <c r="F85" s="28"/>
      <c r="G85" s="28"/>
      <c r="H85" s="28"/>
      <c r="I85" s="28"/>
      <c r="J85" s="28"/>
      <c r="K85" s="30"/>
    </row>
    <row r="86" spans="4:11" x14ac:dyDescent="0.2">
      <c r="D86" s="28"/>
      <c r="E86" s="28"/>
      <c r="F86" s="28"/>
      <c r="G86" s="28"/>
      <c r="H86" s="28"/>
      <c r="I86" s="28"/>
      <c r="J86" s="28"/>
      <c r="K86" s="30"/>
    </row>
    <row r="87" spans="4:11" x14ac:dyDescent="0.2">
      <c r="D87" s="28"/>
      <c r="E87" s="28"/>
      <c r="F87" s="28"/>
      <c r="G87" s="28"/>
      <c r="H87" s="28"/>
      <c r="I87" s="28"/>
      <c r="J87" s="28"/>
      <c r="K87" s="30"/>
    </row>
    <row r="88" spans="4:11" x14ac:dyDescent="0.2">
      <c r="D88" s="28"/>
      <c r="E88" s="28"/>
      <c r="F88" s="28"/>
      <c r="G88" s="28"/>
      <c r="H88" s="28"/>
      <c r="I88" s="28"/>
      <c r="J88" s="28"/>
      <c r="K88" s="30"/>
    </row>
    <row r="89" spans="4:11" x14ac:dyDescent="0.2">
      <c r="D89" s="28"/>
      <c r="E89" s="28"/>
      <c r="F89" s="28"/>
      <c r="G89" s="28"/>
      <c r="H89" s="28"/>
      <c r="I89" s="28"/>
      <c r="J89" s="28"/>
      <c r="K89" s="30"/>
    </row>
    <row r="90" spans="4:11" x14ac:dyDescent="0.2">
      <c r="D90" s="28"/>
      <c r="E90" s="28"/>
      <c r="F90" s="28"/>
      <c r="G90" s="28"/>
      <c r="H90" s="28"/>
      <c r="I90" s="28"/>
      <c r="J90" s="28"/>
      <c r="K90" s="30"/>
    </row>
    <row r="91" spans="4:11" x14ac:dyDescent="0.2">
      <c r="D91" s="28"/>
      <c r="E91" s="28"/>
      <c r="F91" s="28"/>
      <c r="G91" s="28"/>
      <c r="H91" s="28"/>
      <c r="I91" s="28"/>
      <c r="J91" s="28"/>
      <c r="K91" s="30"/>
    </row>
    <row r="92" spans="4:11" x14ac:dyDescent="0.2">
      <c r="D92" s="28"/>
      <c r="E92" s="28"/>
      <c r="F92" s="28"/>
      <c r="G92" s="28"/>
      <c r="H92" s="28"/>
      <c r="I92" s="28"/>
      <c r="J92" s="28"/>
      <c r="K92" s="30"/>
    </row>
    <row r="93" spans="4:11" x14ac:dyDescent="0.2">
      <c r="D93" s="28"/>
      <c r="E93" s="28"/>
      <c r="F93" s="28"/>
      <c r="G93" s="28"/>
      <c r="H93" s="28"/>
      <c r="I93" s="28"/>
      <c r="J93" s="28"/>
      <c r="K93" s="30"/>
    </row>
    <row r="94" spans="4:11" x14ac:dyDescent="0.2">
      <c r="D94" s="28"/>
      <c r="E94" s="28"/>
      <c r="F94" s="28"/>
      <c r="G94" s="28"/>
      <c r="H94" s="28"/>
      <c r="I94" s="28"/>
      <c r="J94" s="28"/>
      <c r="K94" s="30"/>
    </row>
    <row r="95" spans="4:11" x14ac:dyDescent="0.2">
      <c r="D95" s="28"/>
      <c r="E95" s="28"/>
      <c r="F95" s="28"/>
      <c r="G95" s="28"/>
      <c r="H95" s="28"/>
      <c r="I95" s="28"/>
      <c r="J95" s="28"/>
      <c r="K95" s="30"/>
    </row>
    <row r="96" spans="4:11" x14ac:dyDescent="0.2">
      <c r="D96" s="28"/>
      <c r="E96" s="28"/>
      <c r="F96" s="28"/>
      <c r="G96" s="28"/>
      <c r="H96" s="28"/>
      <c r="I96" s="28"/>
      <c r="J96" s="28"/>
      <c r="K96" s="30"/>
    </row>
    <row r="97" spans="4:11" x14ac:dyDescent="0.2">
      <c r="D97" s="28"/>
      <c r="E97" s="28"/>
      <c r="F97" s="28"/>
      <c r="G97" s="28"/>
      <c r="H97" s="28"/>
      <c r="I97" s="28"/>
      <c r="J97" s="28"/>
      <c r="K97" s="30"/>
    </row>
    <row r="98" spans="4:11" x14ac:dyDescent="0.2">
      <c r="D98" s="28"/>
      <c r="E98" s="28"/>
      <c r="F98" s="28"/>
      <c r="G98" s="28"/>
      <c r="H98" s="28"/>
      <c r="I98" s="28"/>
      <c r="J98" s="28"/>
      <c r="K98" s="30"/>
    </row>
    <row r="99" spans="4:11" x14ac:dyDescent="0.2">
      <c r="D99" s="28"/>
      <c r="E99" s="28"/>
      <c r="F99" s="28"/>
      <c r="G99" s="28"/>
      <c r="H99" s="28"/>
      <c r="I99" s="28"/>
      <c r="J99" s="28"/>
      <c r="K99" s="30"/>
    </row>
    <row r="100" spans="4:11" x14ac:dyDescent="0.2">
      <c r="D100" s="28"/>
      <c r="E100" s="28"/>
      <c r="F100" s="28"/>
      <c r="G100" s="28"/>
      <c r="H100" s="28"/>
      <c r="I100" s="28"/>
      <c r="J100" s="28"/>
      <c r="K100" s="30"/>
    </row>
    <row r="101" spans="4:11" x14ac:dyDescent="0.2">
      <c r="D101" s="28"/>
      <c r="E101" s="28"/>
      <c r="F101" s="28"/>
      <c r="G101" s="28"/>
      <c r="H101" s="28"/>
      <c r="I101" s="28"/>
      <c r="J101" s="28"/>
      <c r="K101" s="30"/>
    </row>
    <row r="102" spans="4:11" x14ac:dyDescent="0.2">
      <c r="D102" s="28"/>
      <c r="E102" s="28"/>
      <c r="F102" s="28"/>
      <c r="G102" s="28"/>
      <c r="H102" s="28"/>
      <c r="I102" s="28"/>
      <c r="J102" s="28"/>
      <c r="K102" s="30"/>
    </row>
    <row r="103" spans="4:11" x14ac:dyDescent="0.2">
      <c r="D103" s="28"/>
      <c r="E103" s="28"/>
      <c r="F103" s="28"/>
      <c r="G103" s="28"/>
      <c r="H103" s="28"/>
      <c r="I103" s="28"/>
      <c r="J103" s="28"/>
      <c r="K103" s="30"/>
    </row>
    <row r="104" spans="4:11" x14ac:dyDescent="0.2">
      <c r="D104" s="28"/>
      <c r="E104" s="28"/>
      <c r="F104" s="28"/>
      <c r="G104" s="28"/>
      <c r="H104" s="28"/>
      <c r="I104" s="28"/>
      <c r="J104" s="28"/>
      <c r="K104" s="30"/>
    </row>
    <row r="105" spans="4:11" x14ac:dyDescent="0.2">
      <c r="D105" s="28"/>
      <c r="E105" s="28"/>
      <c r="F105" s="28"/>
      <c r="G105" s="28"/>
      <c r="H105" s="28"/>
      <c r="I105" s="28"/>
      <c r="J105" s="28"/>
      <c r="K105" s="30"/>
    </row>
    <row r="106" spans="4:11" x14ac:dyDescent="0.2">
      <c r="D106" s="28"/>
      <c r="E106" s="28"/>
      <c r="F106" s="28"/>
      <c r="G106" s="28"/>
      <c r="H106" s="28"/>
      <c r="I106" s="28"/>
      <c r="J106" s="28"/>
      <c r="K106" s="30"/>
    </row>
    <row r="107" spans="4:11" x14ac:dyDescent="0.2">
      <c r="D107" s="28"/>
      <c r="E107" s="28"/>
      <c r="F107" s="28"/>
      <c r="G107" s="28"/>
      <c r="H107" s="28"/>
      <c r="I107" s="28"/>
      <c r="J107" s="28"/>
      <c r="K107" s="30"/>
    </row>
    <row r="108" spans="4:11" x14ac:dyDescent="0.2">
      <c r="D108" s="28"/>
      <c r="E108" s="28"/>
      <c r="F108" s="28"/>
      <c r="G108" s="28"/>
      <c r="H108" s="28"/>
      <c r="I108" s="28"/>
      <c r="J108" s="28"/>
      <c r="K108" s="30"/>
    </row>
    <row r="109" spans="4:11" x14ac:dyDescent="0.2">
      <c r="D109" s="28"/>
      <c r="E109" s="28"/>
      <c r="F109" s="28"/>
      <c r="G109" s="28"/>
      <c r="H109" s="28"/>
      <c r="I109" s="28"/>
      <c r="J109" s="28"/>
      <c r="K109" s="30"/>
    </row>
    <row r="110" spans="4:11" x14ac:dyDescent="0.2">
      <c r="D110" s="28"/>
      <c r="E110" s="28"/>
      <c r="F110" s="28"/>
      <c r="G110" s="28"/>
      <c r="H110" s="28"/>
      <c r="I110" s="28"/>
      <c r="J110" s="28"/>
      <c r="K110" s="30"/>
    </row>
    <row r="111" spans="4:11" x14ac:dyDescent="0.2">
      <c r="D111" s="28"/>
      <c r="E111" s="28"/>
      <c r="F111" s="28"/>
      <c r="G111" s="28"/>
      <c r="H111" s="28"/>
      <c r="I111" s="28"/>
      <c r="J111" s="28"/>
      <c r="K111" s="30"/>
    </row>
    <row r="112" spans="4:11" x14ac:dyDescent="0.2">
      <c r="D112" s="28"/>
      <c r="E112" s="28"/>
      <c r="F112" s="28"/>
      <c r="G112" s="28"/>
      <c r="H112" s="28"/>
      <c r="I112" s="28"/>
      <c r="J112" s="28"/>
      <c r="K112" s="30"/>
    </row>
    <row r="113" spans="4:11" x14ac:dyDescent="0.2">
      <c r="D113" s="28"/>
      <c r="E113" s="28"/>
      <c r="F113" s="28"/>
      <c r="G113" s="28"/>
      <c r="H113" s="28"/>
      <c r="I113" s="28"/>
      <c r="J113" s="28"/>
      <c r="K113" s="30"/>
    </row>
    <row r="114" spans="4:11" x14ac:dyDescent="0.2">
      <c r="D114" s="28"/>
      <c r="E114" s="28"/>
      <c r="F114" s="28"/>
      <c r="G114" s="28"/>
      <c r="H114" s="28"/>
      <c r="I114" s="28"/>
      <c r="J114" s="28"/>
      <c r="K114" s="30"/>
    </row>
    <row r="115" spans="4:11" x14ac:dyDescent="0.2">
      <c r="D115" s="28"/>
      <c r="E115" s="28"/>
      <c r="F115" s="28"/>
      <c r="G115" s="28"/>
      <c r="H115" s="28"/>
      <c r="I115" s="28"/>
      <c r="J115" s="28"/>
      <c r="K115" s="30"/>
    </row>
    <row r="116" spans="4:11" x14ac:dyDescent="0.2">
      <c r="D116" s="28"/>
      <c r="E116" s="28"/>
      <c r="F116" s="28"/>
      <c r="G116" s="28"/>
      <c r="H116" s="28"/>
      <c r="I116" s="28"/>
      <c r="J116" s="28"/>
      <c r="K116" s="30"/>
    </row>
    <row r="117" spans="4:11" x14ac:dyDescent="0.2">
      <c r="D117" s="28"/>
      <c r="E117" s="28"/>
      <c r="F117" s="28"/>
      <c r="G117" s="28"/>
      <c r="H117" s="28"/>
      <c r="I117" s="28"/>
      <c r="J117" s="28"/>
      <c r="K117" s="30"/>
    </row>
    <row r="118" spans="4:11" x14ac:dyDescent="0.2">
      <c r="D118" s="28"/>
      <c r="E118" s="28"/>
      <c r="F118" s="28"/>
      <c r="G118" s="28"/>
      <c r="H118" s="28"/>
      <c r="I118" s="28"/>
      <c r="J118" s="28"/>
      <c r="K118" s="30"/>
    </row>
    <row r="119" spans="4:11" x14ac:dyDescent="0.2">
      <c r="D119" s="28"/>
      <c r="E119" s="28"/>
      <c r="F119" s="28"/>
      <c r="G119" s="28"/>
      <c r="H119" s="28"/>
      <c r="I119" s="28"/>
      <c r="J119" s="28"/>
      <c r="K119" s="30"/>
    </row>
    <row r="120" spans="4:11" x14ac:dyDescent="0.2">
      <c r="D120" s="28"/>
      <c r="E120" s="28"/>
      <c r="F120" s="28"/>
      <c r="G120" s="28"/>
      <c r="H120" s="28"/>
      <c r="I120" s="28"/>
      <c r="J120" s="28"/>
      <c r="K120" s="30"/>
    </row>
    <row r="121" spans="4:11" x14ac:dyDescent="0.2">
      <c r="D121" s="28"/>
      <c r="E121" s="28"/>
      <c r="F121" s="28"/>
      <c r="G121" s="28"/>
      <c r="H121" s="28"/>
      <c r="I121" s="28"/>
      <c r="J121" s="28"/>
      <c r="K121" s="30"/>
    </row>
    <row r="122" spans="4:11" x14ac:dyDescent="0.2">
      <c r="D122" s="28"/>
      <c r="E122" s="28"/>
      <c r="F122" s="28"/>
      <c r="G122" s="28"/>
      <c r="H122" s="28"/>
      <c r="I122" s="28"/>
      <c r="J122" s="28"/>
      <c r="K122" s="30"/>
    </row>
    <row r="123" spans="4:11" x14ac:dyDescent="0.2">
      <c r="D123" s="28"/>
      <c r="E123" s="28"/>
      <c r="F123" s="28"/>
      <c r="G123" s="28"/>
      <c r="H123" s="28"/>
      <c r="I123" s="28"/>
      <c r="J123" s="28"/>
      <c r="K123" s="30"/>
    </row>
    <row r="124" spans="4:11" x14ac:dyDescent="0.2">
      <c r="D124" s="28"/>
      <c r="E124" s="28"/>
      <c r="F124" s="28"/>
      <c r="G124" s="28"/>
      <c r="H124" s="28"/>
      <c r="I124" s="28"/>
      <c r="J124" s="28"/>
      <c r="K124" s="30"/>
    </row>
    <row r="125" spans="4:11" x14ac:dyDescent="0.2">
      <c r="D125" s="28"/>
      <c r="E125" s="28"/>
      <c r="F125" s="28"/>
      <c r="G125" s="28"/>
      <c r="H125" s="28"/>
      <c r="I125" s="28"/>
      <c r="J125" s="28"/>
      <c r="K125" s="30"/>
    </row>
    <row r="126" spans="4:11" x14ac:dyDescent="0.2">
      <c r="D126" s="28"/>
      <c r="E126" s="28"/>
      <c r="F126" s="28"/>
      <c r="G126" s="28"/>
      <c r="H126" s="28"/>
      <c r="I126" s="28"/>
      <c r="J126" s="28"/>
      <c r="K126" s="30"/>
    </row>
    <row r="127" spans="4:11" x14ac:dyDescent="0.2">
      <c r="D127" s="28"/>
      <c r="E127" s="28"/>
      <c r="F127" s="28"/>
      <c r="G127" s="28"/>
      <c r="H127" s="28"/>
      <c r="I127" s="28"/>
      <c r="J127" s="28"/>
      <c r="K127" s="30"/>
    </row>
    <row r="128" spans="4:11" x14ac:dyDescent="0.2">
      <c r="D128" s="28"/>
      <c r="E128" s="28"/>
      <c r="F128" s="28"/>
      <c r="G128" s="28"/>
      <c r="H128" s="28"/>
      <c r="I128" s="28"/>
      <c r="J128" s="28"/>
      <c r="K128" s="30"/>
    </row>
    <row r="129" spans="11:11" x14ac:dyDescent="0.2">
      <c r="K129" s="30"/>
    </row>
    <row r="130" spans="11:11" x14ac:dyDescent="0.2">
      <c r="K130" s="30"/>
    </row>
    <row r="131" spans="11:11" x14ac:dyDescent="0.2">
      <c r="K131" s="30"/>
    </row>
    <row r="132" spans="11:11" x14ac:dyDescent="0.2">
      <c r="K132" s="30"/>
    </row>
    <row r="133" spans="11:11" x14ac:dyDescent="0.2">
      <c r="K133" s="30"/>
    </row>
    <row r="134" spans="11:11" x14ac:dyDescent="0.2">
      <c r="K134" s="30"/>
    </row>
    <row r="135" spans="11:11" x14ac:dyDescent="0.2">
      <c r="K135" s="30"/>
    </row>
    <row r="136" spans="11:11" x14ac:dyDescent="0.2">
      <c r="K136" s="30"/>
    </row>
    <row r="137" spans="11:11" x14ac:dyDescent="0.2">
      <c r="K137" s="30"/>
    </row>
    <row r="138" spans="11:11" x14ac:dyDescent="0.2">
      <c r="K138" s="30"/>
    </row>
    <row r="139" spans="11:11" x14ac:dyDescent="0.2">
      <c r="K139" s="30"/>
    </row>
    <row r="140" spans="11:11" x14ac:dyDescent="0.2">
      <c r="K140" s="30"/>
    </row>
    <row r="141" spans="11:11" x14ac:dyDescent="0.2">
      <c r="K141" s="30"/>
    </row>
    <row r="142" spans="11:11" x14ac:dyDescent="0.2">
      <c r="K142" s="30"/>
    </row>
    <row r="143" spans="11:11" x14ac:dyDescent="0.2">
      <c r="K143" s="30"/>
    </row>
    <row r="144" spans="11:11" x14ac:dyDescent="0.2">
      <c r="K144" s="30"/>
    </row>
    <row r="145" spans="11:11" x14ac:dyDescent="0.2">
      <c r="K145" s="30"/>
    </row>
    <row r="146" spans="11:11" x14ac:dyDescent="0.2">
      <c r="K146" s="30"/>
    </row>
    <row r="147" spans="11:11" x14ac:dyDescent="0.2">
      <c r="K147" s="30"/>
    </row>
    <row r="148" spans="11:11" x14ac:dyDescent="0.2">
      <c r="K148" s="30"/>
    </row>
    <row r="149" spans="11:11" x14ac:dyDescent="0.2">
      <c r="K149" s="30"/>
    </row>
    <row r="150" spans="11:11" x14ac:dyDescent="0.2">
      <c r="K150" s="30"/>
    </row>
    <row r="151" spans="11:11" x14ac:dyDescent="0.2">
      <c r="K151" s="30"/>
    </row>
    <row r="152" spans="11:11" x14ac:dyDescent="0.2">
      <c r="K152" s="30"/>
    </row>
    <row r="153" spans="11:11" x14ac:dyDescent="0.2">
      <c r="K153" s="30"/>
    </row>
    <row r="154" spans="11:11" x14ac:dyDescent="0.2">
      <c r="K154" s="30"/>
    </row>
    <row r="155" spans="11:11" x14ac:dyDescent="0.2">
      <c r="K155" s="30"/>
    </row>
    <row r="156" spans="11:11" x14ac:dyDescent="0.2">
      <c r="K156" s="30"/>
    </row>
    <row r="157" spans="11:11" x14ac:dyDescent="0.2">
      <c r="K157" s="30"/>
    </row>
    <row r="158" spans="11:11" x14ac:dyDescent="0.2">
      <c r="K158" s="30"/>
    </row>
    <row r="159" spans="11:11" x14ac:dyDescent="0.2">
      <c r="K159" s="30"/>
    </row>
    <row r="160" spans="11:11" x14ac:dyDescent="0.2">
      <c r="K160" s="30"/>
    </row>
    <row r="161" spans="11:11" x14ac:dyDescent="0.2">
      <c r="K161" s="30"/>
    </row>
    <row r="162" spans="11:11" x14ac:dyDescent="0.2">
      <c r="K162" s="30"/>
    </row>
    <row r="163" spans="11:11" x14ac:dyDescent="0.2">
      <c r="K163" s="30"/>
    </row>
    <row r="164" spans="11:11" x14ac:dyDescent="0.2">
      <c r="K164" s="30"/>
    </row>
    <row r="165" spans="11:11" x14ac:dyDescent="0.2">
      <c r="K165" s="30"/>
    </row>
    <row r="166" spans="11:11" x14ac:dyDescent="0.2">
      <c r="K166" s="30"/>
    </row>
    <row r="167" spans="11:11" x14ac:dyDescent="0.2">
      <c r="K167" s="30"/>
    </row>
    <row r="168" spans="11:11" x14ac:dyDescent="0.2">
      <c r="K168" s="30"/>
    </row>
    <row r="169" spans="11:11" x14ac:dyDescent="0.2">
      <c r="K169" s="30"/>
    </row>
    <row r="170" spans="11:11" x14ac:dyDescent="0.2">
      <c r="K170" s="30"/>
    </row>
    <row r="171" spans="11:11" x14ac:dyDescent="0.2">
      <c r="K171" s="30"/>
    </row>
    <row r="172" spans="11:11" x14ac:dyDescent="0.2">
      <c r="K172" s="30"/>
    </row>
    <row r="173" spans="11:11" x14ac:dyDescent="0.2">
      <c r="K173" s="30"/>
    </row>
    <row r="174" spans="11:11" x14ac:dyDescent="0.2">
      <c r="K174" s="30"/>
    </row>
    <row r="175" spans="11:11" x14ac:dyDescent="0.2">
      <c r="K175" s="30"/>
    </row>
    <row r="176" spans="11:11" x14ac:dyDescent="0.2">
      <c r="K176" s="30"/>
    </row>
    <row r="177" spans="11:11" x14ac:dyDescent="0.2">
      <c r="K177" s="30"/>
    </row>
    <row r="178" spans="11:11" x14ac:dyDescent="0.2">
      <c r="K178" s="30"/>
    </row>
    <row r="179" spans="11:11" x14ac:dyDescent="0.2">
      <c r="K179" s="30"/>
    </row>
    <row r="180" spans="11:11" x14ac:dyDescent="0.2">
      <c r="K180" s="30"/>
    </row>
    <row r="181" spans="11:11" x14ac:dyDescent="0.2">
      <c r="K181" s="30"/>
    </row>
    <row r="182" spans="11:11" x14ac:dyDescent="0.2">
      <c r="K182" s="30"/>
    </row>
    <row r="183" spans="11:11" x14ac:dyDescent="0.2">
      <c r="K183" s="30"/>
    </row>
    <row r="184" spans="11:11" x14ac:dyDescent="0.2">
      <c r="K184" s="30"/>
    </row>
    <row r="185" spans="11:11" x14ac:dyDescent="0.2">
      <c r="K185" s="30"/>
    </row>
    <row r="186" spans="11:11" x14ac:dyDescent="0.2">
      <c r="K186" s="30"/>
    </row>
    <row r="187" spans="11:11" x14ac:dyDescent="0.2">
      <c r="K187" s="30"/>
    </row>
    <row r="188" spans="11:11" x14ac:dyDescent="0.2">
      <c r="K188" s="30"/>
    </row>
  </sheetData>
  <mergeCells count="9">
    <mergeCell ref="A60:B60"/>
    <mergeCell ref="A2:K2"/>
    <mergeCell ref="A3:K3"/>
    <mergeCell ref="A7:A8"/>
    <mergeCell ref="A4:K4"/>
    <mergeCell ref="A5:K5"/>
    <mergeCell ref="K7:K8"/>
    <mergeCell ref="I7:J8"/>
    <mergeCell ref="B7:H7"/>
  </mergeCells>
  <phoneticPr fontId="3" type="noConversion"/>
  <pageMargins left="0.19685039370078741" right="7.874015748031496E-2" top="0.98425196850393704" bottom="0.78740157480314965" header="0.51181102362204722" footer="0.51181102362204722"/>
  <pageSetup scale="75" firstPageNumber="0" orientation="portrait" r:id="rId1"/>
  <headerFooter alignWithMargins="0"/>
  <ignoredErrors>
    <ignoredError sqref="D9 F36 D36 F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2">
    <tabColor theme="6" tint="-0.249977111117893"/>
    <pageSetUpPr fitToPage="1"/>
  </sheetPr>
  <dimension ref="A1:P149"/>
  <sheetViews>
    <sheetView showGridLines="0" showZeros="0" workbookViewId="0">
      <selection activeCell="P25" sqref="P25"/>
    </sheetView>
  </sheetViews>
  <sheetFormatPr baseColWidth="10" defaultRowHeight="12.75" x14ac:dyDescent="0.2"/>
  <cols>
    <col min="1" max="1" width="4.85546875" customWidth="1"/>
    <col min="2" max="2" width="32.5703125" customWidth="1"/>
    <col min="3" max="3" width="12.7109375" customWidth="1"/>
    <col min="4" max="4" width="13.28515625" customWidth="1"/>
    <col min="5" max="5" width="11.140625" customWidth="1"/>
    <col min="6" max="6" width="0.28515625" hidden="1" customWidth="1"/>
    <col min="7" max="7" width="12" customWidth="1"/>
    <col min="8" max="8" width="11.85546875" customWidth="1"/>
    <col min="9" max="9" width="12.28515625" customWidth="1"/>
    <col min="10" max="10" width="11" customWidth="1"/>
    <col min="11" max="11" width="13.42578125" hidden="1" customWidth="1"/>
    <col min="12" max="12" width="12.140625" customWidth="1"/>
  </cols>
  <sheetData>
    <row r="1" spans="1:12" ht="20.25" customHeight="1" x14ac:dyDescent="0.25">
      <c r="A1" s="580" t="s">
        <v>388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</row>
    <row r="2" spans="1:12" ht="18.75" customHeight="1" x14ac:dyDescent="0.25">
      <c r="A2" s="580" t="s">
        <v>387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</row>
    <row r="3" spans="1:12" ht="19.899999999999999" customHeight="1" x14ac:dyDescent="0.25">
      <c r="A3" s="581" t="s">
        <v>543</v>
      </c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</row>
    <row r="4" spans="1:12" ht="19.899999999999999" customHeight="1" x14ac:dyDescent="0.25">
      <c r="A4" s="581" t="s">
        <v>555</v>
      </c>
      <c r="B4" s="581"/>
      <c r="C4" s="581"/>
      <c r="D4" s="581"/>
      <c r="E4" s="581"/>
      <c r="F4" s="581"/>
      <c r="G4" s="581"/>
      <c r="H4" s="581"/>
      <c r="I4" s="581"/>
      <c r="J4" s="581"/>
      <c r="K4" s="581"/>
      <c r="L4" s="581"/>
    </row>
    <row r="5" spans="1:12" ht="6" customHeight="1" x14ac:dyDescent="0.2">
      <c r="A5" s="630"/>
      <c r="B5" s="630"/>
      <c r="C5" s="630"/>
      <c r="D5" s="630"/>
      <c r="E5" s="630"/>
      <c r="F5" s="630"/>
      <c r="G5" s="630"/>
      <c r="H5" s="630"/>
      <c r="I5" s="630"/>
      <c r="J5" s="630"/>
      <c r="K5" s="630"/>
      <c r="L5" s="630"/>
    </row>
    <row r="6" spans="1:12" ht="19.899999999999999" customHeight="1" x14ac:dyDescent="0.2">
      <c r="A6" s="636" t="s">
        <v>378</v>
      </c>
      <c r="B6" s="639" t="s">
        <v>0</v>
      </c>
      <c r="C6" s="642" t="s">
        <v>31</v>
      </c>
      <c r="D6" s="643"/>
      <c r="E6" s="644"/>
      <c r="F6" s="631" t="s">
        <v>86</v>
      </c>
      <c r="G6" s="626" t="s">
        <v>498</v>
      </c>
      <c r="H6" s="631" t="s">
        <v>492</v>
      </c>
      <c r="I6" s="631" t="s">
        <v>75</v>
      </c>
      <c r="J6" s="648" t="s">
        <v>307</v>
      </c>
      <c r="K6" s="649"/>
      <c r="L6" s="633" t="s">
        <v>380</v>
      </c>
    </row>
    <row r="7" spans="1:12" ht="6" customHeight="1" x14ac:dyDescent="0.2">
      <c r="A7" s="637"/>
      <c r="B7" s="640"/>
      <c r="C7" s="645"/>
      <c r="D7" s="646"/>
      <c r="E7" s="647"/>
      <c r="F7" s="627"/>
      <c r="G7" s="627"/>
      <c r="H7" s="627"/>
      <c r="I7" s="627"/>
      <c r="J7" s="650"/>
      <c r="K7" s="651"/>
      <c r="L7" s="634"/>
    </row>
    <row r="8" spans="1:12" ht="19.899999999999999" customHeight="1" x14ac:dyDescent="0.2">
      <c r="A8" s="638"/>
      <c r="B8" s="641"/>
      <c r="C8" s="342" t="s">
        <v>87</v>
      </c>
      <c r="D8" s="342" t="s">
        <v>12</v>
      </c>
      <c r="E8" s="342" t="s">
        <v>2</v>
      </c>
      <c r="F8" s="343" t="s">
        <v>36</v>
      </c>
      <c r="G8" s="628"/>
      <c r="H8" s="632"/>
      <c r="I8" s="632"/>
      <c r="J8" s="652"/>
      <c r="K8" s="653"/>
      <c r="L8" s="635"/>
    </row>
    <row r="9" spans="1:12" ht="19.899999999999999" customHeight="1" x14ac:dyDescent="0.2">
      <c r="A9" s="344" t="s">
        <v>88</v>
      </c>
      <c r="B9" s="345" t="s">
        <v>89</v>
      </c>
      <c r="C9" s="346">
        <f t="shared" ref="C9" si="0">SUM(C10+C14+C15+C16+C17+C18+C19)</f>
        <v>125299729</v>
      </c>
      <c r="D9" s="346">
        <f>SUM(D10+D14+D15+D16+D17+D18+D19)</f>
        <v>124924729</v>
      </c>
      <c r="E9" s="346">
        <f t="shared" ref="E9:G9" si="1">SUM(E10+E14+E15+E16+E17+E18+E19)</f>
        <v>32661571</v>
      </c>
      <c r="F9" s="346">
        <f t="shared" si="1"/>
        <v>10309773.470000001</v>
      </c>
      <c r="G9" s="346">
        <f t="shared" si="1"/>
        <v>24726264.399999999</v>
      </c>
      <c r="H9" s="346">
        <f>SUM(H10+H14+H15+H16+H17+H18+H19)+1</f>
        <v>21635454.079999998</v>
      </c>
      <c r="I9" s="346">
        <f>SUM(I10+I14+I15+I16+I17+I18+I19)</f>
        <v>23490298.18</v>
      </c>
      <c r="J9" s="346">
        <f>+E9-G9</f>
        <v>7935306.6000000015</v>
      </c>
      <c r="K9" s="346">
        <f>+D9-G9</f>
        <v>100198464.59999999</v>
      </c>
      <c r="L9" s="347">
        <f>+'C-A6'!L11</f>
        <v>75.704455244972749</v>
      </c>
    </row>
    <row r="10" spans="1:12" ht="15" customHeight="1" x14ac:dyDescent="0.2">
      <c r="A10" s="348" t="s">
        <v>90</v>
      </c>
      <c r="B10" s="349" t="s">
        <v>91</v>
      </c>
      <c r="C10" s="350">
        <f>SUM(C11:C13)</f>
        <v>83395405</v>
      </c>
      <c r="D10" s="350">
        <f>+D11+D12+D13</f>
        <v>83138965</v>
      </c>
      <c r="E10" s="350">
        <f>SUM(E11:E13)</f>
        <v>21382191</v>
      </c>
      <c r="F10" s="350">
        <f>SUM(F11:F13)</f>
        <v>5896243.7300000004</v>
      </c>
      <c r="G10" s="350">
        <f>SUM(G11:G13)</f>
        <v>16175041.43</v>
      </c>
      <c r="H10" s="196">
        <f>+H11+H12+H13</f>
        <v>16175041.43</v>
      </c>
      <c r="I10" s="350">
        <f>SUM(I11:I13)</f>
        <v>16175041.43</v>
      </c>
      <c r="J10" s="350">
        <f>+E10-G10</f>
        <v>5207149.57</v>
      </c>
      <c r="K10" s="350">
        <f>+D10-G10</f>
        <v>66963923.57</v>
      </c>
      <c r="L10" s="351">
        <f>+'C-A6'!L12</f>
        <v>23.025554116507518</v>
      </c>
    </row>
    <row r="11" spans="1:12" ht="15" customHeight="1" x14ac:dyDescent="0.2">
      <c r="A11" s="352" t="s">
        <v>92</v>
      </c>
      <c r="B11" s="353" t="s">
        <v>91</v>
      </c>
      <c r="C11" s="354">
        <f>+'C-A6'!C13</f>
        <v>71073045</v>
      </c>
      <c r="D11" s="354">
        <f>+'C-A6'!D13</f>
        <v>70530045</v>
      </c>
      <c r="E11" s="354">
        <f>+'C-A6'!E13</f>
        <v>16999910</v>
      </c>
      <c r="F11" s="354">
        <f>+'C-A6'!F13</f>
        <v>5046850.6500000004</v>
      </c>
      <c r="G11" s="354">
        <f>+'C-A6'!G13</f>
        <v>14901248.48</v>
      </c>
      <c r="H11" s="354">
        <f>+'C-A6'!H13</f>
        <v>14901248.48</v>
      </c>
      <c r="I11" s="354">
        <f>+'C-A6'!I13</f>
        <v>14901248.48</v>
      </c>
      <c r="J11" s="354">
        <f>+'C-A6'!J13</f>
        <v>2098661.5199999996</v>
      </c>
      <c r="K11" s="354">
        <f>+'C-A6'!K13</f>
        <v>55628796.519999996</v>
      </c>
      <c r="L11" s="355">
        <f>+'C-A6'!L13</f>
        <v>87.654866878707011</v>
      </c>
    </row>
    <row r="12" spans="1:12" ht="15" customHeight="1" x14ac:dyDescent="0.2">
      <c r="A12" s="352" t="s">
        <v>93</v>
      </c>
      <c r="B12" s="353" t="s">
        <v>94</v>
      </c>
      <c r="C12" s="354">
        <f>+'C-A6'!C14</f>
        <v>3944236</v>
      </c>
      <c r="D12" s="354">
        <f>+'C-A6'!D14</f>
        <v>3944236</v>
      </c>
      <c r="E12" s="354">
        <f>+'C-A6'!E14</f>
        <v>966423</v>
      </c>
      <c r="F12" s="354">
        <f>+'C-A6'!F14</f>
        <v>249706.71</v>
      </c>
      <c r="G12" s="354">
        <f>+'C-A6'!G14</f>
        <v>614414.1</v>
      </c>
      <c r="H12" s="354">
        <f>+'C-A6'!H14</f>
        <v>614414.1</v>
      </c>
      <c r="I12" s="354">
        <f>+'C-A6'!I14</f>
        <v>614414.1</v>
      </c>
      <c r="J12" s="354">
        <f>+'C-A6'!J14</f>
        <v>352008.9</v>
      </c>
      <c r="K12" s="354">
        <f>+'C-A6'!K14</f>
        <v>3329821.9</v>
      </c>
      <c r="L12" s="355">
        <f>+'C-A6'!L14</f>
        <v>63.576104873331865</v>
      </c>
    </row>
    <row r="13" spans="1:12" ht="15" customHeight="1" x14ac:dyDescent="0.2">
      <c r="A13" s="352" t="s">
        <v>95</v>
      </c>
      <c r="B13" s="353" t="s">
        <v>96</v>
      </c>
      <c r="C13" s="354">
        <f>+'C-A6'!C15</f>
        <v>8378124</v>
      </c>
      <c r="D13" s="354">
        <f>+'C-A6'!D15</f>
        <v>8664684</v>
      </c>
      <c r="E13" s="354">
        <f>+'C-A6'!E15</f>
        <v>3415858</v>
      </c>
      <c r="F13" s="354">
        <f>+'C-A6'!F15</f>
        <v>599686.37</v>
      </c>
      <c r="G13" s="354">
        <f>+'C-A6'!G15</f>
        <v>659378.85</v>
      </c>
      <c r="H13" s="354">
        <f>+'C-A6'!H15</f>
        <v>659378.85</v>
      </c>
      <c r="I13" s="354">
        <f>+'C-A6'!I15</f>
        <v>659378.85</v>
      </c>
      <c r="J13" s="354">
        <f>+'C-A6'!J15</f>
        <v>2756479.15</v>
      </c>
      <c r="K13" s="354">
        <f>+'C-A6'!K15</f>
        <v>8005305.1500000004</v>
      </c>
      <c r="L13" s="355">
        <f>+'C-A6'!L15</f>
        <v>19.303461970608847</v>
      </c>
    </row>
    <row r="14" spans="1:12" ht="15" customHeight="1" x14ac:dyDescent="0.2">
      <c r="A14" s="352" t="s">
        <v>97</v>
      </c>
      <c r="B14" s="353" t="s">
        <v>98</v>
      </c>
      <c r="C14" s="354">
        <f>+'C-A6'!C16</f>
        <v>17439165</v>
      </c>
      <c r="D14" s="354">
        <f>+'C-A6'!D16</f>
        <v>17439165</v>
      </c>
      <c r="E14" s="354">
        <f>+'C-A6'!E16</f>
        <v>3950201</v>
      </c>
      <c r="F14" s="354">
        <f>+'C-A6'!F16</f>
        <v>1152425.03</v>
      </c>
      <c r="G14" s="354">
        <f>+'C-A6'!G16</f>
        <v>3414536.6300000004</v>
      </c>
      <c r="H14" s="354">
        <f>+'C-A6'!H16</f>
        <v>3415285.83</v>
      </c>
      <c r="I14" s="354">
        <f>+'C-A6'!I16</f>
        <v>3414536.33</v>
      </c>
      <c r="J14" s="354">
        <f>+'C-A6'!J16</f>
        <v>535664.36999999965</v>
      </c>
      <c r="K14" s="354">
        <f>+'C-A6'!K16</f>
        <v>14024628.369999999</v>
      </c>
      <c r="L14" s="355">
        <f>+'C-A6'!L16</f>
        <v>86.439566746097242</v>
      </c>
    </row>
    <row r="15" spans="1:12" ht="15" customHeight="1" x14ac:dyDescent="0.2">
      <c r="A15" s="352" t="s">
        <v>104</v>
      </c>
      <c r="B15" s="353" t="s">
        <v>105</v>
      </c>
      <c r="C15" s="354">
        <f>+'C-A6'!C20</f>
        <v>228000</v>
      </c>
      <c r="D15" s="354">
        <f>+'C-A6'!D20</f>
        <v>228000</v>
      </c>
      <c r="E15" s="354">
        <f>+'C-A6'!E20</f>
        <v>57000</v>
      </c>
      <c r="F15" s="354">
        <f>+'C-A6'!F20</f>
        <v>20150</v>
      </c>
      <c r="G15" s="354">
        <f>+'C-A6'!G20</f>
        <v>53550</v>
      </c>
      <c r="H15" s="354">
        <f>+'C-A6'!H20</f>
        <v>53550</v>
      </c>
      <c r="I15" s="354">
        <f>+'C-A6'!I20</f>
        <v>53550</v>
      </c>
      <c r="J15" s="354">
        <f>+'C-A6'!J20</f>
        <v>3450</v>
      </c>
      <c r="K15" s="354">
        <f>+'C-A6'!K20</f>
        <v>174450</v>
      </c>
      <c r="L15" s="355">
        <f>+'C-A6'!L20</f>
        <v>93.94736842105263</v>
      </c>
    </row>
    <row r="16" spans="1:12" ht="15" customHeight="1" x14ac:dyDescent="0.2">
      <c r="A16" s="352" t="s">
        <v>106</v>
      </c>
      <c r="B16" s="353" t="s">
        <v>107</v>
      </c>
      <c r="C16" s="354">
        <f>+'C-A6'!C21</f>
        <v>8407425</v>
      </c>
      <c r="D16" s="354">
        <f>+'C-A6'!D21</f>
        <v>8120865</v>
      </c>
      <c r="E16" s="354">
        <f>+'C-A6'!E21</f>
        <v>2515923</v>
      </c>
      <c r="F16" s="354">
        <f>+'C-A6'!F21</f>
        <v>1991575.82</v>
      </c>
      <c r="G16" s="354">
        <f>+'C-A6'!G21</f>
        <v>1991575.82</v>
      </c>
      <c r="H16" s="354">
        <f>+'C-A6'!H21</f>
        <v>1991575.82</v>
      </c>
      <c r="I16" s="354">
        <f>+'C-A6'!I21</f>
        <v>1991575.82</v>
      </c>
      <c r="J16" s="354">
        <f>+'C-A6'!J21</f>
        <v>524347.17999999993</v>
      </c>
      <c r="K16" s="354">
        <f>+'C-A6'!K21</f>
        <v>6129289.1799999997</v>
      </c>
      <c r="L16" s="355" t="str">
        <f>+'C-A6'!L21</f>
        <v xml:space="preserve"> </v>
      </c>
    </row>
    <row r="17" spans="1:12" ht="15" customHeight="1" x14ac:dyDescent="0.2">
      <c r="A17" s="352" t="s">
        <v>108</v>
      </c>
      <c r="B17" s="353" t="s">
        <v>109</v>
      </c>
      <c r="C17" s="354">
        <f>+'C-A6'!C22</f>
        <v>15829734</v>
      </c>
      <c r="D17" s="354">
        <f>+'C-A6'!D22</f>
        <v>15779734</v>
      </c>
      <c r="E17" s="354">
        <f>+'C-A6'!E22</f>
        <v>4538256</v>
      </c>
      <c r="F17" s="354">
        <f>+'C-A6'!F22</f>
        <v>1249378.8899999999</v>
      </c>
      <c r="G17" s="354">
        <f>+'C-A6'!G22</f>
        <v>3090349.41</v>
      </c>
      <c r="H17" s="354">
        <f>+'C-A6'!H22</f>
        <v>0</v>
      </c>
      <c r="I17" s="354">
        <f>+'C-A6'!I22</f>
        <v>1854550.5899999999</v>
      </c>
      <c r="J17" s="354">
        <f>+'C-A6'!J22</f>
        <v>1447906.5899999999</v>
      </c>
      <c r="K17" s="354">
        <f>+'C-A6'!K22</f>
        <v>12689384.59</v>
      </c>
      <c r="L17" s="355">
        <f>+'C-A6'!L22</f>
        <v>68.095528546648751</v>
      </c>
    </row>
    <row r="18" spans="1:12" ht="15" customHeight="1" x14ac:dyDescent="0.2">
      <c r="A18" s="352" t="s">
        <v>118</v>
      </c>
      <c r="B18" s="353" t="s">
        <v>119</v>
      </c>
      <c r="C18" s="354">
        <f>+'C-A6'!C27</f>
        <v>0</v>
      </c>
      <c r="D18" s="354">
        <v>0</v>
      </c>
      <c r="E18" s="354">
        <f>+'C-A6'!E27</f>
        <v>0</v>
      </c>
      <c r="F18" s="354">
        <f>+'C-A6'!F27</f>
        <v>0</v>
      </c>
      <c r="G18" s="354">
        <f>+'C-A6'!G27</f>
        <v>0</v>
      </c>
      <c r="H18" s="354">
        <f>+'C-A6'!H23</f>
        <v>0</v>
      </c>
      <c r="I18" s="354">
        <f>+'C-A6'!I27</f>
        <v>0</v>
      </c>
      <c r="J18" s="354">
        <f>+'C-A6'!J27</f>
        <v>0</v>
      </c>
      <c r="K18" s="354" t="e">
        <f>+'C-A6'!K27</f>
        <v>#REF!</v>
      </c>
      <c r="L18" s="355">
        <f>+'C-A6'!L27</f>
        <v>0</v>
      </c>
    </row>
    <row r="19" spans="1:12" ht="15" customHeight="1" x14ac:dyDescent="0.2">
      <c r="A19" s="352" t="s">
        <v>120</v>
      </c>
      <c r="B19" s="353" t="s">
        <v>121</v>
      </c>
      <c r="C19" s="354">
        <f>+'C-A6'!C29</f>
        <v>0</v>
      </c>
      <c r="D19" s="354">
        <f>+'C-A6'!D29</f>
        <v>218000</v>
      </c>
      <c r="E19" s="354">
        <f>+'C-A6'!E29</f>
        <v>218000</v>
      </c>
      <c r="F19" s="354">
        <f>+'C-A6'!F29</f>
        <v>0</v>
      </c>
      <c r="G19" s="354">
        <f>+'C-A6'!G29</f>
        <v>1211.1099999999999</v>
      </c>
      <c r="H19" s="354">
        <f>+'C-A6'!H24</f>
        <v>0</v>
      </c>
      <c r="I19" s="354">
        <f>+'C-A6'!I29</f>
        <v>1044.01</v>
      </c>
      <c r="J19" s="354">
        <f>+'C-A6'!J29</f>
        <v>216788.89</v>
      </c>
      <c r="K19" s="354">
        <f>+'C-A6'!K29</f>
        <v>216788.89</v>
      </c>
      <c r="L19" s="355">
        <f>+'C-A6'!L24</f>
        <v>73.200968070609861</v>
      </c>
    </row>
    <row r="20" spans="1:12" ht="15" customHeight="1" x14ac:dyDescent="0.2">
      <c r="A20" s="352"/>
      <c r="B20" s="353"/>
      <c r="C20" s="354"/>
      <c r="D20" s="354"/>
      <c r="E20" s="354"/>
      <c r="F20" s="354"/>
      <c r="G20" s="354"/>
      <c r="H20" s="356"/>
      <c r="I20" s="354"/>
      <c r="J20" s="354"/>
      <c r="K20" s="354"/>
      <c r="L20" s="355"/>
    </row>
    <row r="21" spans="1:12" ht="19.899999999999999" customHeight="1" x14ac:dyDescent="0.2">
      <c r="A21" s="357" t="s">
        <v>125</v>
      </c>
      <c r="B21" s="358" t="s">
        <v>126</v>
      </c>
      <c r="C21" s="359">
        <f>SUM(C22:C31)</f>
        <v>7951962</v>
      </c>
      <c r="D21" s="359">
        <f>D22+D23+D24++D25+D26+D28+D29+D30+D31+D27</f>
        <v>7524862</v>
      </c>
      <c r="E21" s="359">
        <f>SUM(E22:E31)</f>
        <v>3833940</v>
      </c>
      <c r="F21" s="359">
        <f>F22+F23+F24++F25+F26+F28+F29+F30+F31+F27</f>
        <v>883390.25999999978</v>
      </c>
      <c r="G21" s="359">
        <f>G22+G23+G24++G25+G26+G28+G29+G30+G31+G27</f>
        <v>1354803.06</v>
      </c>
      <c r="H21" s="360">
        <f>SUM(H22:H31)</f>
        <v>664091.17999999993</v>
      </c>
      <c r="I21" s="359">
        <f>I22+I23+I24++I25+I26+I28+I29+I30+I31+I27</f>
        <v>599272.81000000006</v>
      </c>
      <c r="J21" s="359">
        <f t="shared" ref="J21:J31" si="2">+E21-G21</f>
        <v>2479136.94</v>
      </c>
      <c r="K21" s="359">
        <f t="shared" ref="K21:K31" si="3">+D21-G21</f>
        <v>6170058.9399999995</v>
      </c>
      <c r="L21" s="361">
        <f t="shared" ref="L21:L31" si="4">+G21*100/E21</f>
        <v>35.337096042191583</v>
      </c>
    </row>
    <row r="22" spans="1:12" ht="15" customHeight="1" x14ac:dyDescent="0.2">
      <c r="A22" s="352">
        <v>100</v>
      </c>
      <c r="B22" s="353" t="s">
        <v>127</v>
      </c>
      <c r="C22" s="354">
        <f>+'C-A6'!C38</f>
        <v>151437</v>
      </c>
      <c r="D22" s="354">
        <f>+'C-A6'!D38</f>
        <v>142337</v>
      </c>
      <c r="E22" s="354">
        <f>+'C-A6'!E38</f>
        <v>99337</v>
      </c>
      <c r="F22" s="354">
        <f>+'C-A6'!F38</f>
        <v>3997.52</v>
      </c>
      <c r="G22" s="354">
        <f>+'C-A6'!G38</f>
        <v>19845.62</v>
      </c>
      <c r="H22" s="354">
        <f>+'C-A6'!H38</f>
        <v>7347.1</v>
      </c>
      <c r="I22" s="354">
        <f>+'C-A6'!I38</f>
        <v>126.26</v>
      </c>
      <c r="J22" s="354">
        <f t="shared" si="2"/>
        <v>79491.38</v>
      </c>
      <c r="K22" s="354">
        <f t="shared" si="3"/>
        <v>122491.38</v>
      </c>
      <c r="L22" s="362">
        <f t="shared" si="4"/>
        <v>19.978074634828914</v>
      </c>
    </row>
    <row r="23" spans="1:12" ht="15" customHeight="1" x14ac:dyDescent="0.2">
      <c r="A23" s="363" t="s">
        <v>140</v>
      </c>
      <c r="B23" s="354" t="s">
        <v>141</v>
      </c>
      <c r="C23" s="354">
        <f>+'C-A6'!C45</f>
        <v>3352943</v>
      </c>
      <c r="D23" s="354">
        <f>+'C-A6'!D45</f>
        <v>3611443</v>
      </c>
      <c r="E23" s="354">
        <f>+'C-A6'!E45</f>
        <v>1321123</v>
      </c>
      <c r="F23" s="354">
        <f>+'C-A6'!F45</f>
        <v>618807.72</v>
      </c>
      <c r="G23" s="354">
        <f>+'C-A6'!G45</f>
        <v>921513.22</v>
      </c>
      <c r="H23" s="354">
        <f>+'C-A6'!H45</f>
        <v>527599.12</v>
      </c>
      <c r="I23" s="354">
        <f>+'C-A6'!I45</f>
        <v>507909.64</v>
      </c>
      <c r="J23" s="354">
        <f t="shared" si="2"/>
        <v>399609.78</v>
      </c>
      <c r="K23" s="354">
        <f t="shared" si="3"/>
        <v>2689929.7800000003</v>
      </c>
      <c r="L23" s="362">
        <f t="shared" si="4"/>
        <v>69.75226530762086</v>
      </c>
    </row>
    <row r="24" spans="1:12" ht="15" customHeight="1" x14ac:dyDescent="0.2">
      <c r="A24" s="363" t="s">
        <v>152</v>
      </c>
      <c r="B24" s="354" t="s">
        <v>153</v>
      </c>
      <c r="C24" s="354">
        <f>+'C-A6'!C54</f>
        <v>87500</v>
      </c>
      <c r="D24" s="354">
        <f>+'C-A6'!D54</f>
        <v>27900</v>
      </c>
      <c r="E24" s="354">
        <f>+'C-A6'!E54</f>
        <v>27900</v>
      </c>
      <c r="F24" s="354">
        <f>+'C-A6'!F54</f>
        <v>6757.07</v>
      </c>
      <c r="G24" s="354">
        <f>+'C-A6'!G54</f>
        <v>8531.7999999999993</v>
      </c>
      <c r="H24" s="354">
        <f>+'C-A6'!H54</f>
        <v>558.36</v>
      </c>
      <c r="I24" s="354">
        <f>+'C-A6'!I54</f>
        <v>274.73</v>
      </c>
      <c r="J24" s="354">
        <f t="shared" si="2"/>
        <v>19368.2</v>
      </c>
      <c r="K24" s="354">
        <f t="shared" si="3"/>
        <v>19368.2</v>
      </c>
      <c r="L24" s="362">
        <f t="shared" si="4"/>
        <v>30.579928315412182</v>
      </c>
    </row>
    <row r="25" spans="1:12" ht="15" customHeight="1" x14ac:dyDescent="0.2">
      <c r="A25" s="363" t="s">
        <v>154</v>
      </c>
      <c r="B25" s="354" t="s">
        <v>155</v>
      </c>
      <c r="C25" s="354">
        <f>+'C-A6'!C55</f>
        <v>163284</v>
      </c>
      <c r="D25" s="354">
        <f>+'C-A6'!D55</f>
        <v>56184</v>
      </c>
      <c r="E25" s="354">
        <f>+'C-A6'!E55</f>
        <v>56184</v>
      </c>
      <c r="F25" s="354">
        <f>+'C-A6'!F55</f>
        <v>3048.86</v>
      </c>
      <c r="G25" s="354">
        <f>+'C-A6'!G55</f>
        <v>6072.68</v>
      </c>
      <c r="H25" s="354">
        <f>+'C-A6'!H55</f>
        <v>3023.82</v>
      </c>
      <c r="I25" s="354">
        <f>+'C-A6'!I55</f>
        <v>3023.82</v>
      </c>
      <c r="J25" s="354">
        <f t="shared" si="2"/>
        <v>50111.32</v>
      </c>
      <c r="K25" s="354">
        <f t="shared" si="3"/>
        <v>50111.32</v>
      </c>
      <c r="L25" s="362">
        <f t="shared" si="4"/>
        <v>10.808557596468745</v>
      </c>
    </row>
    <row r="26" spans="1:12" ht="15" customHeight="1" x14ac:dyDescent="0.2">
      <c r="A26" s="363" t="s">
        <v>158</v>
      </c>
      <c r="B26" s="354" t="s">
        <v>159</v>
      </c>
      <c r="C26" s="354">
        <f>+'C-A6'!C58</f>
        <v>981486</v>
      </c>
      <c r="D26" s="354">
        <f>+'C-A6'!D58</f>
        <v>588486</v>
      </c>
      <c r="E26" s="354">
        <f>+'C-A6'!E58</f>
        <v>222262</v>
      </c>
      <c r="F26" s="354">
        <f>+'C-A6'!F58</f>
        <v>35432</v>
      </c>
      <c r="G26" s="354">
        <f>+'C-A6'!G58</f>
        <v>70878</v>
      </c>
      <c r="H26" s="354">
        <f>+'C-A6'!H58</f>
        <v>70878</v>
      </c>
      <c r="I26" s="354">
        <f>+'C-A6'!I58</f>
        <v>68630</v>
      </c>
      <c r="J26" s="354">
        <f t="shared" si="2"/>
        <v>151384</v>
      </c>
      <c r="K26" s="354">
        <f t="shared" si="3"/>
        <v>517608</v>
      </c>
      <c r="L26" s="362">
        <f t="shared" si="4"/>
        <v>31.889391798868001</v>
      </c>
    </row>
    <row r="27" spans="1:12" ht="15" customHeight="1" x14ac:dyDescent="0.2">
      <c r="A27" s="363" t="s">
        <v>165</v>
      </c>
      <c r="B27" s="354" t="s">
        <v>166</v>
      </c>
      <c r="C27" s="354">
        <f>+'C-A6'!C62</f>
        <v>448811</v>
      </c>
      <c r="D27" s="354">
        <f>+'C-A6'!D62</f>
        <v>340511</v>
      </c>
      <c r="E27" s="354">
        <f>+'C-A6'!E62</f>
        <v>209240</v>
      </c>
      <c r="F27" s="354">
        <f>+'C-A6'!F62</f>
        <v>7043.8200000000006</v>
      </c>
      <c r="G27" s="354">
        <f>+'C-A6'!G62</f>
        <v>14003.79</v>
      </c>
      <c r="H27" s="354">
        <f>+'C-A6'!H62</f>
        <v>10193.56</v>
      </c>
      <c r="I27" s="354">
        <f>+'C-A6'!I62</f>
        <v>8883.2900000000009</v>
      </c>
      <c r="J27" s="354">
        <f t="shared" si="2"/>
        <v>195236.21</v>
      </c>
      <c r="K27" s="354">
        <f t="shared" si="3"/>
        <v>326507.21000000002</v>
      </c>
      <c r="L27" s="362">
        <f t="shared" si="4"/>
        <v>6.6926926017969794</v>
      </c>
    </row>
    <row r="28" spans="1:12" ht="15" customHeight="1" x14ac:dyDescent="0.2">
      <c r="A28" s="352">
        <v>160</v>
      </c>
      <c r="B28" s="354" t="s">
        <v>171</v>
      </c>
      <c r="C28" s="354">
        <f>+'C-A6'!C67</f>
        <v>1451047</v>
      </c>
      <c r="D28" s="354">
        <f>+'C-A6'!D67</f>
        <v>1612847</v>
      </c>
      <c r="E28" s="354">
        <f>+'C-A6'!E67</f>
        <v>1040642</v>
      </c>
      <c r="F28" s="354">
        <f>+'C-A6'!F67</f>
        <v>167110.47999999998</v>
      </c>
      <c r="G28" s="354">
        <f>+'C-A6'!G67</f>
        <v>219496.63999999998</v>
      </c>
      <c r="H28" s="354">
        <f>+'C-A6'!H67</f>
        <v>17431.080000000002</v>
      </c>
      <c r="I28" s="354">
        <f>+'C-A6'!I67</f>
        <v>3478.09</v>
      </c>
      <c r="J28" s="354">
        <f t="shared" si="2"/>
        <v>821145.36</v>
      </c>
      <c r="K28" s="354">
        <f t="shared" si="3"/>
        <v>1393350.36</v>
      </c>
      <c r="L28" s="362">
        <f t="shared" si="4"/>
        <v>21.092425637250852</v>
      </c>
    </row>
    <row r="29" spans="1:12" ht="15" customHeight="1" x14ac:dyDescent="0.2">
      <c r="A29" s="364">
        <v>170</v>
      </c>
      <c r="B29" s="365" t="s">
        <v>339</v>
      </c>
      <c r="C29" s="354">
        <f>+'C-A6'!C73</f>
        <v>305833</v>
      </c>
      <c r="D29" s="354">
        <f>+'C-A6'!D73</f>
        <v>305833</v>
      </c>
      <c r="E29" s="354">
        <f>+'C-A6'!E73</f>
        <v>129176</v>
      </c>
      <c r="F29" s="354">
        <f>+'C-A6'!F73</f>
        <v>5017</v>
      </c>
      <c r="G29" s="354">
        <f>+'C-A6'!G73</f>
        <v>14883.76</v>
      </c>
      <c r="H29" s="354">
        <f>+'C-A6'!H73</f>
        <v>5538.76</v>
      </c>
      <c r="I29" s="354">
        <f>+'C-A6'!I73</f>
        <v>0</v>
      </c>
      <c r="J29" s="354">
        <f t="shared" si="2"/>
        <v>114292.24</v>
      </c>
      <c r="K29" s="354">
        <f t="shared" si="3"/>
        <v>290949.24</v>
      </c>
      <c r="L29" s="362">
        <f t="shared" si="4"/>
        <v>11.522078404657211</v>
      </c>
    </row>
    <row r="30" spans="1:12" ht="15.75" customHeight="1" x14ac:dyDescent="0.2">
      <c r="A30" s="363" t="s">
        <v>179</v>
      </c>
      <c r="B30" s="353" t="s">
        <v>180</v>
      </c>
      <c r="C30" s="354">
        <f>+'C-A6'!C76</f>
        <v>1009621</v>
      </c>
      <c r="D30" s="354">
        <f>+'C-A6'!D76</f>
        <v>797021</v>
      </c>
      <c r="E30" s="354">
        <f>+'C-A6'!E76</f>
        <v>685776</v>
      </c>
      <c r="F30" s="354">
        <f>+'C-A6'!F76</f>
        <v>31224.949999999997</v>
      </c>
      <c r="G30" s="354">
        <f>+'C-A6'!G76</f>
        <v>74289.549999999988</v>
      </c>
      <c r="H30" s="354">
        <f>+'C-A6'!H76</f>
        <v>16233.380000000001</v>
      </c>
      <c r="I30" s="354">
        <f>+'C-A6'!I76</f>
        <v>3092.42</v>
      </c>
      <c r="J30" s="354">
        <f t="shared" si="2"/>
        <v>611486.44999999995</v>
      </c>
      <c r="K30" s="354">
        <f t="shared" si="3"/>
        <v>722731.45</v>
      </c>
      <c r="L30" s="362">
        <f t="shared" si="4"/>
        <v>10.832917745736216</v>
      </c>
    </row>
    <row r="31" spans="1:12" ht="15" customHeight="1" x14ac:dyDescent="0.2">
      <c r="A31" s="366">
        <v>190</v>
      </c>
      <c r="B31" s="353" t="s">
        <v>184</v>
      </c>
      <c r="C31" s="354">
        <f>+'C-A6'!C83</f>
        <v>0</v>
      </c>
      <c r="D31" s="354">
        <f>+'C-A6'!D83</f>
        <v>42300</v>
      </c>
      <c r="E31" s="354">
        <f>+'C-A6'!E83</f>
        <v>42300</v>
      </c>
      <c r="F31" s="354">
        <f>+'C-A6'!F83</f>
        <v>4950.84</v>
      </c>
      <c r="G31" s="354">
        <f>+'C-A6'!G83</f>
        <v>5288</v>
      </c>
      <c r="H31" s="354">
        <f>+'C-A6'!H83</f>
        <v>5288</v>
      </c>
      <c r="I31" s="354">
        <f>+'C-A6'!I83</f>
        <v>3854.56</v>
      </c>
      <c r="J31" s="354">
        <f t="shared" si="2"/>
        <v>37012</v>
      </c>
      <c r="K31" s="354">
        <f t="shared" si="3"/>
        <v>37012</v>
      </c>
      <c r="L31" s="362">
        <f t="shared" si="4"/>
        <v>12.501182033096926</v>
      </c>
    </row>
    <row r="32" spans="1:12" ht="15" customHeight="1" x14ac:dyDescent="0.2">
      <c r="A32" s="352" t="s">
        <v>6</v>
      </c>
      <c r="B32" s="353"/>
      <c r="C32" s="354"/>
      <c r="D32" s="354"/>
      <c r="E32" s="354"/>
      <c r="F32" s="354"/>
      <c r="G32" s="354"/>
      <c r="H32" s="356"/>
      <c r="I32" s="354"/>
      <c r="J32" s="354"/>
      <c r="K32" s="354"/>
      <c r="L32" s="362"/>
    </row>
    <row r="33" spans="1:12" ht="19.899999999999999" customHeight="1" x14ac:dyDescent="0.2">
      <c r="A33" s="344" t="s">
        <v>185</v>
      </c>
      <c r="B33" s="345" t="s">
        <v>186</v>
      </c>
      <c r="C33" s="346">
        <f>+C34+C35+C36+C37+C38+C39+C40+C41+C42+C43</f>
        <v>3342561</v>
      </c>
      <c r="D33" s="346">
        <f>SUM(D34:D43)</f>
        <v>3738561</v>
      </c>
      <c r="E33" s="359">
        <f>SUM(E34:E43)</f>
        <v>3227156</v>
      </c>
      <c r="F33" s="346">
        <f>+F34+F35+F36+F37+F38+F39+F40+F41+F42+F43</f>
        <v>305947.99</v>
      </c>
      <c r="G33" s="346">
        <f>SUM(G34:G43)</f>
        <v>781447.17000000016</v>
      </c>
      <c r="H33" s="359">
        <f>SUM(H34:H43)</f>
        <v>176310.94</v>
      </c>
      <c r="I33" s="346">
        <f>+I34+I35+I36+I37+I38+I39+I40+I41+I42+I43+1</f>
        <v>70602.790000000008</v>
      </c>
      <c r="J33" s="346">
        <f>+E33-G33</f>
        <v>2445708.83</v>
      </c>
      <c r="K33" s="346">
        <f t="shared" ref="K33:K43" si="5">+D33-G33</f>
        <v>2957113.83</v>
      </c>
      <c r="L33" s="367">
        <f t="shared" ref="L33:L43" si="6">+G33*100/E33</f>
        <v>24.21473179480633</v>
      </c>
    </row>
    <row r="34" spans="1:12" ht="15" customHeight="1" x14ac:dyDescent="0.2">
      <c r="A34" s="352" t="s">
        <v>187</v>
      </c>
      <c r="B34" s="353" t="s">
        <v>188</v>
      </c>
      <c r="C34" s="354">
        <f>+'C-A6'!C95</f>
        <v>185018</v>
      </c>
      <c r="D34" s="354">
        <f>+'C-A6'!D95</f>
        <v>143018</v>
      </c>
      <c r="E34" s="354">
        <f>+'C-A6'!E95</f>
        <v>107368</v>
      </c>
      <c r="F34" s="354">
        <f>+'C-A6'!F95</f>
        <v>10999.400000000001</v>
      </c>
      <c r="G34" s="354">
        <f>+'C-A6'!G95</f>
        <v>14199.93</v>
      </c>
      <c r="H34" s="354">
        <f>+'C-A6'!H95</f>
        <v>5492.45</v>
      </c>
      <c r="I34" s="354">
        <f>+'C-A6'!I95</f>
        <v>2548.21</v>
      </c>
      <c r="J34" s="354">
        <f>+'C-A6'!J95</f>
        <v>93168.07</v>
      </c>
      <c r="K34" s="354">
        <f t="shared" si="5"/>
        <v>128818.07</v>
      </c>
      <c r="L34" s="362">
        <f t="shared" si="6"/>
        <v>13.225476864615155</v>
      </c>
    </row>
    <row r="35" spans="1:12" ht="15" customHeight="1" x14ac:dyDescent="0.2">
      <c r="A35" s="363" t="s">
        <v>193</v>
      </c>
      <c r="B35" s="354" t="s">
        <v>194</v>
      </c>
      <c r="C35" s="354">
        <f>+'C-A6'!C98</f>
        <v>196410</v>
      </c>
      <c r="D35" s="354">
        <f>+'C-A6'!D98</f>
        <v>366010</v>
      </c>
      <c r="E35" s="354">
        <f>+'C-A6'!E98</f>
        <v>366010</v>
      </c>
      <c r="F35" s="354">
        <f>+'C-A6'!F98</f>
        <v>22244.639999999999</v>
      </c>
      <c r="G35" s="354">
        <f>+'C-A6'!G98</f>
        <v>27764.78</v>
      </c>
      <c r="H35" s="354">
        <f>+'C-A6'!H98</f>
        <v>8478.09</v>
      </c>
      <c r="I35" s="354">
        <f>+'C-A6'!I98</f>
        <v>705.45</v>
      </c>
      <c r="J35" s="354">
        <f>+'C-A6'!J98</f>
        <v>338245.22</v>
      </c>
      <c r="K35" s="354">
        <f t="shared" si="5"/>
        <v>338245.22</v>
      </c>
      <c r="L35" s="362">
        <f t="shared" si="6"/>
        <v>7.585798202234912</v>
      </c>
    </row>
    <row r="36" spans="1:12" ht="15" customHeight="1" x14ac:dyDescent="0.2">
      <c r="A36" s="363" t="s">
        <v>205</v>
      </c>
      <c r="B36" s="354" t="s">
        <v>206</v>
      </c>
      <c r="C36" s="354">
        <f>+'C-A6'!C104</f>
        <v>661282</v>
      </c>
      <c r="D36" s="354">
        <f>+'C-A6'!D104</f>
        <v>594582</v>
      </c>
      <c r="E36" s="354">
        <f>+'C-A6'!E104</f>
        <v>589735</v>
      </c>
      <c r="F36" s="354">
        <f>+'C-A6'!F104</f>
        <v>27002.030000000002</v>
      </c>
      <c r="G36" s="354">
        <f>+'C-A6'!G104</f>
        <v>269773.86</v>
      </c>
      <c r="H36" s="354">
        <f>+'C-A6'!H104</f>
        <v>31920.71</v>
      </c>
      <c r="I36" s="354">
        <f>+'C-A6'!I104</f>
        <v>13188.13</v>
      </c>
      <c r="J36" s="354">
        <f>+'C-A6'!J104</f>
        <v>319961.14</v>
      </c>
      <c r="K36" s="354">
        <f t="shared" si="5"/>
        <v>324808.14</v>
      </c>
      <c r="L36" s="362">
        <f t="shared" si="6"/>
        <v>45.744929502234051</v>
      </c>
    </row>
    <row r="37" spans="1:12" ht="15" customHeight="1" x14ac:dyDescent="0.2">
      <c r="A37" s="363" t="s">
        <v>214</v>
      </c>
      <c r="B37" s="354" t="s">
        <v>215</v>
      </c>
      <c r="C37" s="354">
        <f>+'C-A6'!C110</f>
        <v>249812</v>
      </c>
      <c r="D37" s="354">
        <f>+'C-A6'!D110</f>
        <v>197812</v>
      </c>
      <c r="E37" s="354">
        <f>+'C-A6'!E110</f>
        <v>135430</v>
      </c>
      <c r="F37" s="354">
        <f>+'C-A6'!F110</f>
        <v>13065.55</v>
      </c>
      <c r="G37" s="354">
        <f>+'C-A6'!G110</f>
        <v>26282.46</v>
      </c>
      <c r="H37" s="354">
        <f>+'C-A6'!H110</f>
        <v>9593.01</v>
      </c>
      <c r="I37" s="354">
        <f>+'C-A6'!I110</f>
        <v>7009.06</v>
      </c>
      <c r="J37" s="354">
        <f>+'C-A6'!J110</f>
        <v>109147.54000000001</v>
      </c>
      <c r="K37" s="354">
        <f t="shared" si="5"/>
        <v>171529.54</v>
      </c>
      <c r="L37" s="362">
        <f t="shared" si="6"/>
        <v>19.406675035073469</v>
      </c>
    </row>
    <row r="38" spans="1:12" ht="15" customHeight="1" x14ac:dyDescent="0.2">
      <c r="A38" s="363" t="s">
        <v>222</v>
      </c>
      <c r="B38" s="354" t="s">
        <v>223</v>
      </c>
      <c r="C38" s="354">
        <f>+'C-A6'!C114</f>
        <v>258848</v>
      </c>
      <c r="D38" s="354">
        <f>+'C-A6'!D114</f>
        <v>229648</v>
      </c>
      <c r="E38" s="354">
        <f>+'C-A6'!E114</f>
        <v>185611</v>
      </c>
      <c r="F38" s="354">
        <f>+'C-A6'!F114</f>
        <v>34713.119999999995</v>
      </c>
      <c r="G38" s="354">
        <f>+'C-A6'!G114</f>
        <v>38954.92</v>
      </c>
      <c r="H38" s="354">
        <f>+'C-A6'!H114</f>
        <v>6268.29</v>
      </c>
      <c r="I38" s="354">
        <f>+'C-A6'!I114</f>
        <v>1879.6399999999999</v>
      </c>
      <c r="J38" s="354">
        <f>+'C-A6'!J114</f>
        <v>146656.08000000002</v>
      </c>
      <c r="K38" s="354">
        <f t="shared" si="5"/>
        <v>190693.08000000002</v>
      </c>
      <c r="L38" s="362">
        <f t="shared" si="6"/>
        <v>20.987398376173825</v>
      </c>
    </row>
    <row r="39" spans="1:12" ht="15" customHeight="1" x14ac:dyDescent="0.2">
      <c r="A39" s="363" t="s">
        <v>234</v>
      </c>
      <c r="B39" s="354" t="s">
        <v>235</v>
      </c>
      <c r="C39" s="354">
        <f>+'C-A6'!C120</f>
        <v>277892</v>
      </c>
      <c r="D39" s="354">
        <f>+'C-A6'!D120</f>
        <v>471792</v>
      </c>
      <c r="E39" s="354">
        <f>+'C-A6'!E120</f>
        <v>414844</v>
      </c>
      <c r="F39" s="354">
        <f>+'C-A6'!F120</f>
        <v>42997.420000000006</v>
      </c>
      <c r="G39" s="354">
        <f>+'C-A6'!G120</f>
        <v>60729.210000000006</v>
      </c>
      <c r="H39" s="354">
        <f>+'C-A6'!H120</f>
        <v>20203.3</v>
      </c>
      <c r="I39" s="354">
        <f>+'C-A6'!I120</f>
        <v>14334.380000000001</v>
      </c>
      <c r="J39" s="354">
        <f>+'C-A6'!J120</f>
        <v>354114.79</v>
      </c>
      <c r="K39" s="354">
        <f t="shared" si="5"/>
        <v>411062.79</v>
      </c>
      <c r="L39" s="362">
        <f t="shared" si="6"/>
        <v>14.639047449161614</v>
      </c>
    </row>
    <row r="40" spans="1:12" ht="15" customHeight="1" x14ac:dyDescent="0.2">
      <c r="A40" s="363" t="s">
        <v>248</v>
      </c>
      <c r="B40" s="354" t="s">
        <v>249</v>
      </c>
      <c r="C40" s="354">
        <f>+'C-A6'!C128</f>
        <v>475695</v>
      </c>
      <c r="D40" s="354">
        <f>+'C-A6'!D128</f>
        <v>615295</v>
      </c>
      <c r="E40" s="354">
        <f>+'C-A6'!E128</f>
        <v>538924</v>
      </c>
      <c r="F40" s="354">
        <f>+'C-A6'!F128</f>
        <v>58499.89</v>
      </c>
      <c r="G40" s="354">
        <f>+'C-A6'!G128</f>
        <v>88484.03</v>
      </c>
      <c r="H40" s="354">
        <f>+'C-A6'!H128</f>
        <v>37848.979999999996</v>
      </c>
      <c r="I40" s="354">
        <f>+'C-A6'!I128</f>
        <v>14399.120000000003</v>
      </c>
      <c r="J40" s="354">
        <f>+'C-A6'!J128</f>
        <v>450439.97</v>
      </c>
      <c r="K40" s="354">
        <f t="shared" si="5"/>
        <v>526810.97</v>
      </c>
      <c r="L40" s="362">
        <f t="shared" si="6"/>
        <v>16.418647156185287</v>
      </c>
    </row>
    <row r="41" spans="1:12" ht="15" customHeight="1" x14ac:dyDescent="0.2">
      <c r="A41" s="363" t="s">
        <v>255</v>
      </c>
      <c r="B41" s="354" t="s">
        <v>256</v>
      </c>
      <c r="C41" s="354">
        <f>+'C-A6'!C134</f>
        <v>829295</v>
      </c>
      <c r="D41" s="354">
        <f>+'C-A6'!D134</f>
        <v>631695</v>
      </c>
      <c r="E41" s="354">
        <f>+'C-A6'!E134</f>
        <v>416721</v>
      </c>
      <c r="F41" s="354">
        <f>+'C-A6'!F134</f>
        <v>46783.799999999996</v>
      </c>
      <c r="G41" s="354">
        <f>+'C-A6'!G134</f>
        <v>172402.91</v>
      </c>
      <c r="H41" s="354">
        <f>+'C-A6'!H134</f>
        <v>34994.04</v>
      </c>
      <c r="I41" s="354">
        <f>+'C-A6'!I134-1</f>
        <v>10938</v>
      </c>
      <c r="J41" s="354">
        <f>+'C-A6'!J134</f>
        <v>244318.09</v>
      </c>
      <c r="K41" s="354">
        <f t="shared" si="5"/>
        <v>459292.08999999997</v>
      </c>
      <c r="L41" s="362">
        <f t="shared" si="6"/>
        <v>41.371303582012906</v>
      </c>
    </row>
    <row r="42" spans="1:12" ht="15.75" customHeight="1" x14ac:dyDescent="0.2">
      <c r="A42" s="363" t="s">
        <v>271</v>
      </c>
      <c r="B42" s="354" t="s">
        <v>272</v>
      </c>
      <c r="C42" s="354">
        <f>+'C-A6'!C143</f>
        <v>208309</v>
      </c>
      <c r="D42" s="354">
        <f>+'C-A6'!D143</f>
        <v>194309</v>
      </c>
      <c r="E42" s="354">
        <f>+'C-A6'!E143</f>
        <v>178113</v>
      </c>
      <c r="F42" s="354">
        <f>+'C-A6'!F143</f>
        <v>49052.14</v>
      </c>
      <c r="G42" s="354">
        <f>+'C-A6'!G143</f>
        <v>82206.570000000007</v>
      </c>
      <c r="H42" s="354">
        <f>+'C-A6'!H143</f>
        <v>20863.57</v>
      </c>
      <c r="I42" s="354">
        <f>+'C-A6'!I143</f>
        <v>5058.8</v>
      </c>
      <c r="J42" s="354">
        <f>+'C-A6'!J143</f>
        <v>95906.43</v>
      </c>
      <c r="K42" s="354">
        <f t="shared" si="5"/>
        <v>112102.43</v>
      </c>
      <c r="L42" s="362">
        <f t="shared" si="6"/>
        <v>46.154166175405507</v>
      </c>
    </row>
    <row r="43" spans="1:12" ht="16.5" customHeight="1" x14ac:dyDescent="0.2">
      <c r="A43" s="352">
        <v>290</v>
      </c>
      <c r="B43" s="354" t="s">
        <v>273</v>
      </c>
      <c r="C43" s="354">
        <f>+'C-A6'!C144</f>
        <v>0</v>
      </c>
      <c r="D43" s="354">
        <f>+'C-A6'!D144</f>
        <v>294400</v>
      </c>
      <c r="E43" s="354">
        <f>+'C-A6'!E144</f>
        <v>294400</v>
      </c>
      <c r="F43" s="354">
        <f>+'C-A6'!F144</f>
        <v>590</v>
      </c>
      <c r="G43" s="354">
        <f>+'C-A6'!G144</f>
        <v>648.5</v>
      </c>
      <c r="H43" s="354">
        <f>+'C-A6'!H144</f>
        <v>648.5</v>
      </c>
      <c r="I43" s="354">
        <f>+'C-A6'!I144</f>
        <v>541</v>
      </c>
      <c r="J43" s="354">
        <f>+E43-G43</f>
        <v>293751.5</v>
      </c>
      <c r="K43" s="354">
        <f t="shared" si="5"/>
        <v>293751.5</v>
      </c>
      <c r="L43" s="362">
        <f t="shared" si="6"/>
        <v>0.22027853260869565</v>
      </c>
    </row>
    <row r="44" spans="1:12" x14ac:dyDescent="0.2">
      <c r="A44" s="352"/>
      <c r="B44" s="354"/>
      <c r="C44" s="354"/>
      <c r="D44" s="354"/>
      <c r="E44" s="354"/>
      <c r="F44" s="354"/>
      <c r="G44" s="354"/>
      <c r="I44" s="354"/>
      <c r="J44" s="354"/>
      <c r="K44" s="354"/>
      <c r="L44" s="362"/>
    </row>
    <row r="45" spans="1:12" ht="19.899999999999999" customHeight="1" x14ac:dyDescent="0.2">
      <c r="A45" s="368">
        <v>4</v>
      </c>
      <c r="B45" s="369" t="s">
        <v>285</v>
      </c>
      <c r="C45" s="369">
        <f>SUM(C46)</f>
        <v>2207914</v>
      </c>
      <c r="D45" s="369">
        <f>SUM(D46:D47)</f>
        <v>2189014</v>
      </c>
      <c r="E45" s="369">
        <f>+E46+E47</f>
        <v>1709458</v>
      </c>
      <c r="F45" s="369">
        <f>+F46+F47</f>
        <v>181401.59</v>
      </c>
      <c r="G45" s="369">
        <f>+G46+G47</f>
        <v>292895</v>
      </c>
      <c r="H45" s="183">
        <f>+H46</f>
        <v>68484.92</v>
      </c>
      <c r="I45" s="369">
        <f>SUM(I46:I47)</f>
        <v>11224.5</v>
      </c>
      <c r="J45" s="369">
        <f>+E45-G45</f>
        <v>1416563</v>
      </c>
      <c r="K45" s="369">
        <f>+D45-G45</f>
        <v>1896119</v>
      </c>
      <c r="L45" s="370">
        <f>+G45*100/E45</f>
        <v>17.133793284187153</v>
      </c>
    </row>
    <row r="46" spans="1:12" ht="14.25" customHeight="1" x14ac:dyDescent="0.2">
      <c r="A46" s="352">
        <v>430</v>
      </c>
      <c r="B46" s="371" t="s">
        <v>286</v>
      </c>
      <c r="C46" s="354">
        <f>+'C-A6'!C156</f>
        <v>2207914</v>
      </c>
      <c r="D46" s="354">
        <f>+'C-A6'!D155</f>
        <v>2189014</v>
      </c>
      <c r="E46" s="354">
        <f>+'C-A6'!E155</f>
        <v>1626108</v>
      </c>
      <c r="F46" s="354">
        <f>+'C-A6'!F155</f>
        <v>177451.59</v>
      </c>
      <c r="G46" s="354">
        <f>+'C-A6'!G156</f>
        <v>288945</v>
      </c>
      <c r="H46" s="354">
        <f>+'C-A6'!H156</f>
        <v>68484.92</v>
      </c>
      <c r="I46" s="354">
        <f>+'C-A6'!I155</f>
        <v>11224.5</v>
      </c>
      <c r="J46" s="354">
        <f>+E46-G46</f>
        <v>1337163</v>
      </c>
      <c r="K46" s="354">
        <f>+D46-G46</f>
        <v>1900069</v>
      </c>
      <c r="L46" s="362">
        <f>+G46*100/E46</f>
        <v>17.769114966533589</v>
      </c>
    </row>
    <row r="47" spans="1:12" ht="15.75" customHeight="1" x14ac:dyDescent="0.2">
      <c r="A47" s="352">
        <v>490</v>
      </c>
      <c r="B47" s="354" t="s">
        <v>288</v>
      </c>
      <c r="C47" s="354">
        <v>0</v>
      </c>
      <c r="D47" s="354">
        <f>+'C-A6'!D157</f>
        <v>0</v>
      </c>
      <c r="E47" s="354">
        <f>+'C-A6'!E157</f>
        <v>83350</v>
      </c>
      <c r="F47" s="354">
        <f>+'C-A6'!F157</f>
        <v>3950</v>
      </c>
      <c r="G47" s="354">
        <f>+'C-A6'!G157</f>
        <v>3950</v>
      </c>
      <c r="I47" s="354">
        <f>+'C-A6'!I157</f>
        <v>0</v>
      </c>
      <c r="J47" s="354">
        <f>+E47-G47</f>
        <v>79400</v>
      </c>
      <c r="K47" s="354">
        <f>+D47-G47</f>
        <v>-3950</v>
      </c>
      <c r="L47" s="362" t="s">
        <v>6</v>
      </c>
    </row>
    <row r="48" spans="1:12" ht="9.6" customHeight="1" x14ac:dyDescent="0.2">
      <c r="A48" s="372"/>
      <c r="B48" s="373"/>
      <c r="C48" s="374"/>
      <c r="D48" s="373"/>
      <c r="E48" s="373"/>
      <c r="F48" s="373"/>
      <c r="G48" s="373"/>
      <c r="H48" s="356"/>
      <c r="I48" s="373"/>
      <c r="J48" s="373"/>
      <c r="K48" s="373"/>
      <c r="L48" s="375"/>
    </row>
    <row r="49" spans="1:16" ht="19.899999999999999" customHeight="1" x14ac:dyDescent="0.2">
      <c r="A49" s="368" t="s">
        <v>290</v>
      </c>
      <c r="B49" s="376" t="s">
        <v>372</v>
      </c>
      <c r="C49" s="369">
        <f t="shared" ref="C49:G49" si="7">SUM(C50:C55)</f>
        <v>2292640</v>
      </c>
      <c r="D49" s="369">
        <f t="shared" si="7"/>
        <v>2717640</v>
      </c>
      <c r="E49" s="369">
        <f t="shared" si="7"/>
        <v>2442840</v>
      </c>
      <c r="F49" s="369">
        <f t="shared" si="7"/>
        <v>27921.29</v>
      </c>
      <c r="G49" s="369">
        <f t="shared" si="7"/>
        <v>41620</v>
      </c>
      <c r="H49" s="179">
        <f>+H50+H52+H54</f>
        <v>21121.78</v>
      </c>
      <c r="I49" s="369">
        <f>SUM(I50:I55)</f>
        <v>21121.78</v>
      </c>
      <c r="J49" s="369">
        <f t="shared" ref="J49:J56" si="8">+E49-G49</f>
        <v>2401220</v>
      </c>
      <c r="K49" s="369">
        <f t="shared" ref="K49:K56" si="9">+D49-G49</f>
        <v>2676020</v>
      </c>
      <c r="L49" s="370">
        <f t="shared" ref="L49:L56" si="10">+G49*100/E49</f>
        <v>1.7037546462314355</v>
      </c>
    </row>
    <row r="50" spans="1:16" ht="15" customHeight="1" x14ac:dyDescent="0.2">
      <c r="A50" s="352" t="s">
        <v>292</v>
      </c>
      <c r="B50" s="353" t="s">
        <v>402</v>
      </c>
      <c r="C50" s="354">
        <f>+'C-A6'!C160</f>
        <v>118164</v>
      </c>
      <c r="D50" s="354">
        <f>+'C-A6'!D160</f>
        <v>118164</v>
      </c>
      <c r="E50" s="354">
        <f>+'C-A6'!E160</f>
        <v>29541</v>
      </c>
      <c r="F50" s="354">
        <f>+'C-A6'!F160</f>
        <v>3373.87</v>
      </c>
      <c r="G50" s="354">
        <f>+'C-A6'!G160</f>
        <v>10121.61</v>
      </c>
      <c r="H50" s="354">
        <f>+'C-A6'!H160</f>
        <v>10121.61</v>
      </c>
      <c r="I50" s="354">
        <f>+'C-A6'!I160</f>
        <v>10121.61</v>
      </c>
      <c r="J50" s="354">
        <f t="shared" si="8"/>
        <v>19419.39</v>
      </c>
      <c r="K50" s="354">
        <f t="shared" si="9"/>
        <v>108042.39</v>
      </c>
      <c r="L50" s="362">
        <f t="shared" si="10"/>
        <v>34.262922717578959</v>
      </c>
    </row>
    <row r="51" spans="1:16" ht="15" customHeight="1" x14ac:dyDescent="0.2">
      <c r="A51" s="363" t="s">
        <v>295</v>
      </c>
      <c r="B51" s="354" t="s">
        <v>164</v>
      </c>
      <c r="C51" s="354">
        <f>+'C-A6'!C162</f>
        <v>956224</v>
      </c>
      <c r="D51" s="354">
        <f>+'C-A6'!D162</f>
        <v>1381224</v>
      </c>
      <c r="E51" s="354">
        <f>+'C-A6'!E162</f>
        <v>1327678</v>
      </c>
      <c r="F51" s="354">
        <f>+'C-A6'!F162</f>
        <v>0</v>
      </c>
      <c r="G51" s="354">
        <f>+'C-A6'!G162</f>
        <v>0</v>
      </c>
      <c r="H51" s="354">
        <f>+'C-A6'!H162</f>
        <v>0</v>
      </c>
      <c r="I51" s="354">
        <f>+'C-A6'!I162</f>
        <v>0</v>
      </c>
      <c r="J51" s="354">
        <f t="shared" si="8"/>
        <v>1327678</v>
      </c>
      <c r="K51" s="354">
        <f t="shared" si="9"/>
        <v>1381224</v>
      </c>
      <c r="L51" s="362">
        <f t="shared" si="10"/>
        <v>0</v>
      </c>
    </row>
    <row r="52" spans="1:16" ht="15" customHeight="1" x14ac:dyDescent="0.2">
      <c r="A52" s="352">
        <v>620</v>
      </c>
      <c r="B52" s="354" t="s">
        <v>296</v>
      </c>
      <c r="C52" s="354">
        <f>+'C-A6'!C168</f>
        <v>771986</v>
      </c>
      <c r="D52" s="354">
        <f>+'C-A6'!D168</f>
        <v>713986</v>
      </c>
      <c r="E52" s="354">
        <f>+'C-A6'!E168</f>
        <v>660986</v>
      </c>
      <c r="F52" s="354">
        <f>+'C-A6'!F168</f>
        <v>9099</v>
      </c>
      <c r="G52" s="354">
        <f>+'C-A6'!G168</f>
        <v>11574.970000000001</v>
      </c>
      <c r="H52" s="354">
        <f>+'C-A6'!H168</f>
        <v>10100.17</v>
      </c>
      <c r="I52" s="354">
        <f>+'C-A6'!I168</f>
        <v>10100.17</v>
      </c>
      <c r="J52" s="354">
        <f t="shared" si="8"/>
        <v>649411.03</v>
      </c>
      <c r="K52" s="354">
        <f t="shared" si="9"/>
        <v>702411.03</v>
      </c>
      <c r="L52" s="362">
        <f t="shared" si="10"/>
        <v>1.7511671956743411</v>
      </c>
    </row>
    <row r="53" spans="1:16" ht="15" customHeight="1" x14ac:dyDescent="0.2">
      <c r="A53" s="352">
        <v>640</v>
      </c>
      <c r="B53" s="354" t="s">
        <v>490</v>
      </c>
      <c r="C53" s="354">
        <f>+'C-A6'!C173</f>
        <v>159266</v>
      </c>
      <c r="D53" s="354">
        <f>+'C-A6'!D173</f>
        <v>159266</v>
      </c>
      <c r="E53" s="354">
        <f>+'C-A6'!E173</f>
        <v>79635</v>
      </c>
      <c r="F53" s="354">
        <f>+'C-A6'!F173</f>
        <v>0</v>
      </c>
      <c r="G53" s="354">
        <f>+'C-A6'!G173</f>
        <v>0</v>
      </c>
      <c r="H53" s="354"/>
      <c r="I53" s="354">
        <f>+'C-A6'!I173</f>
        <v>0</v>
      </c>
      <c r="J53" s="354"/>
      <c r="K53" s="354"/>
      <c r="L53" s="362"/>
    </row>
    <row r="54" spans="1:16" ht="15" customHeight="1" x14ac:dyDescent="0.2">
      <c r="A54" s="352" t="s">
        <v>298</v>
      </c>
      <c r="B54" s="353" t="s">
        <v>299</v>
      </c>
      <c r="C54" s="354">
        <f>+'C-A6'!C174</f>
        <v>287000</v>
      </c>
      <c r="D54" s="354">
        <f>+'C-A6'!D174</f>
        <v>293000</v>
      </c>
      <c r="E54" s="354">
        <f>+'C-A6'!E174</f>
        <v>293000</v>
      </c>
      <c r="F54" s="354">
        <f>+'C-A6'!F174</f>
        <v>5868.42</v>
      </c>
      <c r="G54" s="354">
        <f>+'C-A6'!G174</f>
        <v>10343.42</v>
      </c>
      <c r="H54" s="354">
        <f>+'C-A6'!H174</f>
        <v>900</v>
      </c>
      <c r="I54" s="354">
        <f>+'C-A6'!I174</f>
        <v>900</v>
      </c>
      <c r="J54" s="354">
        <f t="shared" si="8"/>
        <v>282656.58</v>
      </c>
      <c r="K54" s="354">
        <f t="shared" si="9"/>
        <v>282656.58</v>
      </c>
      <c r="L54" s="362">
        <f t="shared" si="10"/>
        <v>3.5301774744027306</v>
      </c>
    </row>
    <row r="55" spans="1:16" ht="14.25" customHeight="1" x14ac:dyDescent="0.2">
      <c r="A55" s="352">
        <v>690</v>
      </c>
      <c r="B55" s="354" t="s">
        <v>401</v>
      </c>
      <c r="C55" s="354">
        <f>+'C-A6'!C178</f>
        <v>0</v>
      </c>
      <c r="D55" s="354">
        <f>+'C-A6'!D178</f>
        <v>52000</v>
      </c>
      <c r="E55" s="354">
        <f>+'C-A6'!E178</f>
        <v>52000</v>
      </c>
      <c r="F55" s="354">
        <f>+'C-A6'!F178</f>
        <v>9580</v>
      </c>
      <c r="G55" s="354">
        <f>+'C-A6'!G178</f>
        <v>9580</v>
      </c>
      <c r="H55" s="354">
        <f>+'C-A6'!H178</f>
        <v>0</v>
      </c>
      <c r="I55" s="354">
        <f>+'C-A6'!I178</f>
        <v>0</v>
      </c>
      <c r="J55" s="354">
        <f t="shared" si="8"/>
        <v>42420</v>
      </c>
      <c r="K55" s="354">
        <f t="shared" si="9"/>
        <v>42420</v>
      </c>
      <c r="L55" s="362" t="s">
        <v>6</v>
      </c>
    </row>
    <row r="56" spans="1:16" ht="24" customHeight="1" x14ac:dyDescent="0.2">
      <c r="A56" s="377" t="s">
        <v>6</v>
      </c>
      <c r="B56" s="378" t="s">
        <v>305</v>
      </c>
      <c r="C56" s="379">
        <f t="shared" ref="C56:I56" si="11">+C49+C45+C33+C21+C9</f>
        <v>141094806</v>
      </c>
      <c r="D56" s="379">
        <f t="shared" si="11"/>
        <v>141094806</v>
      </c>
      <c r="E56" s="379">
        <f t="shared" si="11"/>
        <v>43874965</v>
      </c>
      <c r="F56" s="379">
        <f t="shared" si="11"/>
        <v>11708434.600000001</v>
      </c>
      <c r="G56" s="379">
        <f t="shared" si="11"/>
        <v>27197029.629999999</v>
      </c>
      <c r="H56" s="379">
        <f t="shared" si="11"/>
        <v>22565462.899999999</v>
      </c>
      <c r="I56" s="379">
        <f t="shared" si="11"/>
        <v>24192520.059999999</v>
      </c>
      <c r="J56" s="379">
        <f t="shared" si="8"/>
        <v>16677935.370000001</v>
      </c>
      <c r="K56" s="379">
        <f t="shared" si="9"/>
        <v>113897776.37</v>
      </c>
      <c r="L56" s="380">
        <f t="shared" si="10"/>
        <v>61.987581369010776</v>
      </c>
    </row>
    <row r="57" spans="1:16" ht="4.5" customHeight="1" x14ac:dyDescent="0.2">
      <c r="A57" s="381"/>
      <c r="B57" s="382"/>
      <c r="C57" s="383"/>
      <c r="D57" s="383"/>
      <c r="E57" s="383"/>
      <c r="F57" s="383"/>
      <c r="G57" s="383"/>
      <c r="H57" s="383"/>
      <c r="I57" s="383"/>
      <c r="J57" s="383"/>
      <c r="K57" s="383"/>
      <c r="L57" s="384"/>
    </row>
    <row r="58" spans="1:16" ht="18.75" customHeight="1" x14ac:dyDescent="0.3">
      <c r="A58" s="629" t="s">
        <v>512</v>
      </c>
      <c r="B58" s="629"/>
      <c r="C58" s="629"/>
      <c r="D58" s="59"/>
      <c r="E58" s="59"/>
      <c r="F58" s="59"/>
      <c r="G58" s="59"/>
      <c r="H58" s="59" t="s">
        <v>6</v>
      </c>
      <c r="I58" s="59"/>
      <c r="J58" s="59"/>
      <c r="K58" s="59"/>
      <c r="L58" s="59"/>
      <c r="N58" s="49" t="s">
        <v>6</v>
      </c>
      <c r="P58" t="s">
        <v>6</v>
      </c>
    </row>
    <row r="59" spans="1:16" ht="19.899999999999999" customHeight="1" x14ac:dyDescent="0.2">
      <c r="D59" s="25"/>
      <c r="E59" s="34"/>
      <c r="F59" s="25"/>
      <c r="G59" s="34"/>
      <c r="H59" s="25"/>
      <c r="I59" s="25"/>
      <c r="J59" s="25"/>
      <c r="K59" s="25"/>
      <c r="L59" s="154"/>
    </row>
    <row r="60" spans="1:16" ht="19.899999999999999" customHeight="1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</row>
    <row r="61" spans="1:16" ht="19.899999999999999" customHeight="1" x14ac:dyDescent="0.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</row>
    <row r="62" spans="1:16" ht="19.899999999999999" customHeight="1" x14ac:dyDescent="0.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1:16" ht="19.899999999999999" customHeight="1" x14ac:dyDescent="0.2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</row>
    <row r="64" spans="1:16" ht="19.899999999999999" customHeight="1" x14ac:dyDescent="0.2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</row>
    <row r="65" spans="1:12" ht="19.899999999999999" customHeight="1" x14ac:dyDescent="0.2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</row>
    <row r="66" spans="1:12" ht="19.899999999999999" customHeight="1" x14ac:dyDescent="0.2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</row>
    <row r="67" spans="1:12" ht="19.899999999999999" customHeight="1" x14ac:dyDescent="0.2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</row>
    <row r="68" spans="1:12" ht="19.899999999999999" customHeight="1" x14ac:dyDescent="0.2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</row>
    <row r="69" spans="1:12" ht="19.899999999999999" customHeight="1" x14ac:dyDescent="0.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</row>
    <row r="70" spans="1:12" ht="19.899999999999999" customHeight="1" x14ac:dyDescent="0.2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</row>
    <row r="71" spans="1:12" ht="19.899999999999999" customHeight="1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</row>
    <row r="72" spans="1:12" ht="19.899999999999999" customHeight="1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</row>
    <row r="73" spans="1:12" ht="19.899999999999999" customHeight="1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</row>
    <row r="74" spans="1:12" ht="19.899999999999999" customHeight="1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</row>
    <row r="75" spans="1:12" ht="19.899999999999999" customHeight="1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</row>
    <row r="76" spans="1:12" ht="19.899999999999999" customHeight="1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</row>
    <row r="77" spans="1:12" ht="19.899999999999999" customHeight="1" x14ac:dyDescent="0.2"/>
    <row r="78" spans="1:12" ht="19.899999999999999" customHeight="1" x14ac:dyDescent="0.2"/>
    <row r="79" spans="1:12" ht="19.899999999999999" customHeight="1" x14ac:dyDescent="0.2"/>
    <row r="80" spans="1:12" ht="19.899999999999999" customHeight="1" x14ac:dyDescent="0.2"/>
    <row r="81" ht="19.899999999999999" customHeight="1" x14ac:dyDescent="0.2"/>
    <row r="82" ht="19.899999999999999" customHeight="1" x14ac:dyDescent="0.2"/>
    <row r="83" ht="19.899999999999999" customHeight="1" x14ac:dyDescent="0.2"/>
    <row r="84" ht="19.899999999999999" customHeight="1" x14ac:dyDescent="0.2"/>
    <row r="85" ht="19.899999999999999" customHeight="1" x14ac:dyDescent="0.2"/>
    <row r="86" ht="19.899999999999999" customHeight="1" x14ac:dyDescent="0.2"/>
    <row r="87" ht="19.899999999999999" customHeight="1" x14ac:dyDescent="0.2"/>
    <row r="88" ht="19.899999999999999" customHeight="1" x14ac:dyDescent="0.2"/>
    <row r="89" ht="19.899999999999999" customHeight="1" x14ac:dyDescent="0.2"/>
    <row r="90" ht="19.899999999999999" customHeight="1" x14ac:dyDescent="0.2"/>
    <row r="91" ht="19.899999999999999" customHeight="1" x14ac:dyDescent="0.2"/>
    <row r="92" ht="19.899999999999999" customHeight="1" x14ac:dyDescent="0.2"/>
    <row r="93" ht="19.899999999999999" customHeight="1" x14ac:dyDescent="0.2"/>
    <row r="94" ht="19.899999999999999" customHeight="1" x14ac:dyDescent="0.2"/>
    <row r="95" ht="19.899999999999999" customHeight="1" x14ac:dyDescent="0.2"/>
    <row r="96" ht="19.899999999999999" customHeight="1" x14ac:dyDescent="0.2"/>
    <row r="97" ht="19.899999999999999" customHeight="1" x14ac:dyDescent="0.2"/>
    <row r="98" ht="19.899999999999999" customHeight="1" x14ac:dyDescent="0.2"/>
    <row r="99" ht="19.899999999999999" customHeight="1" x14ac:dyDescent="0.2"/>
    <row r="100" ht="19.899999999999999" customHeight="1" x14ac:dyDescent="0.2"/>
    <row r="101" ht="19.899999999999999" customHeight="1" x14ac:dyDescent="0.2"/>
    <row r="102" ht="19.899999999999999" customHeight="1" x14ac:dyDescent="0.2"/>
    <row r="103" ht="19.899999999999999" customHeight="1" x14ac:dyDescent="0.2"/>
    <row r="104" ht="19.899999999999999" customHeight="1" x14ac:dyDescent="0.2"/>
    <row r="105" ht="19.899999999999999" customHeight="1" x14ac:dyDescent="0.2"/>
    <row r="106" ht="19.899999999999999" customHeight="1" x14ac:dyDescent="0.2"/>
    <row r="107" ht="19.899999999999999" customHeight="1" x14ac:dyDescent="0.2"/>
    <row r="108" ht="19.899999999999999" customHeight="1" x14ac:dyDescent="0.2"/>
    <row r="109" ht="19.899999999999999" customHeight="1" x14ac:dyDescent="0.2"/>
    <row r="110" ht="19.899999999999999" customHeight="1" x14ac:dyDescent="0.2"/>
    <row r="111" ht="19.899999999999999" customHeight="1" x14ac:dyDescent="0.2"/>
    <row r="112" ht="19.899999999999999" customHeight="1" x14ac:dyDescent="0.2"/>
    <row r="113" ht="19.899999999999999" customHeight="1" x14ac:dyDescent="0.2"/>
    <row r="114" ht="19.899999999999999" customHeight="1" x14ac:dyDescent="0.2"/>
    <row r="115" ht="19.899999999999999" customHeight="1" x14ac:dyDescent="0.2"/>
    <row r="116" ht="19.899999999999999" customHeight="1" x14ac:dyDescent="0.2"/>
    <row r="117" ht="19.899999999999999" customHeight="1" x14ac:dyDescent="0.2"/>
    <row r="118" ht="19.899999999999999" customHeight="1" x14ac:dyDescent="0.2"/>
    <row r="119" ht="19.899999999999999" customHeight="1" x14ac:dyDescent="0.2"/>
    <row r="120" ht="19.899999999999999" customHeight="1" x14ac:dyDescent="0.2"/>
    <row r="121" ht="19.899999999999999" customHeight="1" x14ac:dyDescent="0.2"/>
    <row r="122" ht="19.899999999999999" customHeight="1" x14ac:dyDescent="0.2"/>
    <row r="123" ht="19.899999999999999" customHeight="1" x14ac:dyDescent="0.2"/>
    <row r="124" ht="19.899999999999999" customHeight="1" x14ac:dyDescent="0.2"/>
    <row r="125" ht="19.899999999999999" customHeight="1" x14ac:dyDescent="0.2"/>
    <row r="126" ht="19.899999999999999" customHeight="1" x14ac:dyDescent="0.2"/>
    <row r="127" ht="19.899999999999999" customHeight="1" x14ac:dyDescent="0.2"/>
    <row r="128" ht="19.899999999999999" customHeight="1" x14ac:dyDescent="0.2"/>
    <row r="129" ht="19.899999999999999" customHeight="1" x14ac:dyDescent="0.2"/>
    <row r="130" ht="19.899999999999999" customHeight="1" x14ac:dyDescent="0.2"/>
    <row r="131" ht="19.899999999999999" customHeight="1" x14ac:dyDescent="0.2"/>
    <row r="132" ht="19.899999999999999" customHeight="1" x14ac:dyDescent="0.2"/>
    <row r="133" ht="19.899999999999999" customHeight="1" x14ac:dyDescent="0.2"/>
    <row r="134" ht="19.899999999999999" customHeight="1" x14ac:dyDescent="0.2"/>
    <row r="135" ht="19.899999999999999" customHeight="1" x14ac:dyDescent="0.2"/>
    <row r="136" ht="19.899999999999999" customHeight="1" x14ac:dyDescent="0.2"/>
    <row r="137" ht="19.899999999999999" customHeight="1" x14ac:dyDescent="0.2"/>
    <row r="138" ht="19.899999999999999" customHeight="1" x14ac:dyDescent="0.2"/>
    <row r="139" ht="19.899999999999999" customHeight="1" x14ac:dyDescent="0.2"/>
    <row r="140" ht="19.899999999999999" customHeight="1" x14ac:dyDescent="0.2"/>
    <row r="141" ht="19.899999999999999" customHeight="1" x14ac:dyDescent="0.2"/>
    <row r="142" ht="19.899999999999999" customHeight="1" x14ac:dyDescent="0.2"/>
    <row r="143" ht="19.899999999999999" customHeight="1" x14ac:dyDescent="0.2"/>
    <row r="144" ht="19.899999999999999" customHeight="1" x14ac:dyDescent="0.2"/>
    <row r="145" ht="19.899999999999999" customHeight="1" x14ac:dyDescent="0.2"/>
    <row r="146" ht="19.899999999999999" customHeight="1" x14ac:dyDescent="0.2"/>
    <row r="147" ht="19.899999999999999" customHeight="1" x14ac:dyDescent="0.2"/>
    <row r="148" ht="19.899999999999999" customHeight="1" x14ac:dyDescent="0.2"/>
    <row r="149" ht="19.899999999999999" customHeight="1" x14ac:dyDescent="0.2"/>
  </sheetData>
  <mergeCells count="15">
    <mergeCell ref="G6:G8"/>
    <mergeCell ref="A58:C58"/>
    <mergeCell ref="A1:L1"/>
    <mergeCell ref="A2:L2"/>
    <mergeCell ref="A5:L5"/>
    <mergeCell ref="A3:L3"/>
    <mergeCell ref="A4:L4"/>
    <mergeCell ref="I6:I8"/>
    <mergeCell ref="L6:L8"/>
    <mergeCell ref="A6:A8"/>
    <mergeCell ref="B6:B8"/>
    <mergeCell ref="C6:E7"/>
    <mergeCell ref="H6:H8"/>
    <mergeCell ref="J6:K8"/>
    <mergeCell ref="F6:F7"/>
  </mergeCells>
  <pageMargins left="1" right="1" top="1" bottom="1" header="0.5" footer="0.5"/>
  <pageSetup scale="63" orientation="portrait" r:id="rId1"/>
  <ignoredErrors>
    <ignoredError sqref="F33 H9:H10 D10 D21:E21 D56 H49 H21" formula="1"/>
    <ignoredError sqref="A9:A27 A30 A54 A49:A51 A33:A4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7">
    <tabColor theme="6" tint="-0.249977111117893"/>
  </sheetPr>
  <dimension ref="A1:U187"/>
  <sheetViews>
    <sheetView showGridLines="0" showZeros="0" topLeftCell="A2" workbookViewId="0">
      <selection activeCell="P23" sqref="P23"/>
    </sheetView>
  </sheetViews>
  <sheetFormatPr baseColWidth="10" defaultColWidth="11.42578125" defaultRowHeight="12.75" x14ac:dyDescent="0.2"/>
  <cols>
    <col min="1" max="1" width="4.85546875" style="27" customWidth="1"/>
    <col min="2" max="2" width="32.28515625" style="27" customWidth="1"/>
    <col min="3" max="3" width="11" style="27" customWidth="1"/>
    <col min="4" max="4" width="11.7109375" style="27" customWidth="1"/>
    <col min="5" max="5" width="10.85546875" style="27" customWidth="1"/>
    <col min="6" max="6" width="12.7109375" style="27" customWidth="1"/>
    <col min="7" max="7" width="12.140625" style="27" customWidth="1"/>
    <col min="8" max="8" width="12.85546875" style="27" customWidth="1"/>
    <col min="9" max="9" width="11.85546875" style="27" customWidth="1"/>
    <col min="10" max="10" width="10" style="27" customWidth="1"/>
    <col min="11" max="11" width="7.28515625" style="27" hidden="1" customWidth="1"/>
    <col min="12" max="12" width="12.7109375" style="27" customWidth="1"/>
    <col min="13" max="13" width="14.85546875" customWidth="1"/>
    <col min="14" max="14" width="12.7109375" customWidth="1"/>
  </cols>
  <sheetData>
    <row r="1" spans="1:16" hidden="1" x14ac:dyDescent="0.2"/>
    <row r="2" spans="1:16" ht="15.75" x14ac:dyDescent="0.25">
      <c r="A2" s="580" t="s">
        <v>386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</row>
    <row r="3" spans="1:16" ht="15.75" x14ac:dyDescent="0.25">
      <c r="A3" s="580" t="s">
        <v>387</v>
      </c>
      <c r="B3" s="580"/>
      <c r="C3" s="580"/>
      <c r="D3" s="580"/>
      <c r="E3" s="580"/>
      <c r="F3" s="580"/>
      <c r="G3" s="580"/>
      <c r="H3" s="580"/>
      <c r="I3" s="580"/>
      <c r="J3" s="580"/>
      <c r="K3" s="580"/>
      <c r="L3" s="580"/>
    </row>
    <row r="4" spans="1:16" ht="15" x14ac:dyDescent="0.25">
      <c r="A4" s="581" t="s">
        <v>389</v>
      </c>
      <c r="B4" s="581"/>
      <c r="C4" s="581"/>
      <c r="D4" s="581"/>
      <c r="E4" s="581"/>
      <c r="F4" s="581"/>
      <c r="G4" s="581"/>
      <c r="H4" s="581"/>
      <c r="I4" s="581"/>
      <c r="J4" s="581"/>
      <c r="K4" s="581"/>
      <c r="L4" s="581"/>
      <c r="P4" t="s">
        <v>6</v>
      </c>
    </row>
    <row r="5" spans="1:16" ht="15" x14ac:dyDescent="0.25">
      <c r="A5" s="581" t="s">
        <v>511</v>
      </c>
      <c r="B5" s="581"/>
      <c r="C5" s="581"/>
      <c r="D5" s="581"/>
      <c r="E5" s="581"/>
      <c r="F5" s="581"/>
      <c r="G5" s="581"/>
      <c r="H5" s="581"/>
      <c r="I5" s="581"/>
      <c r="J5" s="581"/>
      <c r="K5" s="581"/>
      <c r="L5" s="581"/>
    </row>
    <row r="6" spans="1:16" ht="6.7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6" ht="0.75" customHeight="1" thickBo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6" ht="12.75" customHeight="1" x14ac:dyDescent="0.2">
      <c r="A8" s="666" t="s">
        <v>377</v>
      </c>
      <c r="B8" s="663" t="s">
        <v>0</v>
      </c>
      <c r="C8" s="654" t="s">
        <v>31</v>
      </c>
      <c r="D8" s="654"/>
      <c r="E8" s="654"/>
      <c r="F8" s="656" t="s">
        <v>86</v>
      </c>
      <c r="G8" s="656"/>
      <c r="H8" s="669" t="s">
        <v>491</v>
      </c>
      <c r="I8" s="656" t="s">
        <v>75</v>
      </c>
      <c r="J8" s="672" t="s">
        <v>307</v>
      </c>
      <c r="K8" s="673"/>
      <c r="L8" s="660" t="s">
        <v>379</v>
      </c>
    </row>
    <row r="9" spans="1:16" ht="4.5" customHeight="1" thickBot="1" x14ac:dyDescent="0.25">
      <c r="A9" s="667"/>
      <c r="B9" s="664"/>
      <c r="C9" s="655"/>
      <c r="D9" s="655"/>
      <c r="E9" s="655"/>
      <c r="F9" s="657"/>
      <c r="G9" s="657"/>
      <c r="H9" s="670"/>
      <c r="I9" s="658"/>
      <c r="J9" s="674"/>
      <c r="K9" s="675"/>
      <c r="L9" s="661"/>
    </row>
    <row r="10" spans="1:16" ht="23.25" customHeight="1" x14ac:dyDescent="0.2">
      <c r="A10" s="668"/>
      <c r="B10" s="665"/>
      <c r="C10" s="181" t="s">
        <v>87</v>
      </c>
      <c r="D10" s="181" t="s">
        <v>12</v>
      </c>
      <c r="E10" s="181" t="s">
        <v>2</v>
      </c>
      <c r="F10" s="182" t="s">
        <v>36</v>
      </c>
      <c r="G10" s="182" t="s">
        <v>41</v>
      </c>
      <c r="H10" s="671"/>
      <c r="I10" s="659"/>
      <c r="J10" s="676"/>
      <c r="K10" s="677"/>
      <c r="L10" s="662"/>
    </row>
    <row r="11" spans="1:16" ht="19.5" customHeight="1" x14ac:dyDescent="0.2">
      <c r="A11" s="113" t="s">
        <v>88</v>
      </c>
      <c r="B11" s="114" t="s">
        <v>89</v>
      </c>
      <c r="C11" s="115">
        <f>SUM(C12+C16+C20+C21+C22+C27+C29)</f>
        <v>125299729</v>
      </c>
      <c r="D11" s="115">
        <f>+D12+D16+D20+D21+D22+D29</f>
        <v>124924729</v>
      </c>
      <c r="E11" s="115">
        <f>SUM(E12+E16+E20+E21+E22+E27+E29)</f>
        <v>32661571</v>
      </c>
      <c r="F11" s="172">
        <f>+F12+F16+F20+F22+F29+F21</f>
        <v>10309773.470000001</v>
      </c>
      <c r="G11" s="172">
        <v>24726264.399999999</v>
      </c>
      <c r="H11" s="166">
        <f>+H12+H16+H20+H22+H29+H21+1</f>
        <v>21635454.079999998</v>
      </c>
      <c r="I11" s="115">
        <f>SUM(I12+I16+I20+I21+I22+I27+I29)</f>
        <v>23490298.18</v>
      </c>
      <c r="J11" s="115">
        <f>+E11-G11</f>
        <v>7935306.6000000015</v>
      </c>
      <c r="K11" s="115">
        <f t="shared" ref="K11:K26" si="0">+D11-G11</f>
        <v>100198464.59999999</v>
      </c>
      <c r="L11" s="155">
        <f t="shared" ref="L11:L20" si="1">+G11*100/E11</f>
        <v>75.704455244972749</v>
      </c>
      <c r="N11" s="43"/>
    </row>
    <row r="12" spans="1:16" ht="17.25" customHeight="1" x14ac:dyDescent="0.2">
      <c r="A12" s="76" t="s">
        <v>90</v>
      </c>
      <c r="B12" s="77" t="s">
        <v>91</v>
      </c>
      <c r="C12" s="78">
        <f>SUM(C13:C15)</f>
        <v>83395405</v>
      </c>
      <c r="D12" s="78">
        <f>+D13+D14+D15</f>
        <v>83138965</v>
      </c>
      <c r="E12" s="78">
        <f>SUM(E13:E15)</f>
        <v>21382191</v>
      </c>
      <c r="F12" s="173">
        <f>SUM(F13:F15)</f>
        <v>5896243.7300000004</v>
      </c>
      <c r="G12" s="173">
        <v>4923367.96</v>
      </c>
      <c r="H12" s="78">
        <f>SUM(H13:H15)</f>
        <v>16175041.43</v>
      </c>
      <c r="I12" s="78">
        <f>SUM(I13:I15)</f>
        <v>16175041.43</v>
      </c>
      <c r="J12" s="78">
        <f t="shared" ref="J12:J33" si="2">+E12-G12</f>
        <v>16458823.039999999</v>
      </c>
      <c r="K12" s="78">
        <f t="shared" si="0"/>
        <v>78215597.040000007</v>
      </c>
      <c r="L12" s="156">
        <f t="shared" si="1"/>
        <v>23.025554116507518</v>
      </c>
      <c r="N12" s="43"/>
    </row>
    <row r="13" spans="1:16" x14ac:dyDescent="0.2">
      <c r="A13" s="73" t="s">
        <v>92</v>
      </c>
      <c r="B13" s="74" t="s">
        <v>91</v>
      </c>
      <c r="C13" s="75">
        <v>71073045</v>
      </c>
      <c r="D13" s="75">
        <v>70530045</v>
      </c>
      <c r="E13" s="75">
        <v>16999910</v>
      </c>
      <c r="F13" s="174">
        <v>5046850.6500000004</v>
      </c>
      <c r="G13" s="174">
        <v>14901248.48</v>
      </c>
      <c r="H13" s="75">
        <v>14901248.48</v>
      </c>
      <c r="I13" s="75">
        <v>14901248.48</v>
      </c>
      <c r="J13" s="75">
        <f t="shared" si="2"/>
        <v>2098661.5199999996</v>
      </c>
      <c r="K13" s="75">
        <f t="shared" si="0"/>
        <v>55628796.519999996</v>
      </c>
      <c r="L13" s="157">
        <f t="shared" si="1"/>
        <v>87.654866878707011</v>
      </c>
      <c r="N13" s="43"/>
      <c r="O13" t="s">
        <v>6</v>
      </c>
    </row>
    <row r="14" spans="1:16" x14ac:dyDescent="0.2">
      <c r="A14" s="73" t="s">
        <v>93</v>
      </c>
      <c r="B14" s="74" t="s">
        <v>94</v>
      </c>
      <c r="C14" s="75">
        <v>3944236</v>
      </c>
      <c r="D14" s="75">
        <v>3944236</v>
      </c>
      <c r="E14" s="75">
        <v>966423</v>
      </c>
      <c r="F14" s="174">
        <v>249706.71</v>
      </c>
      <c r="G14" s="174">
        <v>614414.1</v>
      </c>
      <c r="H14" s="75">
        <v>614414.1</v>
      </c>
      <c r="I14" s="75">
        <v>614414.1</v>
      </c>
      <c r="J14" s="75">
        <f t="shared" si="2"/>
        <v>352008.9</v>
      </c>
      <c r="K14" s="75">
        <f t="shared" si="0"/>
        <v>3329821.9</v>
      </c>
      <c r="L14" s="157">
        <f t="shared" si="1"/>
        <v>63.576104873331865</v>
      </c>
      <c r="N14" s="43"/>
    </row>
    <row r="15" spans="1:16" x14ac:dyDescent="0.2">
      <c r="A15" s="73" t="s">
        <v>95</v>
      </c>
      <c r="B15" s="74" t="s">
        <v>96</v>
      </c>
      <c r="C15" s="75">
        <v>8378124</v>
      </c>
      <c r="D15" s="75">
        <v>8664684</v>
      </c>
      <c r="E15" s="75">
        <v>3415858</v>
      </c>
      <c r="F15" s="174">
        <v>599686.37</v>
      </c>
      <c r="G15" s="174">
        <v>659378.85</v>
      </c>
      <c r="H15" s="75">
        <v>659378.85</v>
      </c>
      <c r="I15" s="75">
        <v>659378.85</v>
      </c>
      <c r="J15" s="75">
        <f t="shared" si="2"/>
        <v>2756479.15</v>
      </c>
      <c r="K15" s="75">
        <f t="shared" si="0"/>
        <v>8005305.1500000004</v>
      </c>
      <c r="L15" s="157">
        <f t="shared" si="1"/>
        <v>19.303461970608847</v>
      </c>
      <c r="N15" s="43"/>
    </row>
    <row r="16" spans="1:16" ht="15" customHeight="1" x14ac:dyDescent="0.2">
      <c r="A16" s="76" t="s">
        <v>97</v>
      </c>
      <c r="B16" s="77" t="s">
        <v>98</v>
      </c>
      <c r="C16" s="78">
        <f t="shared" ref="C16:I16" si="3">SUM(C17:C19)</f>
        <v>17439165</v>
      </c>
      <c r="D16" s="78">
        <f t="shared" si="3"/>
        <v>17439165</v>
      </c>
      <c r="E16" s="78">
        <f t="shared" si="3"/>
        <v>3950201</v>
      </c>
      <c r="F16" s="173">
        <f>SUM(F17:F19)</f>
        <v>1152425.03</v>
      </c>
      <c r="G16" s="173">
        <v>3414536.6300000004</v>
      </c>
      <c r="H16" s="78">
        <f t="shared" ref="H16" si="4">SUM(H17:H19)</f>
        <v>3415285.83</v>
      </c>
      <c r="I16" s="78">
        <f t="shared" si="3"/>
        <v>3414536.33</v>
      </c>
      <c r="J16" s="78">
        <f t="shared" si="2"/>
        <v>535664.36999999965</v>
      </c>
      <c r="K16" s="78">
        <f t="shared" si="0"/>
        <v>14024628.369999999</v>
      </c>
      <c r="L16" s="156">
        <f t="shared" si="1"/>
        <v>86.439566746097242</v>
      </c>
      <c r="N16" s="43"/>
    </row>
    <row r="17" spans="1:14" ht="13.9" customHeight="1" x14ac:dyDescent="0.2">
      <c r="A17" s="73" t="s">
        <v>99</v>
      </c>
      <c r="B17" s="74" t="s">
        <v>100</v>
      </c>
      <c r="C17" s="75">
        <v>223154</v>
      </c>
      <c r="D17" s="75">
        <v>223154</v>
      </c>
      <c r="E17" s="75">
        <v>28869</v>
      </c>
      <c r="F17" s="174">
        <v>8597.6</v>
      </c>
      <c r="G17" s="174">
        <v>21860.97</v>
      </c>
      <c r="H17" s="75">
        <v>21860.97</v>
      </c>
      <c r="I17" s="75">
        <v>21860.97</v>
      </c>
      <c r="J17" s="75">
        <f t="shared" si="2"/>
        <v>7008.0299999999988</v>
      </c>
      <c r="K17" s="75">
        <f t="shared" si="0"/>
        <v>201293.03</v>
      </c>
      <c r="L17" s="157">
        <f t="shared" si="1"/>
        <v>75.72472202016003</v>
      </c>
      <c r="N17" s="43"/>
    </row>
    <row r="18" spans="1:14" ht="13.9" customHeight="1" x14ac:dyDescent="0.2">
      <c r="A18" s="152" t="s">
        <v>427</v>
      </c>
      <c r="B18" s="74" t="s">
        <v>101</v>
      </c>
      <c r="C18" s="75">
        <v>1488300</v>
      </c>
      <c r="D18" s="75">
        <v>1488300</v>
      </c>
      <c r="E18" s="75">
        <v>372075</v>
      </c>
      <c r="F18" s="175">
        <v>94940.82</v>
      </c>
      <c r="G18" s="174">
        <v>289585.80000000005</v>
      </c>
      <c r="H18" s="75">
        <v>289585</v>
      </c>
      <c r="I18" s="75">
        <v>289585.5</v>
      </c>
      <c r="J18" s="75">
        <f t="shared" si="2"/>
        <v>82489.199999999953</v>
      </c>
      <c r="K18" s="75">
        <f t="shared" si="0"/>
        <v>1198714.2</v>
      </c>
      <c r="L18" s="157">
        <f t="shared" si="1"/>
        <v>77.829953638379365</v>
      </c>
      <c r="N18" s="43"/>
    </row>
    <row r="19" spans="1:14" ht="15.6" customHeight="1" x14ac:dyDescent="0.2">
      <c r="A19" s="73" t="s">
        <v>102</v>
      </c>
      <c r="B19" s="74" t="s">
        <v>103</v>
      </c>
      <c r="C19" s="75">
        <v>15727711</v>
      </c>
      <c r="D19" s="75">
        <v>15727711</v>
      </c>
      <c r="E19" s="75">
        <v>3549257</v>
      </c>
      <c r="F19" s="175">
        <v>1048886.6100000001</v>
      </c>
      <c r="G19" s="174">
        <v>3103089.8600000003</v>
      </c>
      <c r="H19" s="75">
        <v>3103839.86</v>
      </c>
      <c r="I19" s="75">
        <v>3103089.86</v>
      </c>
      <c r="J19" s="75">
        <f t="shared" si="2"/>
        <v>446167.13999999966</v>
      </c>
      <c r="K19" s="75">
        <f t="shared" si="0"/>
        <v>12624621.140000001</v>
      </c>
      <c r="L19" s="157">
        <f t="shared" si="1"/>
        <v>87.429280550830796</v>
      </c>
      <c r="N19" s="43"/>
    </row>
    <row r="20" spans="1:14" x14ac:dyDescent="0.2">
      <c r="A20" s="76">
        <v>30</v>
      </c>
      <c r="B20" s="77" t="s">
        <v>105</v>
      </c>
      <c r="C20" s="78">
        <v>228000</v>
      </c>
      <c r="D20" s="78">
        <v>228000</v>
      </c>
      <c r="E20" s="78">
        <v>57000</v>
      </c>
      <c r="F20" s="173">
        <v>20150</v>
      </c>
      <c r="G20" s="173">
        <v>53550</v>
      </c>
      <c r="H20" s="78">
        <v>53550</v>
      </c>
      <c r="I20" s="78">
        <v>53550</v>
      </c>
      <c r="J20" s="78">
        <f t="shared" si="2"/>
        <v>3450</v>
      </c>
      <c r="K20" s="78">
        <f t="shared" si="0"/>
        <v>174450</v>
      </c>
      <c r="L20" s="156">
        <f t="shared" si="1"/>
        <v>93.94736842105263</v>
      </c>
      <c r="N20" s="43"/>
    </row>
    <row r="21" spans="1:14" x14ac:dyDescent="0.2">
      <c r="A21" s="76">
        <v>50</v>
      </c>
      <c r="B21" s="77" t="s">
        <v>107</v>
      </c>
      <c r="C21" s="78">
        <v>8407425</v>
      </c>
      <c r="D21" s="78">
        <v>8120865</v>
      </c>
      <c r="E21" s="78">
        <v>2515923</v>
      </c>
      <c r="F21" s="173">
        <v>1991575.82</v>
      </c>
      <c r="G21" s="173">
        <v>1991575.82</v>
      </c>
      <c r="H21" s="78">
        <v>1991575.82</v>
      </c>
      <c r="I21" s="78">
        <v>1991575.82</v>
      </c>
      <c r="J21" s="78">
        <f t="shared" si="2"/>
        <v>524347.17999999993</v>
      </c>
      <c r="K21" s="78">
        <f t="shared" si="0"/>
        <v>6129289.1799999997</v>
      </c>
      <c r="L21" s="156" t="s">
        <v>6</v>
      </c>
      <c r="N21" s="43"/>
    </row>
    <row r="22" spans="1:14" ht="14.25" customHeight="1" x14ac:dyDescent="0.2">
      <c r="A22" s="76" t="s">
        <v>108</v>
      </c>
      <c r="B22" s="77" t="s">
        <v>109</v>
      </c>
      <c r="C22" s="78">
        <f t="shared" ref="C22:I22" si="5">SUM(C23:C26)</f>
        <v>15829734</v>
      </c>
      <c r="D22" s="78">
        <f t="shared" si="5"/>
        <v>15779734</v>
      </c>
      <c r="E22" s="78">
        <f t="shared" si="5"/>
        <v>4538256</v>
      </c>
      <c r="F22" s="173">
        <f>SUM(F23:F26)</f>
        <v>1249378.8899999999</v>
      </c>
      <c r="G22" s="173">
        <v>3090349.41</v>
      </c>
      <c r="H22" s="78"/>
      <c r="I22" s="78">
        <f t="shared" si="5"/>
        <v>1854550.5899999999</v>
      </c>
      <c r="J22" s="78">
        <f t="shared" si="2"/>
        <v>1447906.5899999999</v>
      </c>
      <c r="K22" s="78">
        <f t="shared" si="0"/>
        <v>12689384.59</v>
      </c>
      <c r="L22" s="156">
        <f>+G22*100/E22</f>
        <v>68.095528546648751</v>
      </c>
      <c r="M22" s="7"/>
      <c r="N22" s="43"/>
    </row>
    <row r="23" spans="1:14" ht="15" customHeight="1" x14ac:dyDescent="0.2">
      <c r="A23" s="73" t="s">
        <v>110</v>
      </c>
      <c r="B23" s="75" t="s">
        <v>111</v>
      </c>
      <c r="C23" s="75">
        <v>13304646</v>
      </c>
      <c r="D23" s="75">
        <v>13254646</v>
      </c>
      <c r="E23" s="75">
        <v>3869581</v>
      </c>
      <c r="F23" s="174">
        <v>1080331.68</v>
      </c>
      <c r="G23" s="174">
        <v>2621762.88</v>
      </c>
      <c r="H23" s="75"/>
      <c r="I23" s="75">
        <v>1541431.2</v>
      </c>
      <c r="J23" s="75">
        <f t="shared" si="2"/>
        <v>1247818.1200000001</v>
      </c>
      <c r="K23" s="75">
        <f t="shared" si="0"/>
        <v>10632883.120000001</v>
      </c>
      <c r="L23" s="157">
        <f>+G23*100/E23</f>
        <v>67.753146400088283</v>
      </c>
      <c r="N23" s="43"/>
    </row>
    <row r="24" spans="1:14" ht="13.5" customHeight="1" x14ac:dyDescent="0.2">
      <c r="A24" s="73" t="s">
        <v>112</v>
      </c>
      <c r="B24" s="74" t="s">
        <v>113</v>
      </c>
      <c r="C24" s="75">
        <v>1515055</v>
      </c>
      <c r="D24" s="75">
        <v>1515055</v>
      </c>
      <c r="E24" s="75">
        <v>401417</v>
      </c>
      <c r="F24" s="174">
        <v>105733.21</v>
      </c>
      <c r="G24" s="174">
        <v>293841.13</v>
      </c>
      <c r="H24" s="75"/>
      <c r="I24" s="75">
        <v>188107.92</v>
      </c>
      <c r="J24" s="75">
        <f t="shared" si="2"/>
        <v>107575.87</v>
      </c>
      <c r="K24" s="75">
        <f t="shared" si="0"/>
        <v>1221213.8700000001</v>
      </c>
      <c r="L24" s="157">
        <f>+G24*100/E24</f>
        <v>73.200968070609861</v>
      </c>
      <c r="N24" s="43"/>
    </row>
    <row r="25" spans="1:14" ht="13.5" customHeight="1" x14ac:dyDescent="0.2">
      <c r="A25" s="73" t="s">
        <v>114</v>
      </c>
      <c r="B25" s="74" t="s">
        <v>115</v>
      </c>
      <c r="C25" s="75">
        <v>707023</v>
      </c>
      <c r="D25" s="75">
        <v>707023</v>
      </c>
      <c r="E25" s="75">
        <v>187311</v>
      </c>
      <c r="F25" s="174">
        <v>49501.49</v>
      </c>
      <c r="G25" s="174">
        <v>137519.72</v>
      </c>
      <c r="H25" s="75"/>
      <c r="I25" s="75">
        <v>87783.17</v>
      </c>
      <c r="J25" s="75">
        <v>42469.75</v>
      </c>
      <c r="K25" s="75">
        <f t="shared" si="0"/>
        <v>569503.28</v>
      </c>
      <c r="L25" s="157">
        <f>+G25*100/E25</f>
        <v>73.417855865378968</v>
      </c>
      <c r="N25" s="43"/>
    </row>
    <row r="26" spans="1:14" ht="13.5" customHeight="1" x14ac:dyDescent="0.2">
      <c r="A26" s="73" t="s">
        <v>116</v>
      </c>
      <c r="B26" s="74" t="s">
        <v>117</v>
      </c>
      <c r="C26" s="75">
        <v>303010</v>
      </c>
      <c r="D26" s="75">
        <v>303010</v>
      </c>
      <c r="E26" s="75">
        <v>79947</v>
      </c>
      <c r="F26" s="174">
        <v>13812.51</v>
      </c>
      <c r="G26" s="174">
        <v>37225.68</v>
      </c>
      <c r="H26" s="75"/>
      <c r="I26" s="75">
        <v>37228.300000000003</v>
      </c>
      <c r="J26" s="75">
        <f t="shared" si="2"/>
        <v>42721.32</v>
      </c>
      <c r="K26" s="75">
        <f t="shared" si="0"/>
        <v>265784.32000000001</v>
      </c>
      <c r="L26" s="157">
        <f>+G26*100/E26</f>
        <v>46.562947953018877</v>
      </c>
      <c r="N26" s="43"/>
    </row>
    <row r="27" spans="1:14" ht="1.5" hidden="1" customHeight="1" x14ac:dyDescent="0.2">
      <c r="A27" s="76" t="s">
        <v>118</v>
      </c>
      <c r="B27" s="77" t="s">
        <v>119</v>
      </c>
      <c r="C27" s="78">
        <f>SUM(C28:C28)</f>
        <v>0</v>
      </c>
      <c r="D27" s="78" t="e">
        <f>SUM(D28:D28)</f>
        <v>#REF!</v>
      </c>
      <c r="E27" s="78">
        <v>0</v>
      </c>
      <c r="F27" s="78">
        <v>0</v>
      </c>
      <c r="G27" s="78">
        <v>0</v>
      </c>
      <c r="H27" s="78"/>
      <c r="I27" s="78">
        <f>SUM(I28)</f>
        <v>0</v>
      </c>
      <c r="J27" s="78">
        <f t="shared" si="2"/>
        <v>0</v>
      </c>
      <c r="K27" s="78" t="e">
        <f>SUM(K28:K28)</f>
        <v>#REF!</v>
      </c>
      <c r="L27" s="157"/>
      <c r="N27" s="43"/>
    </row>
    <row r="28" spans="1:14" ht="9.75" hidden="1" customHeight="1" x14ac:dyDescent="0.2">
      <c r="A28" s="73" t="s">
        <v>366</v>
      </c>
      <c r="B28" s="74" t="s">
        <v>367</v>
      </c>
      <c r="C28" s="75">
        <v>0</v>
      </c>
      <c r="D28" s="75" t="e">
        <f>+C28+#REF!</f>
        <v>#REF!</v>
      </c>
      <c r="E28" s="75">
        <v>0</v>
      </c>
      <c r="F28" s="75">
        <v>0</v>
      </c>
      <c r="G28" s="75">
        <v>0</v>
      </c>
      <c r="H28" s="75"/>
      <c r="I28" s="75">
        <v>0</v>
      </c>
      <c r="J28" s="75">
        <f t="shared" si="2"/>
        <v>0</v>
      </c>
      <c r="K28" s="75" t="e">
        <f t="shared" ref="K28:K33" si="6">+D28-G28</f>
        <v>#REF!</v>
      </c>
      <c r="L28" s="157"/>
      <c r="N28" s="43"/>
    </row>
    <row r="29" spans="1:14" ht="13.5" customHeight="1" x14ac:dyDescent="0.2">
      <c r="A29" s="76" t="s">
        <v>120</v>
      </c>
      <c r="B29" s="77" t="s">
        <v>121</v>
      </c>
      <c r="C29" s="75">
        <v>0</v>
      </c>
      <c r="D29" s="78">
        <f>SUM(D30:D35)</f>
        <v>218000</v>
      </c>
      <c r="E29" s="78">
        <f>SUM(E30:E35)</f>
        <v>218000</v>
      </c>
      <c r="F29" s="78">
        <f>SUM(F30:F35)</f>
        <v>0</v>
      </c>
      <c r="G29" s="78">
        <v>1211.1099999999999</v>
      </c>
      <c r="H29" s="78"/>
      <c r="I29" s="78">
        <f>SUM(I30:I35)</f>
        <v>1044.01</v>
      </c>
      <c r="J29" s="78">
        <f t="shared" si="2"/>
        <v>216788.89</v>
      </c>
      <c r="K29" s="78">
        <f t="shared" si="6"/>
        <v>216788.89</v>
      </c>
      <c r="L29" s="156"/>
      <c r="N29" s="43"/>
    </row>
    <row r="30" spans="1:14" ht="14.1" customHeight="1" x14ac:dyDescent="0.2">
      <c r="A30" s="73" t="s">
        <v>122</v>
      </c>
      <c r="B30" s="74" t="s">
        <v>123</v>
      </c>
      <c r="C30" s="75">
        <v>0</v>
      </c>
      <c r="D30" s="75">
        <v>146000</v>
      </c>
      <c r="E30" s="75">
        <v>146000</v>
      </c>
      <c r="F30" s="75"/>
      <c r="G30" s="75">
        <v>0</v>
      </c>
      <c r="H30" s="75"/>
      <c r="I30" s="75"/>
      <c r="J30" s="75">
        <f t="shared" si="2"/>
        <v>146000</v>
      </c>
      <c r="K30" s="75">
        <f t="shared" si="6"/>
        <v>146000</v>
      </c>
      <c r="L30" s="157"/>
      <c r="N30" s="43"/>
    </row>
    <row r="31" spans="1:14" ht="14.1" customHeight="1" x14ac:dyDescent="0.2">
      <c r="A31" s="73" t="s">
        <v>124</v>
      </c>
      <c r="B31" s="74" t="s">
        <v>408</v>
      </c>
      <c r="C31" s="75">
        <v>0</v>
      </c>
      <c r="D31" s="75">
        <v>12000</v>
      </c>
      <c r="E31" s="75">
        <v>12000</v>
      </c>
      <c r="F31" s="75"/>
      <c r="G31" s="75">
        <v>0</v>
      </c>
      <c r="H31" s="75"/>
      <c r="I31" s="75"/>
      <c r="J31" s="75">
        <f t="shared" si="2"/>
        <v>12000</v>
      </c>
      <c r="K31" s="75">
        <f t="shared" si="6"/>
        <v>12000</v>
      </c>
      <c r="L31" s="157"/>
      <c r="N31" s="43"/>
    </row>
    <row r="32" spans="1:14" ht="14.1" customHeight="1" x14ac:dyDescent="0.2">
      <c r="A32" s="73" t="s">
        <v>346</v>
      </c>
      <c r="B32" s="74" t="s">
        <v>347</v>
      </c>
      <c r="C32" s="75">
        <v>0</v>
      </c>
      <c r="D32" s="75">
        <v>5000</v>
      </c>
      <c r="E32" s="75">
        <v>5000</v>
      </c>
      <c r="F32" s="75"/>
      <c r="G32" s="75">
        <v>0</v>
      </c>
      <c r="H32" s="75"/>
      <c r="I32" s="75"/>
      <c r="J32" s="75">
        <f t="shared" si="2"/>
        <v>5000</v>
      </c>
      <c r="K32" s="75">
        <f t="shared" si="6"/>
        <v>5000</v>
      </c>
      <c r="L32" s="157"/>
      <c r="N32" s="43"/>
    </row>
    <row r="33" spans="1:14" ht="12.75" customHeight="1" x14ac:dyDescent="0.2">
      <c r="A33" s="73" t="s">
        <v>332</v>
      </c>
      <c r="B33" s="74" t="s">
        <v>333</v>
      </c>
      <c r="C33" s="75">
        <v>0</v>
      </c>
      <c r="D33" s="75">
        <v>5000</v>
      </c>
      <c r="E33" s="75">
        <v>5000</v>
      </c>
      <c r="F33" s="75"/>
      <c r="G33" s="75">
        <v>0</v>
      </c>
      <c r="H33" s="75"/>
      <c r="I33" s="75"/>
      <c r="J33" s="75">
        <f t="shared" si="2"/>
        <v>5000</v>
      </c>
      <c r="K33" s="75">
        <f t="shared" si="6"/>
        <v>5000</v>
      </c>
      <c r="L33" s="157"/>
      <c r="N33" s="43"/>
    </row>
    <row r="34" spans="1:14" ht="13.5" hidden="1" customHeight="1" x14ac:dyDescent="0.2">
      <c r="A34" s="73" t="s">
        <v>500</v>
      </c>
      <c r="B34" s="74" t="s">
        <v>459</v>
      </c>
      <c r="C34" s="75">
        <v>0</v>
      </c>
      <c r="D34" s="75"/>
      <c r="E34" s="75"/>
      <c r="F34" s="75"/>
      <c r="G34" s="75"/>
      <c r="H34" s="75"/>
      <c r="I34" s="75"/>
      <c r="J34" s="75"/>
      <c r="K34" s="75"/>
      <c r="L34" s="157"/>
      <c r="N34" s="43"/>
    </row>
    <row r="35" spans="1:14" ht="14.1" customHeight="1" x14ac:dyDescent="0.2">
      <c r="A35" s="73" t="s">
        <v>323</v>
      </c>
      <c r="B35" s="74" t="s">
        <v>458</v>
      </c>
      <c r="C35" s="75">
        <v>0</v>
      </c>
      <c r="D35" s="75">
        <v>50000</v>
      </c>
      <c r="E35" s="75">
        <v>50000</v>
      </c>
      <c r="F35" s="75"/>
      <c r="G35" s="75">
        <v>1211.1099999999999</v>
      </c>
      <c r="H35" s="75"/>
      <c r="I35" s="79">
        <v>1044.01</v>
      </c>
      <c r="J35" s="75">
        <f>+E35-G35</f>
        <v>48788.89</v>
      </c>
      <c r="K35" s="75">
        <f>+D35-G35</f>
        <v>48788.89</v>
      </c>
      <c r="L35" s="157"/>
      <c r="N35" s="43"/>
    </row>
    <row r="36" spans="1:14" ht="5.25" customHeight="1" x14ac:dyDescent="0.2">
      <c r="A36" s="73"/>
      <c r="B36" s="74"/>
      <c r="C36" s="75"/>
      <c r="D36" s="75"/>
      <c r="E36" s="75"/>
      <c r="F36" s="75">
        <v>0</v>
      </c>
      <c r="G36" s="75"/>
      <c r="H36" s="75"/>
      <c r="I36" s="75"/>
      <c r="J36" s="75"/>
      <c r="K36" s="75"/>
      <c r="L36" s="157"/>
      <c r="N36" s="43"/>
    </row>
    <row r="37" spans="1:14" ht="20.25" customHeight="1" x14ac:dyDescent="0.2">
      <c r="A37" s="116" t="s">
        <v>125</v>
      </c>
      <c r="B37" s="122" t="s">
        <v>126</v>
      </c>
      <c r="C37" s="123">
        <f>C38+C45+C54++C55+C58+C67+C73+C76+C62+C83</f>
        <v>7951962</v>
      </c>
      <c r="D37" s="123">
        <f>D38+D45+D54++D55+D58+D67+D73+D76+D62+D83</f>
        <v>7524862</v>
      </c>
      <c r="E37" s="123">
        <f>E38+E45+E54++E55+E58+E67+E73+E76+E62+E83</f>
        <v>3833940</v>
      </c>
      <c r="F37" s="123">
        <f>F38+F45+F54++F55+F58+F67+F73+F76+F62+F83</f>
        <v>883390.25999999978</v>
      </c>
      <c r="G37" s="123">
        <v>1354803.2199999997</v>
      </c>
      <c r="H37" s="123">
        <f>H38+H45+H54++H55+H58+H67+H73+H76+H62+H83</f>
        <v>664091.17999999993</v>
      </c>
      <c r="I37" s="123">
        <f>I38+I45+I54++I55+I58+I67+I73+I76+I62+I83</f>
        <v>599272.81000000006</v>
      </c>
      <c r="J37" s="123">
        <f>J38+J45+J54++J55+J58+J67+J73+J76+J62+J83</f>
        <v>2479136.94</v>
      </c>
      <c r="K37" s="123">
        <f>K38+K45+K54++K55+K58+K67+K73+K76+K62+K83</f>
        <v>6170058.9400000004</v>
      </c>
      <c r="L37" s="158">
        <f>+G37*100/E37</f>
        <v>35.33710021544416</v>
      </c>
      <c r="N37" s="43"/>
    </row>
    <row r="38" spans="1:14" ht="15.75" customHeight="1" x14ac:dyDescent="0.2">
      <c r="A38" s="76">
        <v>100</v>
      </c>
      <c r="B38" s="77" t="s">
        <v>127</v>
      </c>
      <c r="C38" s="78">
        <f>SUM(C39:C44)</f>
        <v>151437</v>
      </c>
      <c r="D38" s="78">
        <f>SUM(D39:D44)</f>
        <v>142337</v>
      </c>
      <c r="E38" s="78">
        <f>SUM(E39:E44)</f>
        <v>99337</v>
      </c>
      <c r="F38" s="78">
        <f>SUM(F39:F44)</f>
        <v>3997.52</v>
      </c>
      <c r="G38" s="78">
        <v>19845.62</v>
      </c>
      <c r="H38" s="78">
        <f>SUM(H39:H44)</f>
        <v>7347.1</v>
      </c>
      <c r="I38" s="78">
        <f>SUM(I39:I44)</f>
        <v>126.26</v>
      </c>
      <c r="J38" s="78">
        <f t="shared" ref="J38:J52" si="7">+E38-G38</f>
        <v>79491.38</v>
      </c>
      <c r="K38" s="78">
        <f t="shared" ref="K38:K51" si="8">+D38-G38</f>
        <v>122491.38</v>
      </c>
      <c r="L38" s="157">
        <f>+G38*100/E38</f>
        <v>19.978074634828914</v>
      </c>
      <c r="N38" s="43"/>
    </row>
    <row r="39" spans="1:14" ht="15" customHeight="1" x14ac:dyDescent="0.2">
      <c r="A39" s="80" t="s">
        <v>128</v>
      </c>
      <c r="B39" s="75" t="s">
        <v>129</v>
      </c>
      <c r="C39" s="75">
        <v>3000</v>
      </c>
      <c r="D39" s="75">
        <v>3000</v>
      </c>
      <c r="E39" s="75">
        <v>3000</v>
      </c>
      <c r="F39" s="75">
        <v>0</v>
      </c>
      <c r="G39" s="75">
        <v>0</v>
      </c>
      <c r="H39" s="75"/>
      <c r="I39" s="75">
        <v>0</v>
      </c>
      <c r="J39" s="75">
        <f t="shared" si="7"/>
        <v>3000</v>
      </c>
      <c r="K39" s="75">
        <f t="shared" si="8"/>
        <v>3000</v>
      </c>
      <c r="L39" s="157">
        <f>+G39*100/E39</f>
        <v>0</v>
      </c>
      <c r="N39" s="43"/>
    </row>
    <row r="40" spans="1:14" ht="13.5" customHeight="1" x14ac:dyDescent="0.2">
      <c r="A40" s="73" t="s">
        <v>130</v>
      </c>
      <c r="B40" s="74" t="s">
        <v>131</v>
      </c>
      <c r="C40" s="75">
        <v>2000</v>
      </c>
      <c r="D40" s="75">
        <v>10000</v>
      </c>
      <c r="E40" s="75">
        <v>10000</v>
      </c>
      <c r="F40" s="75">
        <v>2728.5</v>
      </c>
      <c r="G40" s="75">
        <v>2728.5</v>
      </c>
      <c r="H40" s="75"/>
      <c r="I40" s="75"/>
      <c r="J40" s="75">
        <f t="shared" si="7"/>
        <v>7271.5</v>
      </c>
      <c r="K40" s="75">
        <f t="shared" si="8"/>
        <v>7271.5</v>
      </c>
      <c r="L40" s="157">
        <f>+G40*100/E40</f>
        <v>27.285</v>
      </c>
      <c r="N40" s="43"/>
    </row>
    <row r="41" spans="1:14" ht="11.25" customHeight="1" x14ac:dyDescent="0.2">
      <c r="A41" s="73" t="s">
        <v>132</v>
      </c>
      <c r="B41" s="74" t="s">
        <v>133</v>
      </c>
      <c r="C41" s="75">
        <v>79362</v>
      </c>
      <c r="D41" s="75">
        <v>60362</v>
      </c>
      <c r="E41" s="75">
        <v>17362</v>
      </c>
      <c r="F41" s="75">
        <v>0</v>
      </c>
      <c r="G41" s="75">
        <v>3900</v>
      </c>
      <c r="H41" s="75"/>
      <c r="I41" s="75">
        <v>0</v>
      </c>
      <c r="J41" s="75">
        <f t="shared" si="7"/>
        <v>13462</v>
      </c>
      <c r="K41" s="75">
        <f t="shared" si="8"/>
        <v>56462</v>
      </c>
      <c r="L41" s="157">
        <f>+G41*100/E41</f>
        <v>22.462849902085015</v>
      </c>
      <c r="N41" s="43"/>
    </row>
    <row r="42" spans="1:14" ht="15" customHeight="1" x14ac:dyDescent="0.2">
      <c r="A42" s="73" t="s">
        <v>134</v>
      </c>
      <c r="B42" s="74" t="s">
        <v>135</v>
      </c>
      <c r="C42" s="75">
        <v>7450</v>
      </c>
      <c r="D42" s="75">
        <v>2450</v>
      </c>
      <c r="E42" s="75">
        <v>2450</v>
      </c>
      <c r="F42" s="75">
        <v>0</v>
      </c>
      <c r="G42" s="75">
        <v>0</v>
      </c>
      <c r="H42" s="75"/>
      <c r="I42" s="75">
        <v>0</v>
      </c>
      <c r="J42" s="75">
        <f t="shared" si="7"/>
        <v>2450</v>
      </c>
      <c r="K42" s="75">
        <f t="shared" si="8"/>
        <v>2450</v>
      </c>
      <c r="L42" s="157"/>
      <c r="N42" s="43"/>
    </row>
    <row r="43" spans="1:14" ht="15" customHeight="1" x14ac:dyDescent="0.2">
      <c r="A43" s="73" t="s">
        <v>136</v>
      </c>
      <c r="B43" s="74" t="s">
        <v>137</v>
      </c>
      <c r="C43" s="75">
        <v>12400</v>
      </c>
      <c r="D43" s="75">
        <f>+C43</f>
        <v>12400</v>
      </c>
      <c r="E43" s="75">
        <v>12400</v>
      </c>
      <c r="F43" s="75">
        <v>0</v>
      </c>
      <c r="G43" s="75">
        <v>0</v>
      </c>
      <c r="H43" s="75"/>
      <c r="I43" s="75">
        <v>0</v>
      </c>
      <c r="J43" s="75">
        <f t="shared" si="7"/>
        <v>12400</v>
      </c>
      <c r="K43" s="75">
        <f t="shared" si="8"/>
        <v>12400</v>
      </c>
      <c r="L43" s="157"/>
      <c r="N43" s="43"/>
    </row>
    <row r="44" spans="1:14" ht="15.6" customHeight="1" x14ac:dyDescent="0.2">
      <c r="A44" s="73" t="s">
        <v>138</v>
      </c>
      <c r="B44" s="74" t="s">
        <v>139</v>
      </c>
      <c r="C44" s="75">
        <v>47225</v>
      </c>
      <c r="D44" s="75">
        <v>54125</v>
      </c>
      <c r="E44" s="75">
        <v>54125</v>
      </c>
      <c r="F44" s="75">
        <v>1269.02</v>
      </c>
      <c r="G44" s="75">
        <v>13217.12</v>
      </c>
      <c r="H44" s="75">
        <v>7347.1</v>
      </c>
      <c r="I44" s="75">
        <v>126.26</v>
      </c>
      <c r="J44" s="75">
        <f t="shared" si="7"/>
        <v>40907.879999999997</v>
      </c>
      <c r="K44" s="75">
        <f t="shared" si="8"/>
        <v>40907.879999999997</v>
      </c>
      <c r="L44" s="157">
        <f t="shared" ref="L44:L51" si="9">+G44*100/E44</f>
        <v>24.419621247113163</v>
      </c>
      <c r="N44" s="43"/>
    </row>
    <row r="45" spans="1:14" x14ac:dyDescent="0.2">
      <c r="A45" s="81" t="s">
        <v>140</v>
      </c>
      <c r="B45" s="78" t="s">
        <v>141</v>
      </c>
      <c r="C45" s="78">
        <f>SUM(C46:C53)</f>
        <v>3352943</v>
      </c>
      <c r="D45" s="78">
        <f>SUM(D46:D53)</f>
        <v>3611443</v>
      </c>
      <c r="E45" s="78">
        <f>SUM(E46:E53)</f>
        <v>1321123</v>
      </c>
      <c r="F45" s="78">
        <f>SUM(F46:F52)</f>
        <v>618807.72</v>
      </c>
      <c r="G45" s="78">
        <v>921513.22</v>
      </c>
      <c r="H45" s="78">
        <f t="shared" ref="H45" si="10">SUM(H46:H53)</f>
        <v>527599.12</v>
      </c>
      <c r="I45" s="78">
        <f t="shared" ref="I45" si="11">SUM(I46:I53)</f>
        <v>507909.64</v>
      </c>
      <c r="J45" s="78">
        <f t="shared" si="7"/>
        <v>399609.78</v>
      </c>
      <c r="K45" s="78">
        <f t="shared" si="8"/>
        <v>2689929.7800000003</v>
      </c>
      <c r="L45" s="156">
        <f t="shared" si="9"/>
        <v>69.75226530762086</v>
      </c>
      <c r="N45" s="43"/>
    </row>
    <row r="46" spans="1:14" ht="12" customHeight="1" x14ac:dyDescent="0.2">
      <c r="A46" s="80" t="s">
        <v>142</v>
      </c>
      <c r="B46" s="75" t="s">
        <v>143</v>
      </c>
      <c r="C46" s="75">
        <v>109200</v>
      </c>
      <c r="D46" s="75">
        <v>109200</v>
      </c>
      <c r="E46" s="75">
        <v>30000</v>
      </c>
      <c r="F46" s="75">
        <v>28163.94</v>
      </c>
      <c r="G46" s="75">
        <v>37941.199999999997</v>
      </c>
      <c r="H46" s="75">
        <v>37941.199999999997</v>
      </c>
      <c r="I46" s="75">
        <v>19165.240000000002</v>
      </c>
      <c r="J46" s="75">
        <f t="shared" si="7"/>
        <v>-7941.1999999999971</v>
      </c>
      <c r="K46" s="75">
        <f t="shared" si="8"/>
        <v>71258.8</v>
      </c>
      <c r="L46" s="157">
        <f t="shared" si="9"/>
        <v>126.47066666666665</v>
      </c>
      <c r="N46" s="43"/>
    </row>
    <row r="47" spans="1:14" ht="14.25" customHeight="1" x14ac:dyDescent="0.2">
      <c r="A47" s="73" t="s">
        <v>144</v>
      </c>
      <c r="B47" s="74" t="s">
        <v>145</v>
      </c>
      <c r="C47" s="75">
        <v>43100</v>
      </c>
      <c r="D47" s="75">
        <v>51600</v>
      </c>
      <c r="E47" s="75">
        <v>21200</v>
      </c>
      <c r="F47" s="75">
        <v>1559.63</v>
      </c>
      <c r="G47" s="75">
        <v>1559.63</v>
      </c>
      <c r="H47" s="75">
        <v>879.63</v>
      </c>
      <c r="I47" s="75">
        <v>879.63</v>
      </c>
      <c r="J47" s="75">
        <f t="shared" si="7"/>
        <v>19640.37</v>
      </c>
      <c r="K47" s="75">
        <f t="shared" si="8"/>
        <v>50040.37</v>
      </c>
      <c r="L47" s="157">
        <f t="shared" si="9"/>
        <v>7.356745283018868</v>
      </c>
      <c r="N47" s="43"/>
    </row>
    <row r="48" spans="1:14" ht="13.5" customHeight="1" x14ac:dyDescent="0.2">
      <c r="A48" s="73" t="s">
        <v>146</v>
      </c>
      <c r="B48" s="74" t="s">
        <v>147</v>
      </c>
      <c r="C48" s="75">
        <v>4500</v>
      </c>
      <c r="D48" s="75">
        <v>4500</v>
      </c>
      <c r="E48" s="75">
        <v>4500</v>
      </c>
      <c r="F48" s="75">
        <v>0</v>
      </c>
      <c r="G48" s="75">
        <v>50</v>
      </c>
      <c r="H48" s="75">
        <v>50</v>
      </c>
      <c r="I48" s="75">
        <v>0</v>
      </c>
      <c r="J48" s="75">
        <f t="shared" si="7"/>
        <v>4450</v>
      </c>
      <c r="K48" s="75">
        <f t="shared" si="8"/>
        <v>4450</v>
      </c>
      <c r="L48" s="157">
        <f t="shared" si="9"/>
        <v>1.1111111111111112</v>
      </c>
      <c r="N48" s="43"/>
    </row>
    <row r="49" spans="1:21" ht="13.5" customHeight="1" x14ac:dyDescent="0.2">
      <c r="A49" s="73" t="s">
        <v>148</v>
      </c>
      <c r="B49" s="74" t="s">
        <v>149</v>
      </c>
      <c r="C49" s="75">
        <v>2717526</v>
      </c>
      <c r="D49" s="75">
        <v>2717526</v>
      </c>
      <c r="E49" s="75">
        <v>741166</v>
      </c>
      <c r="F49" s="75">
        <v>256099.36</v>
      </c>
      <c r="G49" s="75">
        <v>470420.31999999995</v>
      </c>
      <c r="H49" s="75">
        <v>470420.32</v>
      </c>
      <c r="I49" s="75">
        <v>470420.32</v>
      </c>
      <c r="J49" s="75">
        <f t="shared" si="7"/>
        <v>270745.68000000005</v>
      </c>
      <c r="K49" s="75">
        <f t="shared" si="8"/>
        <v>2247105.6800000002</v>
      </c>
      <c r="L49" s="157">
        <f t="shared" si="9"/>
        <v>63.470304897958073</v>
      </c>
      <c r="N49" s="43"/>
    </row>
    <row r="50" spans="1:21" ht="15" customHeight="1" x14ac:dyDescent="0.2">
      <c r="A50" s="73" t="s">
        <v>150</v>
      </c>
      <c r="B50" s="74" t="s">
        <v>151</v>
      </c>
      <c r="C50" s="75">
        <v>243600</v>
      </c>
      <c r="D50" s="75">
        <v>243600</v>
      </c>
      <c r="E50" s="75">
        <v>66440</v>
      </c>
      <c r="F50" s="75">
        <v>17444.45</v>
      </c>
      <c r="G50" s="75">
        <v>17444.45</v>
      </c>
      <c r="H50" s="75">
        <v>17444.45</v>
      </c>
      <c r="I50" s="75">
        <v>17444.45</v>
      </c>
      <c r="J50" s="75">
        <f t="shared" si="7"/>
        <v>48995.55</v>
      </c>
      <c r="K50" s="75">
        <f t="shared" si="8"/>
        <v>226155.55</v>
      </c>
      <c r="L50" s="157">
        <f t="shared" si="9"/>
        <v>26.255945213726672</v>
      </c>
      <c r="N50" s="43"/>
    </row>
    <row r="51" spans="1:21" ht="13.15" customHeight="1" x14ac:dyDescent="0.2">
      <c r="A51" s="73">
        <v>116</v>
      </c>
      <c r="B51" s="74" t="s">
        <v>403</v>
      </c>
      <c r="C51" s="75">
        <v>204417</v>
      </c>
      <c r="D51" s="75">
        <v>454417</v>
      </c>
      <c r="E51" s="75">
        <v>427217</v>
      </c>
      <c r="F51" s="75">
        <v>315540.34000000003</v>
      </c>
      <c r="G51" s="75">
        <v>394097.62</v>
      </c>
      <c r="H51" s="75">
        <v>863.52</v>
      </c>
      <c r="I51" s="75">
        <v>0</v>
      </c>
      <c r="J51" s="75">
        <f t="shared" si="7"/>
        <v>33119.380000000005</v>
      </c>
      <c r="K51" s="75">
        <f t="shared" si="8"/>
        <v>60319.380000000005</v>
      </c>
      <c r="L51" s="157">
        <f t="shared" si="9"/>
        <v>92.247644639609376</v>
      </c>
      <c r="N51" s="43"/>
    </row>
    <row r="52" spans="1:21" ht="13.5" customHeight="1" x14ac:dyDescent="0.2">
      <c r="A52" s="73">
        <v>117</v>
      </c>
      <c r="B52" s="74" t="s">
        <v>409</v>
      </c>
      <c r="C52" s="75">
        <v>30000</v>
      </c>
      <c r="D52" s="75">
        <v>30000</v>
      </c>
      <c r="E52" s="75">
        <v>30000</v>
      </c>
      <c r="F52" s="75">
        <v>0</v>
      </c>
      <c r="G52" s="75">
        <v>0</v>
      </c>
      <c r="H52" s="75"/>
      <c r="I52" s="75"/>
      <c r="J52" s="75">
        <f t="shared" si="7"/>
        <v>30000</v>
      </c>
      <c r="K52" s="75"/>
      <c r="L52" s="157" t="s">
        <v>6</v>
      </c>
      <c r="N52" s="43"/>
    </row>
    <row r="53" spans="1:21" ht="13.5" customHeight="1" x14ac:dyDescent="0.2">
      <c r="A53" s="73">
        <v>119</v>
      </c>
      <c r="B53" s="74" t="s">
        <v>462</v>
      </c>
      <c r="C53" s="75">
        <v>600</v>
      </c>
      <c r="D53" s="75">
        <v>600</v>
      </c>
      <c r="E53" s="75">
        <v>600</v>
      </c>
      <c r="F53" s="75"/>
      <c r="G53" s="75"/>
      <c r="H53" s="75"/>
      <c r="I53" s="75"/>
      <c r="J53" s="75"/>
      <c r="K53" s="75"/>
      <c r="L53" s="157"/>
      <c r="N53" s="43"/>
    </row>
    <row r="54" spans="1:21" ht="12.75" customHeight="1" x14ac:dyDescent="0.2">
      <c r="A54" s="76">
        <v>120</v>
      </c>
      <c r="B54" s="78" t="s">
        <v>153</v>
      </c>
      <c r="C54" s="78">
        <v>87500</v>
      </c>
      <c r="D54" s="78">
        <v>27900</v>
      </c>
      <c r="E54" s="78">
        <v>27900</v>
      </c>
      <c r="F54" s="78">
        <v>6757.07</v>
      </c>
      <c r="G54" s="78">
        <v>8531.7999999999993</v>
      </c>
      <c r="H54" s="78">
        <v>558.36</v>
      </c>
      <c r="I54" s="78">
        <v>274.73</v>
      </c>
      <c r="J54" s="78">
        <f t="shared" ref="J54:J64" si="12">+E54-G54</f>
        <v>19368.2</v>
      </c>
      <c r="K54" s="78">
        <f t="shared" ref="K54:K67" si="13">+D54-G54</f>
        <v>19368.2</v>
      </c>
      <c r="L54" s="156">
        <f t="shared" ref="L54:L66" si="14">+G54*100/E54</f>
        <v>30.579928315412182</v>
      </c>
      <c r="M54" s="7"/>
      <c r="N54" s="43"/>
      <c r="U54">
        <f ca="1">U54</f>
        <v>0</v>
      </c>
    </row>
    <row r="55" spans="1:21" ht="13.5" customHeight="1" x14ac:dyDescent="0.2">
      <c r="A55" s="81" t="s">
        <v>154</v>
      </c>
      <c r="B55" s="78" t="s">
        <v>155</v>
      </c>
      <c r="C55" s="78">
        <f>SUM(C56:C57)</f>
        <v>163284</v>
      </c>
      <c r="D55" s="78">
        <f>SUM(D56:D57)</f>
        <v>56184</v>
      </c>
      <c r="E55" s="78">
        <f>SUM(E56:E57)</f>
        <v>56184</v>
      </c>
      <c r="F55" s="78">
        <f>F56</f>
        <v>3048.86</v>
      </c>
      <c r="G55" s="78">
        <v>6072.68</v>
      </c>
      <c r="H55" s="78">
        <f>+H56</f>
        <v>3023.82</v>
      </c>
      <c r="I55" s="78">
        <f>SUM(I56:I57)</f>
        <v>3023.82</v>
      </c>
      <c r="J55" s="78">
        <f t="shared" si="12"/>
        <v>50111.32</v>
      </c>
      <c r="K55" s="78">
        <f t="shared" si="13"/>
        <v>50111.32</v>
      </c>
      <c r="L55" s="156">
        <f t="shared" si="14"/>
        <v>10.808557596468745</v>
      </c>
      <c r="M55" s="7"/>
      <c r="N55" s="43"/>
    </row>
    <row r="56" spans="1:21" ht="14.25" customHeight="1" x14ac:dyDescent="0.2">
      <c r="A56" s="73" t="s">
        <v>156</v>
      </c>
      <c r="B56" s="75" t="s">
        <v>157</v>
      </c>
      <c r="C56" s="75">
        <v>81769</v>
      </c>
      <c r="D56" s="75">
        <v>36669</v>
      </c>
      <c r="E56" s="75">
        <v>36669</v>
      </c>
      <c r="F56" s="75">
        <v>3048.86</v>
      </c>
      <c r="G56" s="75">
        <v>6072.68</v>
      </c>
      <c r="H56" s="75">
        <v>3023.82</v>
      </c>
      <c r="I56" s="75">
        <v>3023.82</v>
      </c>
      <c r="J56" s="75">
        <f t="shared" si="12"/>
        <v>30596.32</v>
      </c>
      <c r="K56" s="75">
        <f t="shared" si="13"/>
        <v>30596.32</v>
      </c>
      <c r="L56" s="157">
        <f t="shared" si="14"/>
        <v>16.560800676320596</v>
      </c>
      <c r="M56" s="7"/>
      <c r="N56" s="43"/>
    </row>
    <row r="57" spans="1:21" ht="15" customHeight="1" x14ac:dyDescent="0.2">
      <c r="A57" s="73" t="s">
        <v>324</v>
      </c>
      <c r="B57" s="75" t="s">
        <v>325</v>
      </c>
      <c r="C57" s="75">
        <v>81515</v>
      </c>
      <c r="D57" s="75">
        <v>19515</v>
      </c>
      <c r="E57" s="75">
        <v>19515</v>
      </c>
      <c r="F57" s="75">
        <v>0</v>
      </c>
      <c r="G57" s="75">
        <v>0</v>
      </c>
      <c r="H57" s="75"/>
      <c r="I57" s="75">
        <v>0</v>
      </c>
      <c r="J57" s="75">
        <f t="shared" si="12"/>
        <v>19515</v>
      </c>
      <c r="K57" s="75">
        <f t="shared" si="13"/>
        <v>19515</v>
      </c>
      <c r="L57" s="157">
        <f t="shared" si="14"/>
        <v>0</v>
      </c>
      <c r="M57" s="7"/>
      <c r="N57" s="43"/>
    </row>
    <row r="58" spans="1:21" x14ac:dyDescent="0.2">
      <c r="A58" s="81" t="s">
        <v>158</v>
      </c>
      <c r="B58" s="78" t="s">
        <v>159</v>
      </c>
      <c r="C58" s="78">
        <f>SUM(C59:C61)</f>
        <v>981486</v>
      </c>
      <c r="D58" s="78">
        <f>SUM(D59:D61)</f>
        <v>588486</v>
      </c>
      <c r="E58" s="78">
        <f>SUM(E59:E61)</f>
        <v>222262</v>
      </c>
      <c r="F58" s="78">
        <f>SUM(F59:F61)</f>
        <v>35432</v>
      </c>
      <c r="G58" s="78">
        <v>70878</v>
      </c>
      <c r="H58" s="78">
        <f>SUM(H59:H61)</f>
        <v>70878</v>
      </c>
      <c r="I58" s="78">
        <f>SUM(I59:I61)</f>
        <v>68630</v>
      </c>
      <c r="J58" s="78">
        <f t="shared" si="12"/>
        <v>151384</v>
      </c>
      <c r="K58" s="78">
        <f t="shared" si="13"/>
        <v>517608</v>
      </c>
      <c r="L58" s="156">
        <f t="shared" si="14"/>
        <v>31.889391798868001</v>
      </c>
      <c r="M58" s="7"/>
      <c r="N58" s="43"/>
    </row>
    <row r="59" spans="1:21" ht="15.75" customHeight="1" x14ac:dyDescent="0.2">
      <c r="A59" s="80" t="s">
        <v>160</v>
      </c>
      <c r="B59" s="75" t="s">
        <v>161</v>
      </c>
      <c r="C59" s="75">
        <v>621226</v>
      </c>
      <c r="D59" s="75">
        <v>408226</v>
      </c>
      <c r="E59" s="75">
        <v>116696</v>
      </c>
      <c r="F59" s="75">
        <v>31832</v>
      </c>
      <c r="G59" s="75">
        <v>67262</v>
      </c>
      <c r="H59" s="75">
        <v>67262</v>
      </c>
      <c r="I59" s="75">
        <v>65030</v>
      </c>
      <c r="J59" s="75">
        <f t="shared" si="12"/>
        <v>49434</v>
      </c>
      <c r="K59" s="75">
        <f t="shared" si="13"/>
        <v>340964</v>
      </c>
      <c r="L59" s="157">
        <f>+G59*100/E59</f>
        <v>57.638650853499691</v>
      </c>
      <c r="N59" s="43"/>
    </row>
    <row r="60" spans="1:21" ht="13.5" customHeight="1" x14ac:dyDescent="0.2">
      <c r="A60" s="73" t="s">
        <v>162</v>
      </c>
      <c r="B60" s="74" t="s">
        <v>163</v>
      </c>
      <c r="C60" s="75">
        <v>227583</v>
      </c>
      <c r="D60" s="75">
        <v>90583</v>
      </c>
      <c r="E60" s="75">
        <v>58566</v>
      </c>
      <c r="F60" s="75">
        <v>3600</v>
      </c>
      <c r="G60" s="75">
        <v>3600</v>
      </c>
      <c r="H60" s="75">
        <v>3600</v>
      </c>
      <c r="I60" s="75">
        <v>3600</v>
      </c>
      <c r="J60" s="75">
        <f t="shared" si="12"/>
        <v>54966</v>
      </c>
      <c r="K60" s="75">
        <f t="shared" si="13"/>
        <v>86983</v>
      </c>
      <c r="L60" s="157">
        <f t="shared" si="14"/>
        <v>6.1469111771334903</v>
      </c>
      <c r="N60" s="43"/>
    </row>
    <row r="61" spans="1:21" ht="12" customHeight="1" x14ac:dyDescent="0.2">
      <c r="A61" s="73">
        <v>143</v>
      </c>
      <c r="B61" s="74" t="s">
        <v>164</v>
      </c>
      <c r="C61" s="75">
        <v>132677</v>
      </c>
      <c r="D61" s="75">
        <v>89677</v>
      </c>
      <c r="E61" s="75">
        <v>47000</v>
      </c>
      <c r="F61" s="75">
        <v>0</v>
      </c>
      <c r="G61" s="75">
        <v>16</v>
      </c>
      <c r="H61" s="75">
        <v>16</v>
      </c>
      <c r="I61" s="75">
        <v>0</v>
      </c>
      <c r="J61" s="75">
        <f t="shared" si="12"/>
        <v>46984</v>
      </c>
      <c r="K61" s="75">
        <f t="shared" si="13"/>
        <v>89661</v>
      </c>
      <c r="L61" s="157">
        <f t="shared" si="14"/>
        <v>3.4042553191489362E-2</v>
      </c>
      <c r="N61" s="43"/>
    </row>
    <row r="62" spans="1:21" x14ac:dyDescent="0.2">
      <c r="A62" s="81" t="s">
        <v>165</v>
      </c>
      <c r="B62" s="78" t="s">
        <v>166</v>
      </c>
      <c r="C62" s="78">
        <f>SUM(C63:C65)</f>
        <v>448811</v>
      </c>
      <c r="D62" s="78">
        <f>SUM(D63:D66)</f>
        <v>340511</v>
      </c>
      <c r="E62" s="78">
        <f>+E63+E64+E65+E66</f>
        <v>209240</v>
      </c>
      <c r="F62" s="78">
        <f>SUM(F63:F66)</f>
        <v>7043.8200000000006</v>
      </c>
      <c r="G62" s="78">
        <v>14003.79</v>
      </c>
      <c r="H62" s="78">
        <f>+H63+H64+H65+H66</f>
        <v>10193.56</v>
      </c>
      <c r="I62" s="78">
        <f>SUM(I63:I66)</f>
        <v>8883.2900000000009</v>
      </c>
      <c r="J62" s="78">
        <f t="shared" si="12"/>
        <v>195236.21</v>
      </c>
      <c r="K62" s="78">
        <f t="shared" si="13"/>
        <v>326507.21000000002</v>
      </c>
      <c r="L62" s="156">
        <f t="shared" si="14"/>
        <v>6.6926926017969794</v>
      </c>
      <c r="M62" s="7"/>
      <c r="N62" s="43"/>
      <c r="O62" s="43" t="s">
        <v>6</v>
      </c>
      <c r="P62" s="43" t="s">
        <v>6</v>
      </c>
    </row>
    <row r="63" spans="1:21" ht="15" customHeight="1" x14ac:dyDescent="0.2">
      <c r="A63" s="80" t="s">
        <v>167</v>
      </c>
      <c r="B63" s="75" t="s">
        <v>161</v>
      </c>
      <c r="C63" s="75">
        <v>251809</v>
      </c>
      <c r="D63" s="75">
        <v>160009</v>
      </c>
      <c r="E63" s="75">
        <v>87960</v>
      </c>
      <c r="F63" s="75">
        <v>5191.5600000000004</v>
      </c>
      <c r="G63" s="174">
        <v>11605.87</v>
      </c>
      <c r="H63" s="75">
        <v>10021.27</v>
      </c>
      <c r="I63" s="75">
        <v>8843.5300000000007</v>
      </c>
      <c r="J63" s="75">
        <f t="shared" si="12"/>
        <v>76354.13</v>
      </c>
      <c r="K63" s="80">
        <f t="shared" si="13"/>
        <v>148403.13</v>
      </c>
      <c r="L63" s="157">
        <f t="shared" si="14"/>
        <v>13.194486130059119</v>
      </c>
      <c r="N63" s="43"/>
    </row>
    <row r="64" spans="1:21" ht="12.75" customHeight="1" x14ac:dyDescent="0.2">
      <c r="A64" s="73" t="s">
        <v>168</v>
      </c>
      <c r="B64" s="74" t="s">
        <v>163</v>
      </c>
      <c r="C64" s="75">
        <v>158402</v>
      </c>
      <c r="D64" s="75">
        <v>143402</v>
      </c>
      <c r="E64" s="75">
        <v>94000</v>
      </c>
      <c r="F64" s="75">
        <v>1479.38</v>
      </c>
      <c r="G64" s="174">
        <v>1906.38</v>
      </c>
      <c r="H64" s="75"/>
      <c r="I64" s="75">
        <v>0</v>
      </c>
      <c r="J64" s="75">
        <f t="shared" si="12"/>
        <v>92093.62</v>
      </c>
      <c r="K64" s="80">
        <f t="shared" si="13"/>
        <v>141495.62</v>
      </c>
      <c r="L64" s="157">
        <f t="shared" si="14"/>
        <v>2.028063829787234</v>
      </c>
      <c r="N64" s="43"/>
    </row>
    <row r="65" spans="1:15" ht="12.75" customHeight="1" x14ac:dyDescent="0.2">
      <c r="A65" s="73">
        <v>153</v>
      </c>
      <c r="B65" s="74" t="s">
        <v>169</v>
      </c>
      <c r="C65" s="75">
        <v>38600</v>
      </c>
      <c r="D65" s="75">
        <v>31600</v>
      </c>
      <c r="E65" s="75">
        <v>21780</v>
      </c>
      <c r="F65" s="75">
        <v>0</v>
      </c>
      <c r="G65" s="75">
        <v>25.16</v>
      </c>
      <c r="H65" s="171">
        <v>25.16</v>
      </c>
      <c r="I65" s="75">
        <v>0</v>
      </c>
      <c r="J65" s="112" t="s">
        <v>455</v>
      </c>
      <c r="K65" s="170">
        <f>+D65-G65</f>
        <v>31574.84</v>
      </c>
      <c r="L65" s="157">
        <f t="shared" si="14"/>
        <v>0.1155188246097337</v>
      </c>
      <c r="N65" s="43"/>
    </row>
    <row r="66" spans="1:15" ht="14.1" customHeight="1" x14ac:dyDescent="0.2">
      <c r="A66" s="73">
        <v>154</v>
      </c>
      <c r="B66" s="74" t="s">
        <v>370</v>
      </c>
      <c r="C66" s="75"/>
      <c r="D66" s="75">
        <v>5500</v>
      </c>
      <c r="E66" s="75">
        <v>5500</v>
      </c>
      <c r="F66" s="75">
        <v>372.88</v>
      </c>
      <c r="G66" s="75">
        <v>466.38</v>
      </c>
      <c r="H66" s="75">
        <v>147.13</v>
      </c>
      <c r="I66" s="75">
        <v>39.76</v>
      </c>
      <c r="J66" s="75">
        <f>+E66-G66</f>
        <v>5033.62</v>
      </c>
      <c r="K66" s="80">
        <f t="shared" si="13"/>
        <v>5033.62</v>
      </c>
      <c r="L66" s="157">
        <f t="shared" si="14"/>
        <v>8.479636363636363</v>
      </c>
      <c r="N66" s="43"/>
    </row>
    <row r="67" spans="1:15" ht="15.75" customHeight="1" x14ac:dyDescent="0.2">
      <c r="A67" s="81" t="s">
        <v>170</v>
      </c>
      <c r="B67" s="78" t="s">
        <v>171</v>
      </c>
      <c r="C67" s="78">
        <f>SUM(C68:C72)</f>
        <v>1451047</v>
      </c>
      <c r="D67" s="78">
        <f>SUM(D68:D72)</f>
        <v>1612847</v>
      </c>
      <c r="E67" s="78">
        <f>SUM(E68:E72)</f>
        <v>1040642</v>
      </c>
      <c r="F67" s="78">
        <f>+F68+F69+F70+F72+F71</f>
        <v>167110.47999999998</v>
      </c>
      <c r="G67" s="78">
        <v>219496.63999999998</v>
      </c>
      <c r="H67" s="78">
        <f>+H68+H69+H70+H72+H71</f>
        <v>17431.080000000002</v>
      </c>
      <c r="I67" s="78">
        <f>+I68+I69+I70+I72+I71</f>
        <v>3478.09</v>
      </c>
      <c r="J67" s="78">
        <f>+E67-G67</f>
        <v>821145.36</v>
      </c>
      <c r="K67" s="81">
        <f t="shared" si="13"/>
        <v>1393350.36</v>
      </c>
      <c r="L67" s="156">
        <f>+G67*100/E67</f>
        <v>21.092425637250852</v>
      </c>
      <c r="N67" s="43"/>
      <c r="O67" s="43">
        <f>SUM(N70:N72)</f>
        <v>0</v>
      </c>
    </row>
    <row r="68" spans="1:15" ht="0.75" customHeight="1" x14ac:dyDescent="0.2">
      <c r="A68" s="73">
        <v>162</v>
      </c>
      <c r="B68" s="75" t="s">
        <v>456</v>
      </c>
      <c r="C68" s="75">
        <v>0</v>
      </c>
      <c r="D68" s="75">
        <v>0</v>
      </c>
      <c r="E68" s="75">
        <v>0</v>
      </c>
      <c r="F68" s="75"/>
      <c r="G68" s="75"/>
      <c r="H68" s="75"/>
      <c r="I68" s="75"/>
      <c r="J68" s="75"/>
      <c r="K68" s="81"/>
      <c r="L68" s="156"/>
      <c r="N68" s="43"/>
    </row>
    <row r="69" spans="1:15" ht="13.5" customHeight="1" x14ac:dyDescent="0.2">
      <c r="A69" s="80" t="s">
        <v>316</v>
      </c>
      <c r="B69" s="75" t="s">
        <v>317</v>
      </c>
      <c r="C69" s="75">
        <v>3400</v>
      </c>
      <c r="D69" s="75">
        <v>3400</v>
      </c>
      <c r="E69" s="75">
        <v>3400</v>
      </c>
      <c r="F69" s="75"/>
      <c r="G69" s="75">
        <v>0</v>
      </c>
      <c r="H69" s="75"/>
      <c r="I69" s="75"/>
      <c r="J69" s="75">
        <f>+E69-G69</f>
        <v>3400</v>
      </c>
      <c r="K69" s="80">
        <f>+D69-G69</f>
        <v>3400</v>
      </c>
      <c r="L69" s="157" t="s">
        <v>6</v>
      </c>
      <c r="N69" s="43"/>
    </row>
    <row r="70" spans="1:15" ht="13.5" customHeight="1" x14ac:dyDescent="0.2">
      <c r="A70" s="80" t="s">
        <v>172</v>
      </c>
      <c r="B70" s="75" t="s">
        <v>173</v>
      </c>
      <c r="C70" s="75">
        <v>106950</v>
      </c>
      <c r="D70" s="75">
        <v>256950</v>
      </c>
      <c r="E70" s="75">
        <v>256950</v>
      </c>
      <c r="F70" s="75"/>
      <c r="G70" s="186">
        <v>17576.86</v>
      </c>
      <c r="H70" s="75"/>
      <c r="I70" s="75">
        <v>0</v>
      </c>
      <c r="J70" s="75">
        <f>+E70-G70</f>
        <v>239373.14</v>
      </c>
      <c r="K70" s="80">
        <f>+D70-G70</f>
        <v>239373.14</v>
      </c>
      <c r="L70" s="157">
        <f>+G70*100/E70</f>
        <v>6.8405759875462149</v>
      </c>
      <c r="N70" s="43"/>
    </row>
    <row r="71" spans="1:15" ht="15" customHeight="1" x14ac:dyDescent="0.2">
      <c r="A71" s="73">
        <v>165</v>
      </c>
      <c r="B71" s="75" t="s">
        <v>174</v>
      </c>
      <c r="C71" s="75">
        <v>737884</v>
      </c>
      <c r="D71" s="75">
        <v>791684</v>
      </c>
      <c r="E71" s="75">
        <v>454175</v>
      </c>
      <c r="F71" s="75">
        <v>133152.31</v>
      </c>
      <c r="G71" s="186">
        <v>140580.1</v>
      </c>
      <c r="H71" s="75">
        <v>12503.29</v>
      </c>
      <c r="I71" s="75">
        <v>94.5</v>
      </c>
      <c r="J71" s="75">
        <f>+E71-G71</f>
        <v>313594.90000000002</v>
      </c>
      <c r="K71" s="80">
        <f>+D71-G71</f>
        <v>651103.9</v>
      </c>
      <c r="L71" s="157">
        <f>+G71*100/E71</f>
        <v>30.952848571585843</v>
      </c>
      <c r="N71" s="43"/>
    </row>
    <row r="72" spans="1:15" ht="12.75" customHeight="1" x14ac:dyDescent="0.2">
      <c r="A72" s="73" t="s">
        <v>175</v>
      </c>
      <c r="B72" s="74" t="s">
        <v>176</v>
      </c>
      <c r="C72" s="75">
        <v>602813</v>
      </c>
      <c r="D72" s="75">
        <v>560813</v>
      </c>
      <c r="E72" s="75">
        <v>326117</v>
      </c>
      <c r="F72" s="75">
        <v>33958.17</v>
      </c>
      <c r="G72" s="186">
        <v>61339.679999999993</v>
      </c>
      <c r="H72" s="75">
        <v>4927.79</v>
      </c>
      <c r="I72" s="75">
        <v>3383.59</v>
      </c>
      <c r="J72" s="75">
        <f>+E72-G72</f>
        <v>264777.32</v>
      </c>
      <c r="K72" s="75">
        <f>+D72-G72</f>
        <v>499473.32</v>
      </c>
      <c r="L72" s="157">
        <f>+G72*100/E72</f>
        <v>18.809102254712261</v>
      </c>
      <c r="N72" s="43"/>
    </row>
    <row r="73" spans="1:15" x14ac:dyDescent="0.2">
      <c r="A73" s="82">
        <v>170</v>
      </c>
      <c r="B73" s="91" t="s">
        <v>339</v>
      </c>
      <c r="C73" s="78">
        <f>SUM(C74:C75)</f>
        <v>305833</v>
      </c>
      <c r="D73" s="78">
        <f>SUM(D74:D75)</f>
        <v>305833</v>
      </c>
      <c r="E73" s="78">
        <f>SUM(E74:E75)</f>
        <v>129176</v>
      </c>
      <c r="F73" s="78">
        <f>SUM(F75:F75)</f>
        <v>5017</v>
      </c>
      <c r="G73" s="78">
        <v>14883.76</v>
      </c>
      <c r="H73" s="78">
        <f>+H75</f>
        <v>5538.76</v>
      </c>
      <c r="I73" s="78"/>
      <c r="J73" s="78">
        <f>+E73-G73</f>
        <v>114292.24</v>
      </c>
      <c r="K73" s="78">
        <f>+D73-G73</f>
        <v>290949.24</v>
      </c>
      <c r="L73" s="156">
        <f>+G73*100/E73</f>
        <v>11.522078404657211</v>
      </c>
      <c r="N73" s="43"/>
    </row>
    <row r="74" spans="1:15" x14ac:dyDescent="0.2">
      <c r="A74" s="176">
        <v>171</v>
      </c>
      <c r="B74" s="177" t="s">
        <v>463</v>
      </c>
      <c r="C74" s="75">
        <v>137125</v>
      </c>
      <c r="D74" s="75">
        <v>137125</v>
      </c>
      <c r="E74" s="75">
        <v>87125</v>
      </c>
      <c r="F74" s="78"/>
      <c r="G74" s="78"/>
      <c r="H74" s="78"/>
      <c r="I74" s="78"/>
      <c r="J74" s="78"/>
      <c r="K74" s="78"/>
      <c r="L74" s="156"/>
      <c r="N74" s="43"/>
    </row>
    <row r="75" spans="1:15" ht="15" customHeight="1" x14ac:dyDescent="0.2">
      <c r="A75" s="73" t="s">
        <v>177</v>
      </c>
      <c r="B75" s="74" t="s">
        <v>178</v>
      </c>
      <c r="C75" s="75">
        <v>168708</v>
      </c>
      <c r="D75" s="75">
        <v>168708</v>
      </c>
      <c r="E75" s="75">
        <v>42051</v>
      </c>
      <c r="F75" s="75">
        <v>5017</v>
      </c>
      <c r="G75" s="75">
        <v>14883.76</v>
      </c>
      <c r="H75" s="75">
        <v>5538.76</v>
      </c>
      <c r="I75" s="75">
        <v>0</v>
      </c>
      <c r="J75" s="75">
        <f t="shared" ref="J75:J83" si="15">+E75-G75</f>
        <v>27167.239999999998</v>
      </c>
      <c r="K75" s="75">
        <f t="shared" ref="K75:K83" si="16">+D75-G75</f>
        <v>153824.24</v>
      </c>
      <c r="L75" s="157">
        <f>+G75*100/E75</f>
        <v>35.394544719507266</v>
      </c>
      <c r="N75" s="43"/>
    </row>
    <row r="76" spans="1:15" x14ac:dyDescent="0.2">
      <c r="A76" s="81" t="s">
        <v>179</v>
      </c>
      <c r="B76" s="78" t="s">
        <v>180</v>
      </c>
      <c r="C76" s="78">
        <f>SUM(C77:C82)</f>
        <v>1009621</v>
      </c>
      <c r="D76" s="78">
        <f>SUM(D77:D82)</f>
        <v>797021</v>
      </c>
      <c r="E76" s="78">
        <f>SUM(E77:E82)</f>
        <v>685776</v>
      </c>
      <c r="F76" s="78">
        <f>SUM(F77:F82)</f>
        <v>31224.949999999997</v>
      </c>
      <c r="G76" s="78">
        <v>74289.549999999988</v>
      </c>
      <c r="H76" s="78">
        <f t="shared" ref="H76" si="17">SUM(H77:H82)</f>
        <v>16233.380000000001</v>
      </c>
      <c r="I76" s="78">
        <f t="shared" ref="I76" si="18">SUM(I77:I82)</f>
        <v>3092.42</v>
      </c>
      <c r="J76" s="78">
        <f t="shared" si="15"/>
        <v>611486.44999999995</v>
      </c>
      <c r="K76" s="78">
        <f t="shared" si="16"/>
        <v>722731.45</v>
      </c>
      <c r="L76" s="156">
        <f>+G76*100/E76</f>
        <v>10.832917745736216</v>
      </c>
      <c r="M76" s="7"/>
      <c r="N76" s="43"/>
    </row>
    <row r="77" spans="1:15" ht="14.25" customHeight="1" x14ac:dyDescent="0.2">
      <c r="A77" s="73">
        <v>181</v>
      </c>
      <c r="B77" s="75" t="s">
        <v>181</v>
      </c>
      <c r="C77" s="75">
        <v>150000</v>
      </c>
      <c r="D77" s="75">
        <v>84000</v>
      </c>
      <c r="E77" s="75">
        <v>84000</v>
      </c>
      <c r="F77" s="75">
        <v>0</v>
      </c>
      <c r="G77" s="75">
        <v>0</v>
      </c>
      <c r="H77" s="75"/>
      <c r="I77" s="75">
        <v>0</v>
      </c>
      <c r="J77" s="75">
        <f t="shared" si="15"/>
        <v>84000</v>
      </c>
      <c r="K77" s="75">
        <f t="shared" si="16"/>
        <v>84000</v>
      </c>
      <c r="L77" s="157" t="s">
        <v>6</v>
      </c>
      <c r="N77" s="43"/>
    </row>
    <row r="78" spans="1:15" ht="14.25" customHeight="1" x14ac:dyDescent="0.2">
      <c r="A78" s="80" t="s">
        <v>182</v>
      </c>
      <c r="B78" s="75" t="s">
        <v>326</v>
      </c>
      <c r="C78" s="75">
        <v>370682</v>
      </c>
      <c r="D78" s="75">
        <v>241182</v>
      </c>
      <c r="E78" s="75">
        <v>236182</v>
      </c>
      <c r="F78" s="75">
        <v>20820.169999999998</v>
      </c>
      <c r="G78" s="75">
        <v>38745.46</v>
      </c>
      <c r="H78" s="75">
        <v>13360.68</v>
      </c>
      <c r="I78" s="75">
        <v>2114.34</v>
      </c>
      <c r="J78" s="75">
        <f t="shared" si="15"/>
        <v>197436.54</v>
      </c>
      <c r="K78" s="75">
        <f t="shared" si="16"/>
        <v>202436.54</v>
      </c>
      <c r="L78" s="157">
        <f>+G78*100/E78</f>
        <v>16.404916547408355</v>
      </c>
      <c r="N78" s="43"/>
    </row>
    <row r="79" spans="1:15" ht="12.75" customHeight="1" x14ac:dyDescent="0.2">
      <c r="A79" s="73">
        <v>183</v>
      </c>
      <c r="B79" s="75" t="s">
        <v>327</v>
      </c>
      <c r="C79" s="75">
        <v>25883</v>
      </c>
      <c r="D79" s="75">
        <v>17883</v>
      </c>
      <c r="E79" s="75">
        <v>17883</v>
      </c>
      <c r="F79" s="75">
        <v>0</v>
      </c>
      <c r="G79" s="75">
        <v>0</v>
      </c>
      <c r="H79" s="75"/>
      <c r="I79" s="75">
        <v>0</v>
      </c>
      <c r="J79" s="75">
        <f t="shared" si="15"/>
        <v>17883</v>
      </c>
      <c r="K79" s="75">
        <f t="shared" si="16"/>
        <v>17883</v>
      </c>
      <c r="L79" s="157"/>
      <c r="N79" s="43"/>
    </row>
    <row r="80" spans="1:15" ht="12" customHeight="1" x14ac:dyDescent="0.2">
      <c r="A80" s="73">
        <v>184</v>
      </c>
      <c r="B80" s="75" t="s">
        <v>328</v>
      </c>
      <c r="C80" s="75">
        <v>58665</v>
      </c>
      <c r="D80" s="75">
        <v>11165</v>
      </c>
      <c r="E80" s="75">
        <v>11165</v>
      </c>
      <c r="F80" s="75">
        <v>0</v>
      </c>
      <c r="G80" s="75">
        <v>0</v>
      </c>
      <c r="H80" s="75"/>
      <c r="I80" s="75">
        <v>0</v>
      </c>
      <c r="J80" s="75">
        <f t="shared" si="15"/>
        <v>11165</v>
      </c>
      <c r="K80" s="75">
        <f t="shared" si="16"/>
        <v>11165</v>
      </c>
      <c r="L80" s="157"/>
      <c r="N80" s="43"/>
    </row>
    <row r="81" spans="1:14" ht="12.75" customHeight="1" x14ac:dyDescent="0.2">
      <c r="A81" s="73">
        <v>185</v>
      </c>
      <c r="B81" s="75" t="s">
        <v>335</v>
      </c>
      <c r="C81" s="75">
        <v>24831</v>
      </c>
      <c r="D81" s="75">
        <v>33331</v>
      </c>
      <c r="E81" s="75">
        <v>33331</v>
      </c>
      <c r="F81" s="75">
        <v>5778</v>
      </c>
      <c r="G81" s="75">
        <v>15517.68</v>
      </c>
      <c r="H81" s="75">
        <v>1321.45</v>
      </c>
      <c r="I81" s="75">
        <v>700.85</v>
      </c>
      <c r="J81" s="75">
        <f t="shared" si="15"/>
        <v>17813.32</v>
      </c>
      <c r="K81" s="75">
        <f t="shared" si="16"/>
        <v>17813.32</v>
      </c>
      <c r="L81" s="157"/>
      <c r="N81" s="43"/>
    </row>
    <row r="82" spans="1:14" ht="13.5" customHeight="1" x14ac:dyDescent="0.2">
      <c r="A82" s="73">
        <v>189</v>
      </c>
      <c r="B82" s="74" t="s">
        <v>183</v>
      </c>
      <c r="C82" s="75">
        <v>379560</v>
      </c>
      <c r="D82" s="75">
        <v>409460</v>
      </c>
      <c r="E82" s="75">
        <v>303215</v>
      </c>
      <c r="F82" s="75">
        <v>4626.78</v>
      </c>
      <c r="G82" s="75">
        <v>20026.41</v>
      </c>
      <c r="H82" s="75">
        <v>1551.25</v>
      </c>
      <c r="I82" s="75">
        <v>277.23</v>
      </c>
      <c r="J82" s="75">
        <f t="shared" si="15"/>
        <v>283188.59000000003</v>
      </c>
      <c r="K82" s="75">
        <f t="shared" si="16"/>
        <v>389433.59</v>
      </c>
      <c r="L82" s="157"/>
      <c r="N82" s="43"/>
    </row>
    <row r="83" spans="1:14" ht="13.5" customHeight="1" x14ac:dyDescent="0.2">
      <c r="A83" s="83">
        <v>190</v>
      </c>
      <c r="B83" s="77" t="s">
        <v>383</v>
      </c>
      <c r="C83" s="78">
        <f>+C85+C89</f>
        <v>0</v>
      </c>
      <c r="D83" s="78">
        <f>SUM(D84:D92)</f>
        <v>42300</v>
      </c>
      <c r="E83" s="78">
        <f>SUM(E84:E92)</f>
        <v>42300</v>
      </c>
      <c r="F83" s="78">
        <f>SUM(F84:F93)</f>
        <v>4950.84</v>
      </c>
      <c r="G83" s="78">
        <v>5288</v>
      </c>
      <c r="H83" s="78">
        <f>SUM(H84:H92)</f>
        <v>5288</v>
      </c>
      <c r="I83" s="78">
        <f>SUM(I84:I92)</f>
        <v>3854.56</v>
      </c>
      <c r="J83" s="78">
        <f t="shared" si="15"/>
        <v>37012</v>
      </c>
      <c r="K83" s="78">
        <f t="shared" si="16"/>
        <v>37012</v>
      </c>
      <c r="L83" s="156">
        <f>+G83*100/E83</f>
        <v>12.501182033096926</v>
      </c>
      <c r="N83" s="43"/>
    </row>
    <row r="84" spans="1:14" ht="13.5" customHeight="1" x14ac:dyDescent="0.2">
      <c r="A84" s="84">
        <v>191</v>
      </c>
      <c r="B84" s="74" t="s">
        <v>391</v>
      </c>
      <c r="C84" s="78"/>
      <c r="D84" s="75">
        <f>SUM(C84:C84)</f>
        <v>0</v>
      </c>
      <c r="E84" s="75">
        <v>0</v>
      </c>
      <c r="F84" s="78">
        <v>0</v>
      </c>
      <c r="G84" s="75">
        <v>0</v>
      </c>
      <c r="H84" s="75"/>
      <c r="I84" s="75"/>
      <c r="J84" s="78"/>
      <c r="K84" s="78"/>
      <c r="L84" s="157"/>
      <c r="N84" s="43"/>
    </row>
    <row r="85" spans="1:14" ht="12.75" customHeight="1" x14ac:dyDescent="0.2">
      <c r="A85" s="84">
        <v>192</v>
      </c>
      <c r="B85" s="74" t="s">
        <v>384</v>
      </c>
      <c r="C85" s="75"/>
      <c r="D85" s="75">
        <v>6200</v>
      </c>
      <c r="E85" s="75">
        <v>6200</v>
      </c>
      <c r="F85" s="75"/>
      <c r="G85" s="75"/>
      <c r="H85" s="75"/>
      <c r="I85" s="75"/>
      <c r="J85" s="75">
        <f>+E85-G85</f>
        <v>6200</v>
      </c>
      <c r="K85" s="75">
        <f>+D85-G85</f>
        <v>6200</v>
      </c>
      <c r="L85" s="157">
        <f>+G85*100/E85</f>
        <v>0</v>
      </c>
      <c r="N85" s="43"/>
    </row>
    <row r="86" spans="1:14" ht="13.5" hidden="1" customHeight="1" x14ac:dyDescent="0.2">
      <c r="A86" s="84">
        <v>193</v>
      </c>
      <c r="B86" s="74" t="s">
        <v>392</v>
      </c>
      <c r="C86" s="75"/>
      <c r="D86" s="75"/>
      <c r="E86" s="75">
        <v>0</v>
      </c>
      <c r="F86" s="75"/>
      <c r="G86" s="75"/>
      <c r="H86" s="75"/>
      <c r="I86" s="75"/>
      <c r="J86" s="75">
        <f>+E86-G86</f>
        <v>0</v>
      </c>
      <c r="K86" s="75">
        <f>+D86-G86</f>
        <v>0</v>
      </c>
      <c r="L86" s="157" t="s">
        <v>6</v>
      </c>
      <c r="N86" s="43"/>
    </row>
    <row r="87" spans="1:14" ht="13.5" customHeight="1" x14ac:dyDescent="0.2">
      <c r="A87" s="84">
        <v>194</v>
      </c>
      <c r="B87" s="74" t="s">
        <v>501</v>
      </c>
      <c r="C87" s="75"/>
      <c r="D87" s="75">
        <v>100</v>
      </c>
      <c r="E87" s="75">
        <v>100</v>
      </c>
      <c r="F87" s="75"/>
      <c r="G87" s="75"/>
      <c r="H87" s="75"/>
      <c r="I87" s="75"/>
      <c r="J87" s="75">
        <f>+E87-G87</f>
        <v>100</v>
      </c>
      <c r="K87" s="75"/>
      <c r="L87" s="157"/>
      <c r="N87" s="43"/>
    </row>
    <row r="88" spans="1:14" ht="13.5" customHeight="1" x14ac:dyDescent="0.2">
      <c r="A88" s="84">
        <v>195</v>
      </c>
      <c r="B88" s="74" t="s">
        <v>393</v>
      </c>
      <c r="C88" s="75"/>
      <c r="D88" s="75">
        <v>4000</v>
      </c>
      <c r="E88" s="75">
        <v>4000</v>
      </c>
      <c r="F88" s="75">
        <v>386</v>
      </c>
      <c r="G88" s="75">
        <v>514</v>
      </c>
      <c r="H88" s="75">
        <v>514</v>
      </c>
      <c r="I88" s="75">
        <v>514</v>
      </c>
      <c r="J88" s="75"/>
      <c r="K88" s="75"/>
      <c r="L88" s="157">
        <f>+G88*100/E88</f>
        <v>12.85</v>
      </c>
      <c r="N88" s="43"/>
    </row>
    <row r="89" spans="1:14" ht="13.5" customHeight="1" x14ac:dyDescent="0.2">
      <c r="A89" s="84">
        <v>196</v>
      </c>
      <c r="B89" s="74" t="s">
        <v>385</v>
      </c>
      <c r="C89" s="75"/>
      <c r="D89" s="75">
        <v>11000</v>
      </c>
      <c r="E89" s="75">
        <v>11000</v>
      </c>
      <c r="F89" s="75">
        <v>3144.4</v>
      </c>
      <c r="G89" s="75">
        <v>3333.56</v>
      </c>
      <c r="H89" s="75">
        <v>3333.56</v>
      </c>
      <c r="I89" s="75">
        <v>3320.56</v>
      </c>
      <c r="J89" s="75">
        <f>+E89-G89</f>
        <v>7666.4400000000005</v>
      </c>
      <c r="K89" s="75">
        <f>+D89-G89</f>
        <v>7666.4400000000005</v>
      </c>
      <c r="L89" s="157">
        <f>+G89*100/E89</f>
        <v>30.305090909090911</v>
      </c>
      <c r="N89" s="43"/>
    </row>
    <row r="90" spans="1:14" ht="13.5" customHeight="1" x14ac:dyDescent="0.2">
      <c r="A90" s="84">
        <v>197</v>
      </c>
      <c r="B90" s="74" t="s">
        <v>394</v>
      </c>
      <c r="C90" s="75"/>
      <c r="D90" s="75">
        <v>15000</v>
      </c>
      <c r="E90" s="75">
        <v>15000</v>
      </c>
      <c r="F90" s="75">
        <v>145</v>
      </c>
      <c r="G90" s="75">
        <v>165</v>
      </c>
      <c r="H90" s="75">
        <v>165</v>
      </c>
      <c r="I90" s="75">
        <v>20</v>
      </c>
      <c r="J90" s="75">
        <f>+E90-G90</f>
        <v>14835</v>
      </c>
      <c r="K90" s="75">
        <f>+D90-G90</f>
        <v>14835</v>
      </c>
      <c r="L90" s="157">
        <f t="shared" ref="L90:L92" si="19">+G90*100/E90</f>
        <v>1.1000000000000001</v>
      </c>
      <c r="N90" s="43"/>
    </row>
    <row r="91" spans="1:14" ht="0.75" customHeight="1" x14ac:dyDescent="0.2">
      <c r="A91" s="84">
        <v>198</v>
      </c>
      <c r="B91" s="74" t="s">
        <v>392</v>
      </c>
      <c r="C91" s="87"/>
      <c r="D91" s="75"/>
      <c r="E91" s="75"/>
      <c r="F91" s="75"/>
      <c r="G91" s="75"/>
      <c r="H91" s="75"/>
      <c r="I91" s="75"/>
      <c r="J91" s="75">
        <f>+E91-G91</f>
        <v>0</v>
      </c>
      <c r="K91" s="75"/>
      <c r="L91" s="157" t="e">
        <f t="shared" si="19"/>
        <v>#DIV/0!</v>
      </c>
      <c r="N91" s="43"/>
    </row>
    <row r="92" spans="1:14" ht="13.5" customHeight="1" x14ac:dyDescent="0.2">
      <c r="A92" s="85">
        <v>199</v>
      </c>
      <c r="B92" s="92" t="s">
        <v>395</v>
      </c>
      <c r="C92" s="93"/>
      <c r="D92" s="75">
        <v>6000</v>
      </c>
      <c r="E92" s="75">
        <v>6000</v>
      </c>
      <c r="F92" s="75">
        <v>1275.44</v>
      </c>
      <c r="G92" s="75">
        <v>1275.44</v>
      </c>
      <c r="H92" s="75">
        <v>1275.44</v>
      </c>
      <c r="I92" s="75" t="s">
        <v>6</v>
      </c>
      <c r="J92" s="75">
        <f>+E92-G92</f>
        <v>4724.5599999999995</v>
      </c>
      <c r="K92" s="75">
        <f>+D92-G92</f>
        <v>4724.5599999999995</v>
      </c>
      <c r="L92" s="157">
        <f t="shared" si="19"/>
        <v>21.257333333333332</v>
      </c>
      <c r="N92" s="43"/>
    </row>
    <row r="93" spans="1:14" ht="15" customHeight="1" thickBot="1" x14ac:dyDescent="0.25">
      <c r="A93" s="84"/>
      <c r="B93" s="94"/>
      <c r="C93" s="95"/>
      <c r="D93" s="95"/>
      <c r="E93" s="95"/>
      <c r="F93" s="95"/>
      <c r="G93" s="95"/>
      <c r="H93" s="95"/>
      <c r="I93" s="95"/>
      <c r="J93" s="95"/>
      <c r="K93" s="95"/>
      <c r="L93" s="157"/>
      <c r="N93" s="43"/>
    </row>
    <row r="94" spans="1:14" ht="15.75" customHeight="1" thickBot="1" x14ac:dyDescent="0.25">
      <c r="A94" s="117" t="s">
        <v>185</v>
      </c>
      <c r="B94" s="117" t="s">
        <v>186</v>
      </c>
      <c r="C94" s="118">
        <f>+C95+C98+C104+C110+C114+C120+C128+C134+C143+C144</f>
        <v>3342561</v>
      </c>
      <c r="D94" s="118">
        <f>+D95+D98+D104+D110+D114+D120+D128+D134+D143+D144</f>
        <v>3738561</v>
      </c>
      <c r="E94" s="118">
        <f>+E95+E98+E104+E110+E114+E120+E128+E134+E143+E144</f>
        <v>3227156</v>
      </c>
      <c r="F94" s="119">
        <f>+F95+F98+F104+F110+F114+F120+F128+F134+F143+F144</f>
        <v>305947.99</v>
      </c>
      <c r="G94" s="192">
        <v>781447.16999999993</v>
      </c>
      <c r="H94" s="118">
        <f>+H95+H98+H104+H110+H114+H120+H128+H134+H143+H144</f>
        <v>176310.94</v>
      </c>
      <c r="I94" s="118">
        <f>+I95+I98+I104+I110+I114+I120+I128+I134+I143+I144</f>
        <v>70602.790000000008</v>
      </c>
      <c r="J94" s="120">
        <f>+E94-G94+1</f>
        <v>2445709.83</v>
      </c>
      <c r="K94" s="118">
        <f t="shared" ref="K94:K125" si="20">+D94-G94</f>
        <v>2957113.83</v>
      </c>
      <c r="L94" s="159">
        <f t="shared" ref="L94:L114" si="21">+G94*100/E94</f>
        <v>24.214731794806326</v>
      </c>
      <c r="N94" s="43"/>
    </row>
    <row r="95" spans="1:14" ht="16.5" customHeight="1" x14ac:dyDescent="0.2">
      <c r="A95" s="86" t="s">
        <v>187</v>
      </c>
      <c r="B95" s="124" t="s">
        <v>188</v>
      </c>
      <c r="C95" s="125">
        <f>SUM(C96:C97)</f>
        <v>185018</v>
      </c>
      <c r="D95" s="125">
        <f>SUM(D96:D97)</f>
        <v>143018</v>
      </c>
      <c r="E95" s="125">
        <f>SUM(E96:E97)</f>
        <v>107368</v>
      </c>
      <c r="F95" s="96">
        <f>SUM(F96:F97)</f>
        <v>10999.400000000001</v>
      </c>
      <c r="G95" s="194">
        <v>14199.93</v>
      </c>
      <c r="H95" s="125">
        <f t="shared" ref="H95" si="22">SUM(H96:H97)</f>
        <v>5492.45</v>
      </c>
      <c r="I95" s="125">
        <f t="shared" ref="I95" si="23">SUM(I96:I97)</f>
        <v>2548.21</v>
      </c>
      <c r="J95" s="97">
        <f t="shared" ref="J95:J102" si="24">+E95-G95</f>
        <v>93168.07</v>
      </c>
      <c r="K95" s="125">
        <f t="shared" si="20"/>
        <v>128818.07</v>
      </c>
      <c r="L95" s="160">
        <f t="shared" si="21"/>
        <v>13.225476864615155</v>
      </c>
      <c r="N95" s="43"/>
    </row>
    <row r="96" spans="1:14" ht="13.5" customHeight="1" x14ac:dyDescent="0.2">
      <c r="A96" s="87" t="s">
        <v>189</v>
      </c>
      <c r="B96" s="100" t="s">
        <v>190</v>
      </c>
      <c r="C96" s="100">
        <v>168849</v>
      </c>
      <c r="D96" s="100">
        <v>129849</v>
      </c>
      <c r="E96" s="126">
        <v>94199</v>
      </c>
      <c r="F96" s="98">
        <v>8512.61</v>
      </c>
      <c r="G96" s="174">
        <v>9357.36</v>
      </c>
      <c r="H96" s="75">
        <v>1334.38</v>
      </c>
      <c r="I96" s="100">
        <v>1313.38</v>
      </c>
      <c r="J96" s="75">
        <f t="shared" si="24"/>
        <v>84841.64</v>
      </c>
      <c r="K96" s="100">
        <f t="shared" si="20"/>
        <v>120491.64</v>
      </c>
      <c r="L96" s="161">
        <f t="shared" si="21"/>
        <v>9.9336086370343626</v>
      </c>
      <c r="N96" s="43"/>
    </row>
    <row r="97" spans="1:17" ht="13.5" customHeight="1" x14ac:dyDescent="0.2">
      <c r="A97" s="84" t="s">
        <v>191</v>
      </c>
      <c r="B97" s="127" t="s">
        <v>192</v>
      </c>
      <c r="C97" s="100">
        <v>16169</v>
      </c>
      <c r="D97" s="100">
        <v>13169</v>
      </c>
      <c r="E97" s="87">
        <v>13169</v>
      </c>
      <c r="F97" s="98">
        <v>2486.79</v>
      </c>
      <c r="G97" s="174">
        <v>4842.57</v>
      </c>
      <c r="H97" s="75">
        <v>4158.07</v>
      </c>
      <c r="I97" s="100">
        <v>1234.83</v>
      </c>
      <c r="J97" s="75">
        <f t="shared" si="24"/>
        <v>8326.43</v>
      </c>
      <c r="K97" s="100">
        <f t="shared" si="20"/>
        <v>8326.43</v>
      </c>
      <c r="L97" s="161">
        <f t="shared" si="21"/>
        <v>36.772496013364723</v>
      </c>
      <c r="N97" s="43"/>
    </row>
    <row r="98" spans="1:17" x14ac:dyDescent="0.2">
      <c r="A98" s="88" t="s">
        <v>193</v>
      </c>
      <c r="B98" s="111" t="s">
        <v>194</v>
      </c>
      <c r="C98" s="111">
        <f>SUM(C99:C103)</f>
        <v>196410</v>
      </c>
      <c r="D98" s="111">
        <f>SUM(D99:D103)</f>
        <v>366010</v>
      </c>
      <c r="E98" s="99">
        <f>SUM(E99:E103)</f>
        <v>366010</v>
      </c>
      <c r="F98" s="99">
        <f>SUM(F99:F103)</f>
        <v>22244.639999999999</v>
      </c>
      <c r="G98" s="173">
        <v>27764.78</v>
      </c>
      <c r="H98" s="99">
        <f>SUM(H99:H103)</f>
        <v>8478.09</v>
      </c>
      <c r="I98" s="99">
        <f t="shared" ref="I98" si="25">SUM(I99:I103)</f>
        <v>705.45</v>
      </c>
      <c r="J98" s="78">
        <f t="shared" si="24"/>
        <v>338245.22</v>
      </c>
      <c r="K98" s="111">
        <f t="shared" si="20"/>
        <v>338245.22</v>
      </c>
      <c r="L98" s="161">
        <f t="shared" si="21"/>
        <v>7.585798202234912</v>
      </c>
      <c r="N98" s="43"/>
    </row>
    <row r="99" spans="1:17" ht="12" customHeight="1" x14ac:dyDescent="0.2">
      <c r="A99" s="87" t="s">
        <v>195</v>
      </c>
      <c r="B99" s="100" t="s">
        <v>196</v>
      </c>
      <c r="C99" s="100">
        <v>32960</v>
      </c>
      <c r="D99" s="100">
        <v>38660</v>
      </c>
      <c r="E99" s="87">
        <v>38660</v>
      </c>
      <c r="F99" s="98">
        <v>7816.35</v>
      </c>
      <c r="G99" s="174">
        <v>9140.7900000000009</v>
      </c>
      <c r="H99" s="75">
        <v>7295.04</v>
      </c>
      <c r="I99" s="100">
        <v>0</v>
      </c>
      <c r="J99" s="75">
        <f t="shared" si="24"/>
        <v>29519.21</v>
      </c>
      <c r="K99" s="100">
        <f t="shared" si="20"/>
        <v>29519.21</v>
      </c>
      <c r="L99" s="161">
        <f t="shared" si="21"/>
        <v>23.644050698396278</v>
      </c>
      <c r="N99" s="43"/>
    </row>
    <row r="100" spans="1:17" ht="12" customHeight="1" x14ac:dyDescent="0.2">
      <c r="A100" s="84" t="s">
        <v>197</v>
      </c>
      <c r="B100" s="127" t="s">
        <v>198</v>
      </c>
      <c r="C100" s="100">
        <v>37749</v>
      </c>
      <c r="D100" s="100">
        <v>51749</v>
      </c>
      <c r="E100" s="87">
        <v>51749</v>
      </c>
      <c r="F100" s="98">
        <v>55.75</v>
      </c>
      <c r="G100" s="174">
        <v>200.04</v>
      </c>
      <c r="H100" s="75">
        <v>200.04</v>
      </c>
      <c r="I100" s="100">
        <v>169.06</v>
      </c>
      <c r="J100" s="75">
        <f t="shared" si="24"/>
        <v>51548.959999999999</v>
      </c>
      <c r="K100" s="100">
        <f t="shared" si="20"/>
        <v>51548.959999999999</v>
      </c>
      <c r="L100" s="161">
        <f t="shared" si="21"/>
        <v>0.38655819436124372</v>
      </c>
      <c r="N100" s="43"/>
    </row>
    <row r="101" spans="1:17" ht="12" customHeight="1" x14ac:dyDescent="0.2">
      <c r="A101" s="84" t="s">
        <v>199</v>
      </c>
      <c r="B101" s="127" t="s">
        <v>200</v>
      </c>
      <c r="C101" s="100">
        <v>40776</v>
      </c>
      <c r="D101" s="100">
        <v>35776</v>
      </c>
      <c r="E101" s="87">
        <v>35776</v>
      </c>
      <c r="F101" s="98">
        <v>84.53</v>
      </c>
      <c r="G101" s="174">
        <v>501.83000000000004</v>
      </c>
      <c r="H101" s="75">
        <v>501.83</v>
      </c>
      <c r="I101" s="100">
        <v>417.3</v>
      </c>
      <c r="J101" s="75">
        <f t="shared" si="24"/>
        <v>35274.17</v>
      </c>
      <c r="K101" s="100">
        <f t="shared" si="20"/>
        <v>35274.17</v>
      </c>
      <c r="L101" s="161">
        <f t="shared" si="21"/>
        <v>1.4027001341681575</v>
      </c>
      <c r="N101" s="43"/>
    </row>
    <row r="102" spans="1:17" ht="13.5" customHeight="1" x14ac:dyDescent="0.2">
      <c r="A102" s="84" t="s">
        <v>201</v>
      </c>
      <c r="B102" s="127" t="s">
        <v>202</v>
      </c>
      <c r="C102" s="100">
        <v>81833</v>
      </c>
      <c r="D102" s="100">
        <v>236333</v>
      </c>
      <c r="E102" s="87">
        <v>236333</v>
      </c>
      <c r="F102" s="98">
        <v>13587.16</v>
      </c>
      <c r="G102" s="174">
        <v>17208.43</v>
      </c>
      <c r="H102" s="75">
        <v>468.34</v>
      </c>
      <c r="I102" s="100">
        <v>106.25</v>
      </c>
      <c r="J102" s="75">
        <f t="shared" si="24"/>
        <v>219124.57</v>
      </c>
      <c r="K102" s="100">
        <f t="shared" si="20"/>
        <v>219124.57</v>
      </c>
      <c r="L102" s="161">
        <f t="shared" si="21"/>
        <v>7.2814334011754598</v>
      </c>
      <c r="N102" s="43"/>
    </row>
    <row r="103" spans="1:17" ht="13.5" customHeight="1" x14ac:dyDescent="0.2">
      <c r="A103" s="84" t="s">
        <v>203</v>
      </c>
      <c r="B103" s="127" t="s">
        <v>204</v>
      </c>
      <c r="C103" s="75">
        <v>3092</v>
      </c>
      <c r="D103" s="75">
        <v>3492</v>
      </c>
      <c r="E103" s="87">
        <v>3492</v>
      </c>
      <c r="F103" s="98">
        <v>700.85</v>
      </c>
      <c r="G103" s="174">
        <v>713.69</v>
      </c>
      <c r="H103" s="75">
        <v>12.84</v>
      </c>
      <c r="I103" s="100">
        <v>12.84</v>
      </c>
      <c r="J103" s="75" t="s">
        <v>6</v>
      </c>
      <c r="K103" s="100">
        <f t="shared" si="20"/>
        <v>2778.31</v>
      </c>
      <c r="L103" s="161">
        <f t="shared" si="21"/>
        <v>20.437857961053837</v>
      </c>
      <c r="N103" s="43"/>
    </row>
    <row r="104" spans="1:17" ht="20.25" customHeight="1" x14ac:dyDescent="0.2">
      <c r="A104" s="89" t="s">
        <v>205</v>
      </c>
      <c r="B104" s="125" t="s">
        <v>206</v>
      </c>
      <c r="C104" s="125">
        <f>SUM(C105:C109)</f>
        <v>661282</v>
      </c>
      <c r="D104" s="125">
        <f>SUM(D105:D109)</f>
        <v>594582</v>
      </c>
      <c r="E104" s="96">
        <f>SUM(E105:E109)</f>
        <v>589735</v>
      </c>
      <c r="F104" s="195">
        <f>SUM(F105:F109)</f>
        <v>27002.030000000002</v>
      </c>
      <c r="G104" s="195">
        <v>269773.86</v>
      </c>
      <c r="H104" s="96">
        <f t="shared" ref="H104" si="26">SUM(H105:H109)</f>
        <v>31920.71</v>
      </c>
      <c r="I104" s="96">
        <f t="shared" ref="I104" si="27">SUM(I105:I109)</f>
        <v>13188.13</v>
      </c>
      <c r="J104" s="97">
        <f>+E104-G104</f>
        <v>319961.14</v>
      </c>
      <c r="K104" s="125">
        <f t="shared" si="20"/>
        <v>324808.14</v>
      </c>
      <c r="L104" s="161">
        <f t="shared" si="21"/>
        <v>45.744929502234051</v>
      </c>
      <c r="M104" s="7"/>
      <c r="N104" s="43"/>
      <c r="O104" s="43"/>
      <c r="P104" s="43"/>
      <c r="Q104" s="43"/>
    </row>
    <row r="105" spans="1:17" ht="12" customHeight="1" x14ac:dyDescent="0.2">
      <c r="A105" s="87" t="s">
        <v>207</v>
      </c>
      <c r="B105" s="100" t="s">
        <v>208</v>
      </c>
      <c r="C105" s="100">
        <v>359850</v>
      </c>
      <c r="D105" s="100">
        <v>359850</v>
      </c>
      <c r="E105" s="87">
        <v>359850</v>
      </c>
      <c r="F105" s="98">
        <v>17000</v>
      </c>
      <c r="G105" s="174">
        <v>200868</v>
      </c>
      <c r="H105" s="75">
        <v>23254.73</v>
      </c>
      <c r="I105" s="100">
        <v>9616.7099999999991</v>
      </c>
      <c r="J105" s="75">
        <f>+E105-G105</f>
        <v>158982</v>
      </c>
      <c r="K105" s="100">
        <f t="shared" si="20"/>
        <v>158982</v>
      </c>
      <c r="L105" s="161">
        <f t="shared" si="21"/>
        <v>55.819924968736977</v>
      </c>
      <c r="N105" s="43"/>
    </row>
    <row r="106" spans="1:17" ht="12" customHeight="1" x14ac:dyDescent="0.2">
      <c r="A106" s="84">
        <v>222</v>
      </c>
      <c r="B106" s="100" t="s">
        <v>318</v>
      </c>
      <c r="C106" s="100">
        <v>71432</v>
      </c>
      <c r="D106" s="100">
        <v>83432</v>
      </c>
      <c r="E106" s="126">
        <v>83432</v>
      </c>
      <c r="F106" s="98">
        <v>5879.65</v>
      </c>
      <c r="G106" s="174">
        <v>17164.269999999997</v>
      </c>
      <c r="H106" s="75">
        <v>2264.1999999999998</v>
      </c>
      <c r="I106" s="100">
        <v>349.14</v>
      </c>
      <c r="J106" s="75">
        <v>11127.96</v>
      </c>
      <c r="K106" s="100">
        <f t="shared" si="20"/>
        <v>66267.73000000001</v>
      </c>
      <c r="L106" s="161">
        <f t="shared" si="21"/>
        <v>20.572765845239235</v>
      </c>
      <c r="N106" s="43"/>
    </row>
    <row r="107" spans="1:17" ht="16.149999999999999" customHeight="1" x14ac:dyDescent="0.2">
      <c r="A107" s="84" t="s">
        <v>209</v>
      </c>
      <c r="B107" s="127" t="s">
        <v>210</v>
      </c>
      <c r="C107" s="100">
        <v>150000</v>
      </c>
      <c r="D107" s="100">
        <v>92300</v>
      </c>
      <c r="E107" s="87">
        <v>92300</v>
      </c>
      <c r="F107" s="98">
        <v>3890</v>
      </c>
      <c r="G107" s="174">
        <v>48448.75</v>
      </c>
      <c r="H107" s="75">
        <v>5578.41</v>
      </c>
      <c r="I107" s="100">
        <v>2653.1</v>
      </c>
      <c r="J107" s="75">
        <f t="shared" ref="J107:J125" si="28">+E107-G107</f>
        <v>43851.25</v>
      </c>
      <c r="K107" s="100">
        <f t="shared" si="20"/>
        <v>43851.25</v>
      </c>
      <c r="L107" s="161">
        <f t="shared" si="21"/>
        <v>52.490520043336943</v>
      </c>
      <c r="N107" s="43"/>
    </row>
    <row r="108" spans="1:17" ht="14.25" customHeight="1" x14ac:dyDescent="0.2">
      <c r="A108" s="84" t="s">
        <v>211</v>
      </c>
      <c r="B108" s="127" t="s">
        <v>212</v>
      </c>
      <c r="C108" s="100">
        <v>50000</v>
      </c>
      <c r="D108" s="100">
        <v>38000</v>
      </c>
      <c r="E108" s="87">
        <v>33153</v>
      </c>
      <c r="F108" s="98">
        <v>135.97</v>
      </c>
      <c r="G108" s="174">
        <v>3046.3399999999997</v>
      </c>
      <c r="H108" s="75">
        <v>576.87</v>
      </c>
      <c r="I108" s="100">
        <v>461.78</v>
      </c>
      <c r="J108" s="75">
        <f t="shared" si="28"/>
        <v>30106.66</v>
      </c>
      <c r="K108" s="100">
        <f t="shared" si="20"/>
        <v>34953.660000000003</v>
      </c>
      <c r="L108" s="161">
        <f t="shared" si="21"/>
        <v>9.1887310348988009</v>
      </c>
      <c r="N108" s="43"/>
    </row>
    <row r="109" spans="1:17" ht="14.45" customHeight="1" x14ac:dyDescent="0.2">
      <c r="A109" s="84">
        <v>229</v>
      </c>
      <c r="B109" s="127" t="s">
        <v>213</v>
      </c>
      <c r="C109" s="100">
        <v>30000</v>
      </c>
      <c r="D109" s="100">
        <v>21000</v>
      </c>
      <c r="E109" s="87">
        <v>21000</v>
      </c>
      <c r="F109" s="98">
        <v>96.41</v>
      </c>
      <c r="G109" s="174">
        <v>246.5</v>
      </c>
      <c r="H109" s="75">
        <v>246.5</v>
      </c>
      <c r="I109" s="100">
        <v>107.4</v>
      </c>
      <c r="J109" s="75">
        <f t="shared" si="28"/>
        <v>20753.5</v>
      </c>
      <c r="K109" s="100">
        <f t="shared" si="20"/>
        <v>20753.5</v>
      </c>
      <c r="L109" s="161">
        <f t="shared" si="21"/>
        <v>1.1738095238095239</v>
      </c>
      <c r="N109" s="43"/>
    </row>
    <row r="110" spans="1:17" ht="16.5" customHeight="1" x14ac:dyDescent="0.2">
      <c r="A110" s="89" t="s">
        <v>214</v>
      </c>
      <c r="B110" s="125" t="s">
        <v>215</v>
      </c>
      <c r="C110" s="125">
        <f>SUM(C111:C113)</f>
        <v>249812</v>
      </c>
      <c r="D110" s="125">
        <f>SUM(D111:D113)</f>
        <v>197812</v>
      </c>
      <c r="E110" s="96">
        <f>SUM(E111:E113)</f>
        <v>135430</v>
      </c>
      <c r="F110" s="96">
        <f>SUM(F111:F113)</f>
        <v>13065.55</v>
      </c>
      <c r="G110" s="173">
        <v>26282.46</v>
      </c>
      <c r="H110" s="96">
        <f t="shared" ref="H110" si="29">SUM(H111:H113)</f>
        <v>9593.01</v>
      </c>
      <c r="I110" s="96">
        <f t="shared" ref="I110" si="30">SUM(I111:I113)</f>
        <v>7009.06</v>
      </c>
      <c r="J110" s="97">
        <f t="shared" si="28"/>
        <v>109147.54000000001</v>
      </c>
      <c r="K110" s="125">
        <f t="shared" si="20"/>
        <v>171529.54</v>
      </c>
      <c r="L110" s="160">
        <f t="shared" si="21"/>
        <v>19.406675035073469</v>
      </c>
      <c r="N110" s="43"/>
    </row>
    <row r="111" spans="1:17" ht="12.75" customHeight="1" x14ac:dyDescent="0.2">
      <c r="A111" s="87" t="s">
        <v>216</v>
      </c>
      <c r="B111" s="100" t="s">
        <v>217</v>
      </c>
      <c r="C111" s="100">
        <v>47890</v>
      </c>
      <c r="D111" s="100">
        <v>35890</v>
      </c>
      <c r="E111" s="87">
        <v>35890</v>
      </c>
      <c r="F111" s="98">
        <v>1058.23</v>
      </c>
      <c r="G111" s="174">
        <v>7503.57</v>
      </c>
      <c r="H111" s="75">
        <v>4.8</v>
      </c>
      <c r="I111" s="100">
        <v>4.8</v>
      </c>
      <c r="J111" s="75">
        <f t="shared" si="28"/>
        <v>28386.43</v>
      </c>
      <c r="K111" s="100">
        <f t="shared" si="20"/>
        <v>28386.43</v>
      </c>
      <c r="L111" s="161">
        <f t="shared" si="21"/>
        <v>20.907132906101978</v>
      </c>
      <c r="N111" s="43"/>
    </row>
    <row r="112" spans="1:17" ht="12.75" customHeight="1" x14ac:dyDescent="0.2">
      <c r="A112" s="84" t="s">
        <v>218</v>
      </c>
      <c r="B112" s="127" t="s">
        <v>219</v>
      </c>
      <c r="C112" s="100">
        <v>137050</v>
      </c>
      <c r="D112" s="100">
        <v>107050</v>
      </c>
      <c r="E112" s="87">
        <v>76553</v>
      </c>
      <c r="F112" s="98">
        <v>9023.42</v>
      </c>
      <c r="G112" s="174">
        <v>15614.17</v>
      </c>
      <c r="H112" s="75">
        <v>6764.05</v>
      </c>
      <c r="I112" s="100">
        <v>6764.05</v>
      </c>
      <c r="J112" s="75">
        <f t="shared" si="28"/>
        <v>60938.83</v>
      </c>
      <c r="K112" s="100">
        <f t="shared" si="20"/>
        <v>91435.83</v>
      </c>
      <c r="L112" s="161">
        <f t="shared" si="21"/>
        <v>20.396548796258802</v>
      </c>
      <c r="N112" s="43"/>
    </row>
    <row r="113" spans="1:14" ht="15" customHeight="1" x14ac:dyDescent="0.2">
      <c r="A113" s="84" t="s">
        <v>220</v>
      </c>
      <c r="B113" s="127" t="s">
        <v>221</v>
      </c>
      <c r="C113" s="100">
        <v>64872</v>
      </c>
      <c r="D113" s="100">
        <v>54872</v>
      </c>
      <c r="E113" s="87">
        <v>22987</v>
      </c>
      <c r="F113" s="98">
        <v>2983.9</v>
      </c>
      <c r="G113" s="174">
        <v>3164.7200000000003</v>
      </c>
      <c r="H113" s="75">
        <v>2824.16</v>
      </c>
      <c r="I113" s="100">
        <v>240.21</v>
      </c>
      <c r="J113" s="75">
        <f t="shared" si="28"/>
        <v>19822.28</v>
      </c>
      <c r="K113" s="100">
        <f t="shared" si="20"/>
        <v>51707.28</v>
      </c>
      <c r="L113" s="161">
        <f t="shared" si="21"/>
        <v>13.767433766911733</v>
      </c>
      <c r="N113" s="43"/>
    </row>
    <row r="114" spans="1:14" ht="15" customHeight="1" x14ac:dyDescent="0.2">
      <c r="A114" s="89" t="s">
        <v>222</v>
      </c>
      <c r="B114" s="125" t="s">
        <v>223</v>
      </c>
      <c r="C114" s="125">
        <f>SUM(C115:C119)</f>
        <v>258848</v>
      </c>
      <c r="D114" s="125">
        <f>SUM(D115:D119)</f>
        <v>229648</v>
      </c>
      <c r="E114" s="96">
        <f>SUM(E115:E119)</f>
        <v>185611</v>
      </c>
      <c r="F114" s="96">
        <f>SUM(F115:F119)</f>
        <v>34713.119999999995</v>
      </c>
      <c r="G114" s="194">
        <v>38954.92</v>
      </c>
      <c r="H114" s="125">
        <f t="shared" ref="H114" si="31">SUM(H115:H119)</f>
        <v>6268.29</v>
      </c>
      <c r="I114" s="125">
        <f t="shared" ref="I114" si="32">SUM(I115:I119)</f>
        <v>1879.6399999999999</v>
      </c>
      <c r="J114" s="97">
        <f t="shared" si="28"/>
        <v>146656.08000000002</v>
      </c>
      <c r="K114" s="125">
        <f t="shared" si="20"/>
        <v>190693.08000000002</v>
      </c>
      <c r="L114" s="160">
        <f t="shared" si="21"/>
        <v>20.987398376173825</v>
      </c>
      <c r="N114" s="43"/>
    </row>
    <row r="115" spans="1:14" ht="15.75" customHeight="1" x14ac:dyDescent="0.2">
      <c r="A115" s="84" t="s">
        <v>224</v>
      </c>
      <c r="B115" s="100" t="s">
        <v>225</v>
      </c>
      <c r="C115" s="100">
        <v>3167</v>
      </c>
      <c r="D115" s="100">
        <v>3167</v>
      </c>
      <c r="E115" s="87">
        <v>3167</v>
      </c>
      <c r="F115" s="98">
        <v>0</v>
      </c>
      <c r="G115" s="174">
        <v>0</v>
      </c>
      <c r="H115" s="75"/>
      <c r="I115" s="100">
        <v>0</v>
      </c>
      <c r="J115" s="75">
        <f t="shared" si="28"/>
        <v>3167</v>
      </c>
      <c r="K115" s="100">
        <f t="shared" si="20"/>
        <v>3167</v>
      </c>
      <c r="L115" s="161" t="s">
        <v>6</v>
      </c>
      <c r="N115" s="43"/>
    </row>
    <row r="116" spans="1:14" ht="14.25" customHeight="1" x14ac:dyDescent="0.2">
      <c r="A116" s="84" t="s">
        <v>226</v>
      </c>
      <c r="B116" s="127" t="s">
        <v>227</v>
      </c>
      <c r="C116" s="100">
        <v>15000</v>
      </c>
      <c r="D116" s="100">
        <v>11000</v>
      </c>
      <c r="E116" s="87">
        <v>11000</v>
      </c>
      <c r="F116" s="98">
        <v>49.32</v>
      </c>
      <c r="G116" s="174">
        <v>280.44</v>
      </c>
      <c r="H116" s="75">
        <v>55.74</v>
      </c>
      <c r="I116" s="100">
        <v>24.99</v>
      </c>
      <c r="J116" s="75">
        <f t="shared" si="28"/>
        <v>10719.56</v>
      </c>
      <c r="K116" s="100">
        <f t="shared" si="20"/>
        <v>10719.56</v>
      </c>
      <c r="L116" s="161">
        <v>0</v>
      </c>
      <c r="N116" s="43"/>
    </row>
    <row r="117" spans="1:14" ht="17.25" customHeight="1" x14ac:dyDescent="0.2">
      <c r="A117" s="84" t="s">
        <v>228</v>
      </c>
      <c r="B117" s="127" t="s">
        <v>229</v>
      </c>
      <c r="C117" s="100">
        <v>91798</v>
      </c>
      <c r="D117" s="100">
        <v>86598</v>
      </c>
      <c r="E117" s="87">
        <v>80874</v>
      </c>
      <c r="F117" s="98">
        <v>10693.5</v>
      </c>
      <c r="G117" s="174">
        <v>13621.76</v>
      </c>
      <c r="H117" s="75">
        <v>5162.34</v>
      </c>
      <c r="I117" s="100">
        <v>1185.83</v>
      </c>
      <c r="J117" s="75">
        <f t="shared" si="28"/>
        <v>67252.240000000005</v>
      </c>
      <c r="K117" s="100">
        <f t="shared" si="20"/>
        <v>72976.240000000005</v>
      </c>
      <c r="L117" s="161">
        <f>+G117*100/E117</f>
        <v>16.843188169250933</v>
      </c>
      <c r="N117" s="43"/>
    </row>
    <row r="118" spans="1:14" ht="16.5" customHeight="1" x14ac:dyDescent="0.2">
      <c r="A118" s="84" t="s">
        <v>230</v>
      </c>
      <c r="B118" s="127" t="s">
        <v>231</v>
      </c>
      <c r="C118" s="100">
        <v>27414</v>
      </c>
      <c r="D118" s="100">
        <v>22414</v>
      </c>
      <c r="E118" s="87">
        <v>16393</v>
      </c>
      <c r="F118" s="98">
        <v>0</v>
      </c>
      <c r="G118" s="174">
        <v>0</v>
      </c>
      <c r="H118" s="75"/>
      <c r="I118" s="100">
        <v>0</v>
      </c>
      <c r="J118" s="75">
        <f t="shared" si="28"/>
        <v>16393</v>
      </c>
      <c r="K118" s="100">
        <f t="shared" si="20"/>
        <v>22414</v>
      </c>
      <c r="L118" s="161" t="s">
        <v>6</v>
      </c>
      <c r="N118" s="43"/>
    </row>
    <row r="119" spans="1:14" ht="16.5" customHeight="1" x14ac:dyDescent="0.2">
      <c r="A119" s="84" t="s">
        <v>232</v>
      </c>
      <c r="B119" s="127" t="s">
        <v>233</v>
      </c>
      <c r="C119" s="100">
        <v>121469</v>
      </c>
      <c r="D119" s="100">
        <v>106469</v>
      </c>
      <c r="E119" s="126">
        <v>74177</v>
      </c>
      <c r="F119" s="98">
        <v>23970.3</v>
      </c>
      <c r="G119" s="174">
        <v>25052.719999999998</v>
      </c>
      <c r="H119" s="75">
        <v>1050.21</v>
      </c>
      <c r="I119" s="100">
        <v>668.82</v>
      </c>
      <c r="J119" s="75">
        <f t="shared" si="28"/>
        <v>49124.28</v>
      </c>
      <c r="K119" s="100">
        <f t="shared" si="20"/>
        <v>81416.28</v>
      </c>
      <c r="L119" s="161">
        <f t="shared" ref="L119:L128" si="33">+G119*100/E119</f>
        <v>33.77424268978254</v>
      </c>
      <c r="N119" s="43"/>
    </row>
    <row r="120" spans="1:14" ht="20.25" customHeight="1" x14ac:dyDescent="0.2">
      <c r="A120" s="89" t="s">
        <v>234</v>
      </c>
      <c r="B120" s="125" t="s">
        <v>235</v>
      </c>
      <c r="C120" s="125">
        <f>SUM(C121:C127)</f>
        <v>277892</v>
      </c>
      <c r="D120" s="125">
        <f>SUM(D121:D127)</f>
        <v>471792</v>
      </c>
      <c r="E120" s="96">
        <f>SUM(E121:E127)</f>
        <v>414844</v>
      </c>
      <c r="F120" s="96">
        <f>SUM(F121:F127)</f>
        <v>42997.420000000006</v>
      </c>
      <c r="G120" s="193">
        <v>60729.210000000006</v>
      </c>
      <c r="H120" s="96">
        <f t="shared" ref="H120" si="34">SUM(H121:H127)</f>
        <v>20203.3</v>
      </c>
      <c r="I120" s="96">
        <f t="shared" ref="I120" si="35">SUM(I121:I127)</f>
        <v>14334.380000000001</v>
      </c>
      <c r="J120" s="97">
        <f t="shared" si="28"/>
        <v>354114.79</v>
      </c>
      <c r="K120" s="125">
        <f t="shared" si="20"/>
        <v>411062.79</v>
      </c>
      <c r="L120" s="160">
        <f t="shared" si="33"/>
        <v>14.639047449161614</v>
      </c>
      <c r="N120" s="43"/>
    </row>
    <row r="121" spans="1:14" ht="14.25" customHeight="1" x14ac:dyDescent="0.2">
      <c r="A121" s="84" t="s">
        <v>236</v>
      </c>
      <c r="B121" s="127" t="s">
        <v>237</v>
      </c>
      <c r="C121" s="100">
        <v>23493</v>
      </c>
      <c r="D121" s="100">
        <v>23493</v>
      </c>
      <c r="E121" s="126">
        <v>23493</v>
      </c>
      <c r="F121" s="98">
        <v>347.22</v>
      </c>
      <c r="G121" s="174">
        <v>430.49</v>
      </c>
      <c r="H121" s="75">
        <v>166.78</v>
      </c>
      <c r="I121" s="100">
        <v>166.78</v>
      </c>
      <c r="J121" s="75">
        <f t="shared" si="28"/>
        <v>23062.51</v>
      </c>
      <c r="K121" s="100">
        <f t="shared" si="20"/>
        <v>23062.51</v>
      </c>
      <c r="L121" s="161">
        <f t="shared" si="33"/>
        <v>1.8324181671136084</v>
      </c>
      <c r="N121" s="43"/>
    </row>
    <row r="122" spans="1:14" ht="16.5" customHeight="1" x14ac:dyDescent="0.2">
      <c r="A122" s="84" t="s">
        <v>238</v>
      </c>
      <c r="B122" s="127" t="s">
        <v>239</v>
      </c>
      <c r="C122" s="100">
        <v>31236</v>
      </c>
      <c r="D122" s="100">
        <v>28236</v>
      </c>
      <c r="E122" s="126">
        <v>28236</v>
      </c>
      <c r="F122" s="98">
        <v>713.85</v>
      </c>
      <c r="G122" s="174">
        <v>821.76</v>
      </c>
      <c r="H122" s="75">
        <v>599.29</v>
      </c>
      <c r="I122" s="100">
        <v>42.73</v>
      </c>
      <c r="J122" s="75">
        <f t="shared" si="28"/>
        <v>27414.240000000002</v>
      </c>
      <c r="K122" s="100">
        <f t="shared" si="20"/>
        <v>27414.240000000002</v>
      </c>
      <c r="L122" s="161">
        <f t="shared" si="33"/>
        <v>2.9103272418189547</v>
      </c>
      <c r="N122" s="43"/>
    </row>
    <row r="123" spans="1:14" ht="12.75" customHeight="1" x14ac:dyDescent="0.2">
      <c r="A123" s="84">
        <v>254</v>
      </c>
      <c r="B123" s="127" t="s">
        <v>240</v>
      </c>
      <c r="C123" s="100">
        <v>42838</v>
      </c>
      <c r="D123" s="100">
        <v>81338</v>
      </c>
      <c r="E123" s="100">
        <v>58738</v>
      </c>
      <c r="F123" s="126">
        <v>2529.46</v>
      </c>
      <c r="G123" s="174">
        <v>4568.62</v>
      </c>
      <c r="H123" s="75">
        <v>1148.25</v>
      </c>
      <c r="I123" s="100">
        <v>943.34</v>
      </c>
      <c r="J123" s="75">
        <f t="shared" si="28"/>
        <v>54169.38</v>
      </c>
      <c r="K123" s="100">
        <f t="shared" si="20"/>
        <v>76769.38</v>
      </c>
      <c r="L123" s="161">
        <f t="shared" si="33"/>
        <v>7.7779631584323603</v>
      </c>
      <c r="N123" s="43"/>
    </row>
    <row r="124" spans="1:14" ht="18" customHeight="1" x14ac:dyDescent="0.2">
      <c r="A124" s="84" t="s">
        <v>241</v>
      </c>
      <c r="B124" s="127" t="s">
        <v>242</v>
      </c>
      <c r="C124" s="100">
        <v>60539</v>
      </c>
      <c r="D124" s="100">
        <v>130539</v>
      </c>
      <c r="E124" s="100">
        <v>130539</v>
      </c>
      <c r="F124" s="87">
        <v>2824.69</v>
      </c>
      <c r="G124" s="174">
        <v>8546.61</v>
      </c>
      <c r="H124" s="75">
        <v>7492</v>
      </c>
      <c r="I124" s="100">
        <v>4552.7700000000004</v>
      </c>
      <c r="J124" s="75">
        <f t="shared" si="28"/>
        <v>121992.39</v>
      </c>
      <c r="K124" s="100">
        <f t="shared" si="20"/>
        <v>121992.39</v>
      </c>
      <c r="L124" s="161">
        <f t="shared" si="33"/>
        <v>6.5471698113207548</v>
      </c>
      <c r="N124" s="43"/>
    </row>
    <row r="125" spans="1:14" ht="17.25" customHeight="1" x14ac:dyDescent="0.2">
      <c r="A125" s="84" t="s">
        <v>243</v>
      </c>
      <c r="B125" s="127" t="s">
        <v>244</v>
      </c>
      <c r="C125" s="100">
        <v>63786</v>
      </c>
      <c r="D125" s="100">
        <v>88786</v>
      </c>
      <c r="E125" s="100">
        <v>78484</v>
      </c>
      <c r="F125" s="87">
        <v>1008.82</v>
      </c>
      <c r="G125" s="174">
        <v>9006.4499999999989</v>
      </c>
      <c r="H125" s="75">
        <v>8650.0499999999993</v>
      </c>
      <c r="I125" s="100">
        <v>8077.02</v>
      </c>
      <c r="J125" s="75">
        <f t="shared" si="28"/>
        <v>69477.55</v>
      </c>
      <c r="K125" s="100">
        <f t="shared" si="20"/>
        <v>79779.55</v>
      </c>
      <c r="L125" s="161">
        <f t="shared" si="33"/>
        <v>11.475523673615003</v>
      </c>
      <c r="N125" s="43"/>
    </row>
    <row r="126" spans="1:14" ht="17.25" customHeight="1" x14ac:dyDescent="0.2">
      <c r="A126" s="84">
        <v>257</v>
      </c>
      <c r="B126" s="127" t="s">
        <v>245</v>
      </c>
      <c r="C126" s="100">
        <v>50835</v>
      </c>
      <c r="D126" s="100">
        <v>37835</v>
      </c>
      <c r="E126" s="100">
        <v>13789</v>
      </c>
      <c r="F126" s="87">
        <v>262.14999999999998</v>
      </c>
      <c r="G126" s="174">
        <v>262.14999999999998</v>
      </c>
      <c r="H126" s="75"/>
      <c r="I126" s="100">
        <v>0</v>
      </c>
      <c r="J126" s="75">
        <v>0</v>
      </c>
      <c r="K126" s="100">
        <f t="shared" ref="K126:K153" si="36">+D126-G126</f>
        <v>37572.85</v>
      </c>
      <c r="L126" s="161">
        <f t="shared" si="33"/>
        <v>1.9011530930451808</v>
      </c>
      <c r="N126" s="43"/>
    </row>
    <row r="127" spans="1:14" ht="17.25" customHeight="1" x14ac:dyDescent="0.2">
      <c r="A127" s="84" t="s">
        <v>246</v>
      </c>
      <c r="B127" s="127" t="s">
        <v>247</v>
      </c>
      <c r="C127" s="100">
        <v>5165</v>
      </c>
      <c r="D127" s="100">
        <v>81565</v>
      </c>
      <c r="E127" s="100">
        <v>81565</v>
      </c>
      <c r="F127" s="100">
        <v>35311.230000000003</v>
      </c>
      <c r="G127" s="174">
        <v>37093.130000000005</v>
      </c>
      <c r="H127" s="75">
        <v>2146.9299999999998</v>
      </c>
      <c r="I127" s="100">
        <v>551.74</v>
      </c>
      <c r="J127" s="75">
        <f t="shared" ref="J127:J153" si="37">+E127-G127</f>
        <v>44471.869999999995</v>
      </c>
      <c r="K127" s="100">
        <f t="shared" si="36"/>
        <v>44471.869999999995</v>
      </c>
      <c r="L127" s="161">
        <f t="shared" si="33"/>
        <v>45.476773125727952</v>
      </c>
      <c r="N127" s="43"/>
    </row>
    <row r="128" spans="1:14" ht="15" customHeight="1" x14ac:dyDescent="0.2">
      <c r="A128" s="89" t="s">
        <v>248</v>
      </c>
      <c r="B128" s="125" t="s">
        <v>249</v>
      </c>
      <c r="C128" s="125">
        <f>SUM(C129:C133)</f>
        <v>475695</v>
      </c>
      <c r="D128" s="125">
        <f>SUM(D129:D133)</f>
        <v>615295</v>
      </c>
      <c r="E128" s="101">
        <f>SUM(E129:E133)</f>
        <v>538924</v>
      </c>
      <c r="F128" s="102">
        <f>SUM(F129:F133)</f>
        <v>58499.89</v>
      </c>
      <c r="G128" s="173">
        <v>88484.03</v>
      </c>
      <c r="H128" s="101">
        <f t="shared" ref="H128" si="38">SUM(H129:H133)</f>
        <v>37848.979999999996</v>
      </c>
      <c r="I128" s="101">
        <f t="shared" ref="I128" si="39">SUM(I129:I133)</f>
        <v>14399.120000000003</v>
      </c>
      <c r="J128" s="97">
        <f t="shared" si="37"/>
        <v>450439.97</v>
      </c>
      <c r="K128" s="125">
        <f t="shared" si="36"/>
        <v>526810.97</v>
      </c>
      <c r="L128" s="160">
        <f t="shared" si="33"/>
        <v>16.418647156185287</v>
      </c>
      <c r="N128" s="43"/>
    </row>
    <row r="129" spans="1:14" ht="13.5" customHeight="1" x14ac:dyDescent="0.2">
      <c r="A129" s="84">
        <v>261</v>
      </c>
      <c r="B129" s="100" t="s">
        <v>250</v>
      </c>
      <c r="C129" s="100">
        <v>21865</v>
      </c>
      <c r="D129" s="100">
        <v>81865</v>
      </c>
      <c r="E129" s="103">
        <v>81865</v>
      </c>
      <c r="F129" s="104">
        <v>0</v>
      </c>
      <c r="G129" s="174">
        <v>0</v>
      </c>
      <c r="H129" s="75"/>
      <c r="I129" s="100">
        <v>0</v>
      </c>
      <c r="J129" s="75">
        <f t="shared" si="37"/>
        <v>81865</v>
      </c>
      <c r="K129" s="100">
        <f t="shared" si="36"/>
        <v>81865</v>
      </c>
      <c r="L129" s="161"/>
      <c r="N129" s="43"/>
    </row>
    <row r="130" spans="1:14" ht="13.5" customHeight="1" x14ac:dyDescent="0.2">
      <c r="A130" s="84" t="s">
        <v>251</v>
      </c>
      <c r="B130" s="127" t="s">
        <v>460</v>
      </c>
      <c r="C130" s="100">
        <v>169987</v>
      </c>
      <c r="D130" s="100">
        <v>202087</v>
      </c>
      <c r="E130" s="103">
        <v>144811</v>
      </c>
      <c r="F130" s="104">
        <v>4885.01</v>
      </c>
      <c r="G130" s="174">
        <v>20327.41</v>
      </c>
      <c r="H130" s="75">
        <v>8990.7199999999993</v>
      </c>
      <c r="I130" s="100">
        <v>7580.55</v>
      </c>
      <c r="J130" s="75">
        <f t="shared" si="37"/>
        <v>124483.59</v>
      </c>
      <c r="K130" s="100">
        <f t="shared" si="36"/>
        <v>181759.59</v>
      </c>
      <c r="L130" s="161">
        <f t="shared" ref="L130:L139" si="40">+G130*100/E130</f>
        <v>14.037200212691024</v>
      </c>
      <c r="N130" s="43"/>
    </row>
    <row r="131" spans="1:14" ht="17.25" customHeight="1" x14ac:dyDescent="0.2">
      <c r="A131" s="84">
        <v>263</v>
      </c>
      <c r="B131" s="127" t="s">
        <v>348</v>
      </c>
      <c r="C131" s="100">
        <v>28862</v>
      </c>
      <c r="D131" s="100">
        <v>28862</v>
      </c>
      <c r="E131" s="103">
        <v>18862</v>
      </c>
      <c r="F131" s="104">
        <v>107.55</v>
      </c>
      <c r="G131" s="174">
        <v>3848.71</v>
      </c>
      <c r="H131" s="75">
        <v>3805.31</v>
      </c>
      <c r="I131" s="100">
        <v>3780.74</v>
      </c>
      <c r="J131" s="75">
        <f t="shared" si="37"/>
        <v>15013.29</v>
      </c>
      <c r="K131" s="100">
        <f t="shared" si="36"/>
        <v>25013.29</v>
      </c>
      <c r="L131" s="161">
        <f t="shared" si="40"/>
        <v>20.404570034990986</v>
      </c>
      <c r="N131" s="43"/>
    </row>
    <row r="132" spans="1:14" ht="17.25" customHeight="1" x14ac:dyDescent="0.2">
      <c r="A132" s="84" t="s">
        <v>252</v>
      </c>
      <c r="B132" s="129" t="s">
        <v>371</v>
      </c>
      <c r="C132" s="130">
        <v>156163</v>
      </c>
      <c r="D132" s="130">
        <v>178963</v>
      </c>
      <c r="E132" s="103">
        <v>170018</v>
      </c>
      <c r="F132" s="104">
        <v>26993.42</v>
      </c>
      <c r="G132" s="174">
        <v>34299.17</v>
      </c>
      <c r="H132" s="75">
        <v>8886.25</v>
      </c>
      <c r="I132" s="100">
        <v>669.12</v>
      </c>
      <c r="J132" s="75">
        <f t="shared" si="37"/>
        <v>135718.83000000002</v>
      </c>
      <c r="K132" s="100">
        <f t="shared" si="36"/>
        <v>144663.83000000002</v>
      </c>
      <c r="L132" s="161">
        <f t="shared" si="40"/>
        <v>20.173846298627204</v>
      </c>
      <c r="N132" s="43"/>
    </row>
    <row r="133" spans="1:14" ht="15.75" customHeight="1" x14ac:dyDescent="0.2">
      <c r="A133" s="84" t="s">
        <v>253</v>
      </c>
      <c r="B133" s="129" t="s">
        <v>254</v>
      </c>
      <c r="C133" s="130">
        <v>98818</v>
      </c>
      <c r="D133" s="130">
        <v>123518</v>
      </c>
      <c r="E133" s="103">
        <v>123368</v>
      </c>
      <c r="F133" s="104">
        <v>26513.91</v>
      </c>
      <c r="G133" s="174">
        <v>30008.739999999998</v>
      </c>
      <c r="H133" s="75">
        <v>16166.7</v>
      </c>
      <c r="I133" s="100">
        <v>2368.71</v>
      </c>
      <c r="J133" s="75">
        <f t="shared" si="37"/>
        <v>93359.260000000009</v>
      </c>
      <c r="K133" s="100">
        <f t="shared" si="36"/>
        <v>93509.260000000009</v>
      </c>
      <c r="L133" s="161">
        <f t="shared" si="40"/>
        <v>24.324573633357112</v>
      </c>
      <c r="N133" s="43"/>
    </row>
    <row r="134" spans="1:14" ht="20.25" customHeight="1" x14ac:dyDescent="0.2">
      <c r="A134" s="89" t="s">
        <v>255</v>
      </c>
      <c r="B134" s="131" t="s">
        <v>256</v>
      </c>
      <c r="C134" s="132">
        <f>SUM(C135:C142)</f>
        <v>829295</v>
      </c>
      <c r="D134" s="132">
        <f>SUM(D135:D142)</f>
        <v>631695</v>
      </c>
      <c r="E134" s="101">
        <f>SUM(E135:E142)</f>
        <v>416721</v>
      </c>
      <c r="F134" s="101">
        <f>SUM(F135:F142)</f>
        <v>46783.799999999996</v>
      </c>
      <c r="G134" s="194">
        <v>172402.91</v>
      </c>
      <c r="H134" s="101">
        <f>SUM(H135:H142)</f>
        <v>34994.04</v>
      </c>
      <c r="I134" s="128">
        <f>SUM(I135:I142)</f>
        <v>10939</v>
      </c>
      <c r="J134" s="97">
        <f t="shared" si="37"/>
        <v>244318.09</v>
      </c>
      <c r="K134" s="125">
        <f t="shared" si="36"/>
        <v>459292.08999999997</v>
      </c>
      <c r="L134" s="160">
        <f t="shared" si="40"/>
        <v>41.371303582012906</v>
      </c>
      <c r="M134" s="7"/>
      <c r="N134" s="43"/>
    </row>
    <row r="135" spans="1:14" ht="12.75" customHeight="1" x14ac:dyDescent="0.2">
      <c r="A135" s="84" t="s">
        <v>257</v>
      </c>
      <c r="B135" s="129" t="s">
        <v>258</v>
      </c>
      <c r="C135" s="130">
        <v>24712</v>
      </c>
      <c r="D135" s="130">
        <v>20712</v>
      </c>
      <c r="E135" s="103">
        <v>20712</v>
      </c>
      <c r="F135" s="104">
        <v>6959</v>
      </c>
      <c r="G135" s="174">
        <v>9001.41</v>
      </c>
      <c r="H135" s="75">
        <v>4790.93</v>
      </c>
      <c r="I135" s="100">
        <v>182.55</v>
      </c>
      <c r="J135" s="75">
        <f t="shared" si="37"/>
        <v>11710.59</v>
      </c>
      <c r="K135" s="100">
        <f t="shared" si="36"/>
        <v>11710.59</v>
      </c>
      <c r="L135" s="161">
        <f t="shared" si="40"/>
        <v>43.459878331402088</v>
      </c>
      <c r="N135" s="43"/>
    </row>
    <row r="136" spans="1:14" ht="16.5" customHeight="1" x14ac:dyDescent="0.2">
      <c r="A136" s="84" t="s">
        <v>259</v>
      </c>
      <c r="B136" s="127" t="s">
        <v>260</v>
      </c>
      <c r="C136" s="100">
        <v>88222</v>
      </c>
      <c r="D136" s="100">
        <v>72222</v>
      </c>
      <c r="E136" s="103">
        <v>25311</v>
      </c>
      <c r="F136" s="104">
        <v>0</v>
      </c>
      <c r="G136" s="174">
        <v>4857.08</v>
      </c>
      <c r="H136" s="75">
        <v>194.31</v>
      </c>
      <c r="I136" s="100">
        <v>194.31</v>
      </c>
      <c r="J136" s="75">
        <f t="shared" si="37"/>
        <v>20453.919999999998</v>
      </c>
      <c r="K136" s="100">
        <f t="shared" si="36"/>
        <v>67364.92</v>
      </c>
      <c r="L136" s="161">
        <f t="shared" si="40"/>
        <v>19.189601359092883</v>
      </c>
      <c r="N136" s="43"/>
    </row>
    <row r="137" spans="1:14" ht="13.5" customHeight="1" x14ac:dyDescent="0.2">
      <c r="A137" s="84" t="s">
        <v>261</v>
      </c>
      <c r="B137" s="127" t="s">
        <v>262</v>
      </c>
      <c r="C137" s="100">
        <v>79068</v>
      </c>
      <c r="D137" s="100">
        <v>65068</v>
      </c>
      <c r="E137" s="103">
        <v>46711</v>
      </c>
      <c r="F137" s="104">
        <v>332.75</v>
      </c>
      <c r="G137" s="174">
        <v>6842.11</v>
      </c>
      <c r="H137" s="75">
        <v>5623.95</v>
      </c>
      <c r="I137" s="100">
        <v>5537.98</v>
      </c>
      <c r="J137" s="75">
        <f t="shared" si="37"/>
        <v>39868.89</v>
      </c>
      <c r="K137" s="100">
        <f t="shared" si="36"/>
        <v>58225.89</v>
      </c>
      <c r="L137" s="161">
        <f t="shared" si="40"/>
        <v>14.647748924236261</v>
      </c>
      <c r="N137" s="43"/>
    </row>
    <row r="138" spans="1:14" ht="16.5" customHeight="1" x14ac:dyDescent="0.2">
      <c r="A138" s="84" t="s">
        <v>263</v>
      </c>
      <c r="B138" s="127" t="s">
        <v>264</v>
      </c>
      <c r="C138" s="100">
        <v>180216</v>
      </c>
      <c r="D138" s="100">
        <v>106616</v>
      </c>
      <c r="E138" s="103">
        <v>53234</v>
      </c>
      <c r="F138" s="104">
        <v>7029.9</v>
      </c>
      <c r="G138" s="174">
        <v>13986.509999999998</v>
      </c>
      <c r="H138" s="75">
        <v>1167.9100000000001</v>
      </c>
      <c r="I138" s="100">
        <v>163.18</v>
      </c>
      <c r="J138" s="75">
        <f t="shared" si="37"/>
        <v>39247.490000000005</v>
      </c>
      <c r="K138" s="100">
        <f t="shared" si="36"/>
        <v>92629.49</v>
      </c>
      <c r="L138" s="161">
        <f t="shared" si="40"/>
        <v>26.273640906187769</v>
      </c>
      <c r="N138" s="43"/>
    </row>
    <row r="139" spans="1:14" ht="12.75" customHeight="1" x14ac:dyDescent="0.2">
      <c r="A139" s="84" t="s">
        <v>265</v>
      </c>
      <c r="B139" s="127" t="s">
        <v>266</v>
      </c>
      <c r="C139" s="100">
        <v>320615</v>
      </c>
      <c r="D139" s="100">
        <v>254615</v>
      </c>
      <c r="E139" s="103">
        <v>184745</v>
      </c>
      <c r="F139" s="104">
        <v>23406.78</v>
      </c>
      <c r="G139" s="174">
        <v>106379.09</v>
      </c>
      <c r="H139" s="75">
        <v>17229.91</v>
      </c>
      <c r="I139" s="100">
        <v>2675.35</v>
      </c>
      <c r="J139" s="75">
        <f t="shared" si="37"/>
        <v>78365.91</v>
      </c>
      <c r="K139" s="100">
        <f t="shared" si="36"/>
        <v>148235.91</v>
      </c>
      <c r="L139" s="161">
        <f t="shared" si="40"/>
        <v>57.581580015697313</v>
      </c>
      <c r="N139" s="43"/>
    </row>
    <row r="140" spans="1:14" ht="15" customHeight="1" x14ac:dyDescent="0.2">
      <c r="A140" s="84">
        <v>277</v>
      </c>
      <c r="B140" s="127" t="s">
        <v>267</v>
      </c>
      <c r="C140" s="100">
        <v>13843</v>
      </c>
      <c r="D140" s="100">
        <v>8843</v>
      </c>
      <c r="E140" s="103">
        <v>8843</v>
      </c>
      <c r="F140" s="104">
        <v>3715.56</v>
      </c>
      <c r="G140" s="174">
        <v>3715.56</v>
      </c>
      <c r="H140" s="75"/>
      <c r="I140" s="100">
        <v>0</v>
      </c>
      <c r="J140" s="75">
        <f t="shared" si="37"/>
        <v>5127.4400000000005</v>
      </c>
      <c r="K140" s="100">
        <f t="shared" si="36"/>
        <v>5127.4400000000005</v>
      </c>
      <c r="L140" s="161"/>
      <c r="N140" s="43"/>
    </row>
    <row r="141" spans="1:14" ht="15" customHeight="1" x14ac:dyDescent="0.2">
      <c r="A141" s="84">
        <v>278</v>
      </c>
      <c r="B141" s="127" t="s">
        <v>268</v>
      </c>
      <c r="C141" s="100">
        <v>14300</v>
      </c>
      <c r="D141" s="100">
        <v>4300</v>
      </c>
      <c r="E141" s="103">
        <v>4300</v>
      </c>
      <c r="F141" s="104"/>
      <c r="G141" s="174">
        <v>0</v>
      </c>
      <c r="H141" s="75"/>
      <c r="I141" s="100">
        <v>0</v>
      </c>
      <c r="J141" s="75">
        <f t="shared" si="37"/>
        <v>4300</v>
      </c>
      <c r="K141" s="100">
        <f t="shared" si="36"/>
        <v>4300</v>
      </c>
      <c r="L141" s="161"/>
      <c r="N141" s="43"/>
    </row>
    <row r="142" spans="1:14" ht="15" customHeight="1" x14ac:dyDescent="0.2">
      <c r="A142" s="84" t="s">
        <v>269</v>
      </c>
      <c r="B142" s="127" t="s">
        <v>270</v>
      </c>
      <c r="C142" s="100">
        <v>108319</v>
      </c>
      <c r="D142" s="100">
        <v>99319</v>
      </c>
      <c r="E142" s="103">
        <v>72865</v>
      </c>
      <c r="F142" s="104">
        <v>5339.81</v>
      </c>
      <c r="G142" s="174">
        <v>27621.15</v>
      </c>
      <c r="H142" s="75">
        <v>5987.03</v>
      </c>
      <c r="I142" s="100">
        <v>2185.63</v>
      </c>
      <c r="J142" s="75">
        <f t="shared" si="37"/>
        <v>45243.85</v>
      </c>
      <c r="K142" s="100">
        <f t="shared" si="36"/>
        <v>71697.850000000006</v>
      </c>
      <c r="L142" s="161">
        <f t="shared" ref="L142:L153" si="41">+G142*100/E142</f>
        <v>37.907294311397791</v>
      </c>
      <c r="N142" s="43"/>
    </row>
    <row r="143" spans="1:14" ht="15" customHeight="1" x14ac:dyDescent="0.2">
      <c r="A143" s="89" t="s">
        <v>271</v>
      </c>
      <c r="B143" s="125" t="s">
        <v>272</v>
      </c>
      <c r="C143" s="125">
        <v>208309</v>
      </c>
      <c r="D143" s="128">
        <v>194309</v>
      </c>
      <c r="E143" s="105">
        <v>178113</v>
      </c>
      <c r="F143" s="101">
        <v>49052.14</v>
      </c>
      <c r="G143" s="173">
        <v>82206.570000000007</v>
      </c>
      <c r="H143" s="97">
        <v>20863.57</v>
      </c>
      <c r="I143" s="125">
        <v>5058.8</v>
      </c>
      <c r="J143" s="97">
        <f t="shared" si="37"/>
        <v>95906.43</v>
      </c>
      <c r="K143" s="125">
        <f t="shared" si="36"/>
        <v>112102.43</v>
      </c>
      <c r="L143" s="160">
        <f t="shared" si="41"/>
        <v>46.154166175405507</v>
      </c>
      <c r="N143" s="43"/>
    </row>
    <row r="144" spans="1:14" ht="15" customHeight="1" x14ac:dyDescent="0.2">
      <c r="A144" s="83">
        <v>290</v>
      </c>
      <c r="B144" s="106" t="s">
        <v>273</v>
      </c>
      <c r="C144" s="106">
        <f>SUM(C145:C152)</f>
        <v>0</v>
      </c>
      <c r="D144" s="106">
        <f>SUM(D145:D153)</f>
        <v>294400</v>
      </c>
      <c r="E144" s="106">
        <f>SUM(E145:E153)</f>
        <v>294400</v>
      </c>
      <c r="F144" s="106">
        <f>SUM(F145:F153)</f>
        <v>590</v>
      </c>
      <c r="G144" s="173">
        <v>648.5</v>
      </c>
      <c r="H144" s="97">
        <f>+H145</f>
        <v>648.5</v>
      </c>
      <c r="I144" s="106">
        <f>SUM(I145:I153)</f>
        <v>541</v>
      </c>
      <c r="J144" s="78">
        <f t="shared" si="37"/>
        <v>293751.5</v>
      </c>
      <c r="K144" s="106">
        <f t="shared" si="36"/>
        <v>293751.5</v>
      </c>
      <c r="L144" s="160">
        <f t="shared" si="41"/>
        <v>0.22027853260869565</v>
      </c>
      <c r="N144" s="43"/>
    </row>
    <row r="145" spans="1:14" ht="15" customHeight="1" x14ac:dyDescent="0.2">
      <c r="A145" s="84">
        <v>291</v>
      </c>
      <c r="B145" s="107" t="s">
        <v>274</v>
      </c>
      <c r="C145" s="106"/>
      <c r="D145" s="108">
        <v>9000</v>
      </c>
      <c r="E145" s="108">
        <v>9000</v>
      </c>
      <c r="F145" s="108">
        <v>590</v>
      </c>
      <c r="G145" s="110">
        <v>648.5</v>
      </c>
      <c r="H145" s="75">
        <v>648.5</v>
      </c>
      <c r="I145" s="108">
        <v>541</v>
      </c>
      <c r="J145" s="75">
        <f t="shared" si="37"/>
        <v>8351.5</v>
      </c>
      <c r="K145" s="108">
        <f t="shared" si="36"/>
        <v>8351.5</v>
      </c>
      <c r="L145" s="161">
        <f t="shared" si="41"/>
        <v>7.2055555555555557</v>
      </c>
      <c r="N145" s="43"/>
    </row>
    <row r="146" spans="1:14" ht="15" customHeight="1" x14ac:dyDescent="0.2">
      <c r="A146" s="85">
        <v>292</v>
      </c>
      <c r="B146" s="107" t="s">
        <v>358</v>
      </c>
      <c r="C146" s="109"/>
      <c r="D146" s="108">
        <v>100</v>
      </c>
      <c r="E146" s="108">
        <v>100</v>
      </c>
      <c r="F146" s="108"/>
      <c r="G146" s="110"/>
      <c r="H146" s="75"/>
      <c r="I146" s="108"/>
      <c r="J146" s="75">
        <f t="shared" si="37"/>
        <v>100</v>
      </c>
      <c r="K146" s="108">
        <f t="shared" si="36"/>
        <v>100</v>
      </c>
      <c r="L146" s="161">
        <f t="shared" si="41"/>
        <v>0</v>
      </c>
      <c r="N146" s="43"/>
    </row>
    <row r="147" spans="1:14" ht="15" customHeight="1" x14ac:dyDescent="0.2">
      <c r="A147" s="84">
        <v>293</v>
      </c>
      <c r="B147" s="107" t="s">
        <v>275</v>
      </c>
      <c r="C147" s="108"/>
      <c r="D147" s="108">
        <v>133300</v>
      </c>
      <c r="E147" s="108">
        <v>133300</v>
      </c>
      <c r="F147" s="108"/>
      <c r="G147" s="110"/>
      <c r="H147" s="75"/>
      <c r="I147" s="108"/>
      <c r="J147" s="75">
        <f t="shared" si="37"/>
        <v>133300</v>
      </c>
      <c r="K147" s="108">
        <f t="shared" si="36"/>
        <v>133300</v>
      </c>
      <c r="L147" s="161">
        <f t="shared" si="41"/>
        <v>0</v>
      </c>
      <c r="N147" s="43"/>
    </row>
    <row r="148" spans="1:14" ht="15" customHeight="1" x14ac:dyDescent="0.2">
      <c r="A148" s="84">
        <v>294</v>
      </c>
      <c r="B148" s="107" t="s">
        <v>404</v>
      </c>
      <c r="C148" s="108"/>
      <c r="D148" s="108">
        <v>5000</v>
      </c>
      <c r="E148" s="108">
        <v>5000</v>
      </c>
      <c r="F148" s="108"/>
      <c r="G148" s="110"/>
      <c r="H148" s="75"/>
      <c r="I148" s="108"/>
      <c r="J148" s="75">
        <f t="shared" si="37"/>
        <v>5000</v>
      </c>
      <c r="K148" s="108">
        <f t="shared" si="36"/>
        <v>5000</v>
      </c>
      <c r="L148" s="161">
        <f t="shared" si="41"/>
        <v>0</v>
      </c>
      <c r="N148" s="43"/>
    </row>
    <row r="149" spans="1:14" ht="15" customHeight="1" x14ac:dyDescent="0.2">
      <c r="A149" s="84">
        <v>295</v>
      </c>
      <c r="B149" s="108" t="s">
        <v>369</v>
      </c>
      <c r="C149" s="106"/>
      <c r="D149" s="108">
        <v>1200</v>
      </c>
      <c r="E149" s="108">
        <v>1200</v>
      </c>
      <c r="F149" s="108"/>
      <c r="G149" s="110"/>
      <c r="H149" s="75"/>
      <c r="I149" s="108"/>
      <c r="J149" s="75">
        <f t="shared" si="37"/>
        <v>1200</v>
      </c>
      <c r="K149" s="108">
        <f t="shared" si="36"/>
        <v>1200</v>
      </c>
      <c r="L149" s="161">
        <f t="shared" si="41"/>
        <v>0</v>
      </c>
      <c r="N149" s="43"/>
    </row>
    <row r="150" spans="1:14" ht="15" customHeight="1" x14ac:dyDescent="0.2">
      <c r="A150" s="84">
        <v>296</v>
      </c>
      <c r="B150" s="107" t="s">
        <v>361</v>
      </c>
      <c r="C150" s="108"/>
      <c r="D150" s="108">
        <v>75500</v>
      </c>
      <c r="E150" s="108">
        <v>75500</v>
      </c>
      <c r="F150" s="108"/>
      <c r="G150" s="110"/>
      <c r="H150" s="75"/>
      <c r="I150" s="108"/>
      <c r="J150" s="75">
        <f t="shared" si="37"/>
        <v>75500</v>
      </c>
      <c r="K150" s="108">
        <f t="shared" si="36"/>
        <v>75500</v>
      </c>
      <c r="L150" s="161">
        <f t="shared" si="41"/>
        <v>0</v>
      </c>
      <c r="N150" s="43"/>
    </row>
    <row r="151" spans="1:14" ht="15" customHeight="1" x14ac:dyDescent="0.2">
      <c r="A151" s="84">
        <v>297</v>
      </c>
      <c r="B151" s="108" t="s">
        <v>276</v>
      </c>
      <c r="C151" s="106"/>
      <c r="D151" s="108">
        <v>18200</v>
      </c>
      <c r="E151" s="108">
        <v>18200</v>
      </c>
      <c r="F151" s="108"/>
      <c r="G151" s="110"/>
      <c r="H151" s="75"/>
      <c r="I151" s="108"/>
      <c r="J151" s="75">
        <f t="shared" si="37"/>
        <v>18200</v>
      </c>
      <c r="K151" s="108">
        <f t="shared" si="36"/>
        <v>18200</v>
      </c>
      <c r="L151" s="161">
        <f t="shared" si="41"/>
        <v>0</v>
      </c>
      <c r="N151" s="43"/>
    </row>
    <row r="152" spans="1:14" ht="15" customHeight="1" x14ac:dyDescent="0.2">
      <c r="A152" s="84">
        <v>298</v>
      </c>
      <c r="B152" s="108" t="s">
        <v>277</v>
      </c>
      <c r="C152" s="106"/>
      <c r="D152" s="108">
        <v>34900</v>
      </c>
      <c r="E152" s="108">
        <v>34900</v>
      </c>
      <c r="F152" s="108"/>
      <c r="G152" s="110"/>
      <c r="H152" s="75"/>
      <c r="I152" s="108"/>
      <c r="J152" s="75">
        <f t="shared" si="37"/>
        <v>34900</v>
      </c>
      <c r="K152" s="108">
        <f t="shared" si="36"/>
        <v>34900</v>
      </c>
      <c r="L152" s="161">
        <f t="shared" si="41"/>
        <v>0</v>
      </c>
      <c r="N152" s="43"/>
    </row>
    <row r="153" spans="1:14" ht="15" customHeight="1" x14ac:dyDescent="0.2">
      <c r="A153" s="84">
        <v>299</v>
      </c>
      <c r="B153" s="108" t="s">
        <v>342</v>
      </c>
      <c r="C153" s="106"/>
      <c r="D153" s="108">
        <v>17200</v>
      </c>
      <c r="E153" s="108">
        <v>17200</v>
      </c>
      <c r="F153" s="108">
        <v>0</v>
      </c>
      <c r="G153" s="110">
        <v>0</v>
      </c>
      <c r="H153" s="75"/>
      <c r="I153" s="108">
        <v>0</v>
      </c>
      <c r="J153" s="75">
        <f t="shared" si="37"/>
        <v>17200</v>
      </c>
      <c r="K153" s="108">
        <f t="shared" si="36"/>
        <v>17200</v>
      </c>
      <c r="L153" s="161">
        <f t="shared" si="41"/>
        <v>0</v>
      </c>
      <c r="N153" s="43"/>
    </row>
    <row r="154" spans="1:14" ht="15" customHeight="1" x14ac:dyDescent="0.2">
      <c r="A154" s="121">
        <v>4</v>
      </c>
      <c r="B154" s="133" t="s">
        <v>285</v>
      </c>
      <c r="C154" s="133">
        <f>SUM(C155)</f>
        <v>2207914</v>
      </c>
      <c r="D154" s="133">
        <f>+D155</f>
        <v>2189014</v>
      </c>
      <c r="E154" s="134">
        <f>+E155+E157</f>
        <v>1709458</v>
      </c>
      <c r="F154" s="135">
        <f>+F155+F157</f>
        <v>181401.59</v>
      </c>
      <c r="G154" s="188">
        <v>292895</v>
      </c>
      <c r="H154" s="167">
        <f>+H155</f>
        <v>68484.92</v>
      </c>
      <c r="I154" s="136">
        <f>+I155+I157</f>
        <v>11224.5</v>
      </c>
      <c r="J154" s="123">
        <f t="shared" ref="J154:J170" si="42">+E154-G154</f>
        <v>1416563</v>
      </c>
      <c r="K154" s="136">
        <f t="shared" ref="K154:K170" si="43">+D154-G154</f>
        <v>1896119</v>
      </c>
      <c r="L154" s="163">
        <f>+G154*100/E154</f>
        <v>17.133793284187153</v>
      </c>
      <c r="N154" s="43"/>
    </row>
    <row r="155" spans="1:14" ht="15" customHeight="1" x14ac:dyDescent="0.2">
      <c r="A155" s="83">
        <v>430</v>
      </c>
      <c r="B155" s="111" t="s">
        <v>286</v>
      </c>
      <c r="C155" s="111">
        <f>SUM(C156)</f>
        <v>2207914</v>
      </c>
      <c r="D155" s="111">
        <f>+D156+D158</f>
        <v>2189014</v>
      </c>
      <c r="E155" s="137">
        <f>+E156</f>
        <v>1626108</v>
      </c>
      <c r="F155" s="138">
        <f>+F156</f>
        <v>177451.59</v>
      </c>
      <c r="G155" s="187">
        <v>288945</v>
      </c>
      <c r="H155" s="78">
        <f>+H156</f>
        <v>68484.92</v>
      </c>
      <c r="I155" s="111">
        <f>SUM(I156)</f>
        <v>11224.5</v>
      </c>
      <c r="J155" s="78">
        <f t="shared" si="42"/>
        <v>1337163</v>
      </c>
      <c r="K155" s="111">
        <f t="shared" si="43"/>
        <v>1900069</v>
      </c>
      <c r="L155" s="162">
        <f>+G155*100/E155</f>
        <v>17.769114966533589</v>
      </c>
      <c r="N155" s="43"/>
    </row>
    <row r="156" spans="1:14" ht="13.5" customHeight="1" x14ac:dyDescent="0.2">
      <c r="A156" s="84">
        <v>439</v>
      </c>
      <c r="B156" s="100" t="s">
        <v>287</v>
      </c>
      <c r="C156" s="100">
        <v>2207914</v>
      </c>
      <c r="D156" s="100">
        <v>2105664</v>
      </c>
      <c r="E156" s="126">
        <v>1626108</v>
      </c>
      <c r="F156" s="139">
        <v>177451.59</v>
      </c>
      <c r="G156" s="186">
        <v>288945</v>
      </c>
      <c r="H156" s="75">
        <v>68484.92</v>
      </c>
      <c r="I156" s="100">
        <v>11224.5</v>
      </c>
      <c r="J156" s="75">
        <f t="shared" si="42"/>
        <v>1337163</v>
      </c>
      <c r="K156" s="100">
        <f t="shared" si="43"/>
        <v>1816719</v>
      </c>
      <c r="L156" s="161">
        <f>+G156*100/E156</f>
        <v>17.769114966533589</v>
      </c>
      <c r="N156" s="43"/>
    </row>
    <row r="157" spans="1:14" ht="16.5" customHeight="1" x14ac:dyDescent="0.2">
      <c r="A157" s="83">
        <v>490</v>
      </c>
      <c r="B157" s="111" t="s">
        <v>288</v>
      </c>
      <c r="C157" s="100">
        <f>SUM(C158)</f>
        <v>0</v>
      </c>
      <c r="D157" s="111">
        <f>+C157</f>
        <v>0</v>
      </c>
      <c r="E157" s="137">
        <f>+E158</f>
        <v>83350</v>
      </c>
      <c r="F157" s="99">
        <f>+F158</f>
        <v>3950</v>
      </c>
      <c r="G157" s="189">
        <v>3950</v>
      </c>
      <c r="H157" s="78"/>
      <c r="I157" s="111">
        <f>I158</f>
        <v>0</v>
      </c>
      <c r="J157" s="75">
        <f t="shared" si="42"/>
        <v>79400</v>
      </c>
      <c r="K157" s="111">
        <f t="shared" si="43"/>
        <v>-3950</v>
      </c>
      <c r="L157" s="162"/>
      <c r="N157" s="43"/>
    </row>
    <row r="158" spans="1:14" ht="13.5" customHeight="1" x14ac:dyDescent="0.2">
      <c r="A158" s="84">
        <v>494</v>
      </c>
      <c r="B158" s="100" t="s">
        <v>289</v>
      </c>
      <c r="C158" s="100"/>
      <c r="D158" s="100">
        <v>83350</v>
      </c>
      <c r="E158" s="87">
        <v>83350</v>
      </c>
      <c r="F158" s="139">
        <v>3950</v>
      </c>
      <c r="G158" s="190">
        <v>3950</v>
      </c>
      <c r="H158" s="75"/>
      <c r="I158" s="100">
        <v>0</v>
      </c>
      <c r="J158" s="75">
        <f t="shared" si="42"/>
        <v>79400</v>
      </c>
      <c r="K158" s="100">
        <f t="shared" si="43"/>
        <v>79400</v>
      </c>
      <c r="L158" s="161"/>
      <c r="N158" s="43"/>
    </row>
    <row r="159" spans="1:14" ht="15.75" customHeight="1" x14ac:dyDescent="0.2">
      <c r="A159" s="121" t="s">
        <v>290</v>
      </c>
      <c r="B159" s="140" t="s">
        <v>372</v>
      </c>
      <c r="C159" s="136">
        <f>C160+C162+C168+C174+C178+C172</f>
        <v>2292640</v>
      </c>
      <c r="D159" s="136">
        <f t="shared" ref="D159:I159" si="44">D160+D162+D168+D174+D178+D172</f>
        <v>2717640</v>
      </c>
      <c r="E159" s="136">
        <f t="shared" si="44"/>
        <v>2442840</v>
      </c>
      <c r="F159" s="136">
        <f>F160+F162+F168+F174+F178+F172</f>
        <v>27921.29</v>
      </c>
      <c r="G159" s="188">
        <v>41620</v>
      </c>
      <c r="H159" s="136">
        <f t="shared" ref="H159" si="45">H160+H162+H168+H174+H178+H172</f>
        <v>21121.78</v>
      </c>
      <c r="I159" s="136">
        <f t="shared" si="44"/>
        <v>21121.78</v>
      </c>
      <c r="J159" s="123">
        <f t="shared" si="42"/>
        <v>2401220</v>
      </c>
      <c r="K159" s="136">
        <f t="shared" si="43"/>
        <v>2676020</v>
      </c>
      <c r="L159" s="163">
        <f>+G159*100/E159</f>
        <v>1.7037546462314355</v>
      </c>
      <c r="N159" s="168"/>
    </row>
    <row r="160" spans="1:14" x14ac:dyDescent="0.2">
      <c r="A160" s="83" t="s">
        <v>292</v>
      </c>
      <c r="B160" s="141" t="s">
        <v>293</v>
      </c>
      <c r="C160" s="111">
        <f>SUM(C161)</f>
        <v>118164</v>
      </c>
      <c r="D160" s="111">
        <f>SUM(D161)</f>
        <v>118164</v>
      </c>
      <c r="E160" s="137">
        <f>+E161</f>
        <v>29541</v>
      </c>
      <c r="F160" s="138">
        <f>+F161</f>
        <v>3373.87</v>
      </c>
      <c r="G160" s="189">
        <v>10121.61</v>
      </c>
      <c r="H160" s="111">
        <f>+H161</f>
        <v>10121.61</v>
      </c>
      <c r="I160" s="111">
        <f>+I161</f>
        <v>10121.61</v>
      </c>
      <c r="J160" s="78">
        <f t="shared" si="42"/>
        <v>19419.39</v>
      </c>
      <c r="K160" s="111">
        <f t="shared" si="43"/>
        <v>108042.39</v>
      </c>
      <c r="L160" s="162">
        <f>+G160*100/E160</f>
        <v>34.262922717578959</v>
      </c>
      <c r="N160" s="43"/>
    </row>
    <row r="161" spans="1:17" ht="13.5" customHeight="1" x14ac:dyDescent="0.2">
      <c r="A161" s="84" t="s">
        <v>294</v>
      </c>
      <c r="B161" s="127" t="s">
        <v>390</v>
      </c>
      <c r="C161" s="100">
        <v>118164</v>
      </c>
      <c r="D161" s="100">
        <v>118164</v>
      </c>
      <c r="E161" s="126">
        <v>29541</v>
      </c>
      <c r="F161" s="139">
        <v>3373.87</v>
      </c>
      <c r="G161" s="186">
        <v>10121.61</v>
      </c>
      <c r="H161" s="75">
        <v>10121.61</v>
      </c>
      <c r="I161" s="100">
        <v>10121.61</v>
      </c>
      <c r="J161" s="75">
        <f t="shared" si="42"/>
        <v>19419.39</v>
      </c>
      <c r="K161" s="100">
        <f t="shared" si="43"/>
        <v>108042.39</v>
      </c>
      <c r="L161" s="161">
        <f>+G161*100/E161</f>
        <v>34.262922717578959</v>
      </c>
      <c r="N161" s="43"/>
      <c r="O161" t="s">
        <v>6</v>
      </c>
      <c r="P161" t="s">
        <v>6</v>
      </c>
    </row>
    <row r="162" spans="1:17" x14ac:dyDescent="0.2">
      <c r="A162" s="88" t="s">
        <v>295</v>
      </c>
      <c r="B162" s="111" t="s">
        <v>164</v>
      </c>
      <c r="C162" s="111">
        <f>SUM(C163:C167)</f>
        <v>956224</v>
      </c>
      <c r="D162" s="111">
        <f>SUM(D163:D167)</f>
        <v>1381224</v>
      </c>
      <c r="E162" s="137">
        <f>+E163+E164+E166+E167</f>
        <v>1327678</v>
      </c>
      <c r="F162" s="138">
        <f>SUM(F163:F167)</f>
        <v>0</v>
      </c>
      <c r="G162" s="187">
        <v>0</v>
      </c>
      <c r="H162" s="75"/>
      <c r="I162" s="111">
        <f>SUM(I163:I167)</f>
        <v>0</v>
      </c>
      <c r="J162" s="78">
        <f t="shared" si="42"/>
        <v>1327678</v>
      </c>
      <c r="K162" s="111">
        <f t="shared" si="43"/>
        <v>1381224</v>
      </c>
      <c r="L162" s="162">
        <f>+G162*100/E162</f>
        <v>0</v>
      </c>
      <c r="N162" s="43"/>
      <c r="Q162" s="1" t="s">
        <v>6</v>
      </c>
    </row>
    <row r="163" spans="1:17" ht="14.25" customHeight="1" x14ac:dyDescent="0.2">
      <c r="A163" s="84">
        <v>611</v>
      </c>
      <c r="B163" s="100" t="s">
        <v>331</v>
      </c>
      <c r="C163" s="100">
        <v>1800</v>
      </c>
      <c r="D163" s="100">
        <v>1800</v>
      </c>
      <c r="E163" s="87">
        <v>1800</v>
      </c>
      <c r="F163" s="139">
        <v>0</v>
      </c>
      <c r="G163" s="186">
        <v>0</v>
      </c>
      <c r="H163" s="75"/>
      <c r="I163" s="100">
        <v>0</v>
      </c>
      <c r="J163" s="75">
        <f t="shared" si="42"/>
        <v>1800</v>
      </c>
      <c r="K163" s="100">
        <f t="shared" si="43"/>
        <v>1800</v>
      </c>
      <c r="L163" s="161"/>
      <c r="N163" s="43"/>
    </row>
    <row r="164" spans="1:17" ht="13.5" customHeight="1" x14ac:dyDescent="0.2">
      <c r="A164" s="84">
        <v>612</v>
      </c>
      <c r="B164" s="100" t="s">
        <v>363</v>
      </c>
      <c r="C164" s="100">
        <v>172962</v>
      </c>
      <c r="D164" s="100">
        <v>597962</v>
      </c>
      <c r="E164" s="87">
        <v>597962</v>
      </c>
      <c r="F164" s="139">
        <v>0</v>
      </c>
      <c r="G164" s="186">
        <v>0</v>
      </c>
      <c r="H164" s="75"/>
      <c r="I164" s="100">
        <v>0</v>
      </c>
      <c r="J164" s="75">
        <f t="shared" si="42"/>
        <v>597962</v>
      </c>
      <c r="K164" s="100">
        <f t="shared" si="43"/>
        <v>597962</v>
      </c>
      <c r="L164" s="161">
        <f>+G164*100/E164</f>
        <v>0</v>
      </c>
      <c r="N164" s="43"/>
    </row>
    <row r="165" spans="1:17" ht="12" hidden="1" customHeight="1" x14ac:dyDescent="0.2">
      <c r="A165" s="84">
        <v>613</v>
      </c>
      <c r="B165" s="100" t="s">
        <v>341</v>
      </c>
      <c r="C165" s="100">
        <v>0</v>
      </c>
      <c r="D165" s="100">
        <v>0</v>
      </c>
      <c r="E165" s="87"/>
      <c r="F165" s="139"/>
      <c r="G165" s="186">
        <v>0</v>
      </c>
      <c r="H165" s="75"/>
      <c r="I165" s="100"/>
      <c r="J165" s="75">
        <f t="shared" si="42"/>
        <v>0</v>
      </c>
      <c r="K165" s="100">
        <f t="shared" si="43"/>
        <v>0</v>
      </c>
      <c r="L165" s="161" t="e">
        <f>+G165*100/E165</f>
        <v>#DIV/0!</v>
      </c>
      <c r="N165" s="43"/>
    </row>
    <row r="166" spans="1:17" ht="12.75" customHeight="1" x14ac:dyDescent="0.2">
      <c r="A166" s="84">
        <v>614</v>
      </c>
      <c r="B166" s="100" t="s">
        <v>340</v>
      </c>
      <c r="C166" s="100">
        <v>727916</v>
      </c>
      <c r="D166" s="100">
        <v>727916</v>
      </c>
      <c r="E166" s="87">
        <v>727916</v>
      </c>
      <c r="F166" s="139">
        <v>0</v>
      </c>
      <c r="G166" s="186">
        <v>0</v>
      </c>
      <c r="H166" s="75"/>
      <c r="I166" s="100">
        <v>0</v>
      </c>
      <c r="J166" s="75">
        <f t="shared" si="42"/>
        <v>727916</v>
      </c>
      <c r="K166" s="100">
        <f t="shared" si="43"/>
        <v>727916</v>
      </c>
      <c r="L166" s="161">
        <f>+G166*100/E166</f>
        <v>0</v>
      </c>
      <c r="N166" s="43"/>
    </row>
    <row r="167" spans="1:17" ht="13.5" customHeight="1" x14ac:dyDescent="0.2">
      <c r="A167" s="84">
        <v>619</v>
      </c>
      <c r="B167" s="100" t="s">
        <v>338</v>
      </c>
      <c r="C167" s="100">
        <v>53546</v>
      </c>
      <c r="D167" s="100">
        <v>53546</v>
      </c>
      <c r="E167" s="87">
        <v>0</v>
      </c>
      <c r="F167" s="139">
        <v>0</v>
      </c>
      <c r="G167" s="186">
        <v>0</v>
      </c>
      <c r="H167" s="75"/>
      <c r="I167" s="100">
        <v>0</v>
      </c>
      <c r="J167" s="75">
        <f t="shared" si="42"/>
        <v>0</v>
      </c>
      <c r="K167" s="100">
        <f t="shared" si="43"/>
        <v>53546</v>
      </c>
      <c r="L167" s="161" t="s">
        <v>6</v>
      </c>
      <c r="N167" s="43"/>
    </row>
    <row r="168" spans="1:17" ht="13.5" customHeight="1" x14ac:dyDescent="0.2">
      <c r="A168" s="83">
        <v>620</v>
      </c>
      <c r="B168" s="111" t="s">
        <v>296</v>
      </c>
      <c r="C168" s="111">
        <f>+C169+C170+C171</f>
        <v>771986</v>
      </c>
      <c r="D168" s="111">
        <f t="shared" ref="D168:I168" si="46">+D169+D170+D171</f>
        <v>713986</v>
      </c>
      <c r="E168" s="111">
        <f t="shared" si="46"/>
        <v>660986</v>
      </c>
      <c r="F168" s="111">
        <f t="shared" si="46"/>
        <v>9099</v>
      </c>
      <c r="G168" s="189">
        <v>11574.970000000001</v>
      </c>
      <c r="H168" s="78">
        <f>+H170</f>
        <v>10100.17</v>
      </c>
      <c r="I168" s="111">
        <f t="shared" si="46"/>
        <v>10100.17</v>
      </c>
      <c r="J168" s="78">
        <f t="shared" si="42"/>
        <v>649411.03</v>
      </c>
      <c r="K168" s="111">
        <f t="shared" si="43"/>
        <v>702411.03</v>
      </c>
      <c r="L168" s="162">
        <f>+G168*100/E168</f>
        <v>1.7511671956743411</v>
      </c>
      <c r="N168" s="43"/>
    </row>
    <row r="169" spans="1:17" ht="13.5" customHeight="1" x14ac:dyDescent="0.2">
      <c r="A169" s="84" t="s">
        <v>329</v>
      </c>
      <c r="B169" s="100" t="s">
        <v>330</v>
      </c>
      <c r="C169" s="100">
        <v>70000</v>
      </c>
      <c r="D169" s="100">
        <v>70000</v>
      </c>
      <c r="E169" s="100">
        <v>70000</v>
      </c>
      <c r="F169" s="139">
        <v>0</v>
      </c>
      <c r="G169" s="186">
        <v>0</v>
      </c>
      <c r="H169" s="75"/>
      <c r="I169" s="100">
        <v>0</v>
      </c>
      <c r="J169" s="75">
        <f t="shared" si="42"/>
        <v>70000</v>
      </c>
      <c r="K169" s="100">
        <f t="shared" si="43"/>
        <v>70000</v>
      </c>
      <c r="L169" s="161" t="s">
        <v>38</v>
      </c>
      <c r="N169" s="43"/>
    </row>
    <row r="170" spans="1:17" ht="12" customHeight="1" x14ac:dyDescent="0.2">
      <c r="A170" s="84">
        <v>624</v>
      </c>
      <c r="B170" s="100" t="s">
        <v>297</v>
      </c>
      <c r="C170" s="100">
        <v>648440</v>
      </c>
      <c r="D170" s="100">
        <v>590440</v>
      </c>
      <c r="E170" s="100">
        <v>537440</v>
      </c>
      <c r="F170" s="139">
        <v>9099</v>
      </c>
      <c r="G170" s="186">
        <v>11574.970000000001</v>
      </c>
      <c r="H170" s="75">
        <v>10100.17</v>
      </c>
      <c r="I170" s="100">
        <v>10100.17</v>
      </c>
      <c r="J170" s="75">
        <f t="shared" si="42"/>
        <v>525865.03</v>
      </c>
      <c r="K170" s="100">
        <f t="shared" si="43"/>
        <v>578865.03</v>
      </c>
      <c r="L170" s="161">
        <f>+G170*100/E170</f>
        <v>2.153723206311402</v>
      </c>
      <c r="N170" s="43"/>
    </row>
    <row r="171" spans="1:17" ht="12" customHeight="1" x14ac:dyDescent="0.2">
      <c r="A171" s="84">
        <v>629</v>
      </c>
      <c r="B171" s="100" t="s">
        <v>464</v>
      </c>
      <c r="C171" s="100">
        <v>53546</v>
      </c>
      <c r="D171" s="100">
        <v>53546</v>
      </c>
      <c r="E171" s="100">
        <v>53546</v>
      </c>
      <c r="F171" s="139"/>
      <c r="G171" s="186"/>
      <c r="H171" s="75"/>
      <c r="I171" s="87"/>
      <c r="J171" s="75"/>
      <c r="K171" s="100"/>
      <c r="L171" s="178"/>
      <c r="N171" s="43"/>
    </row>
    <row r="172" spans="1:17" ht="12" customHeight="1" x14ac:dyDescent="0.2">
      <c r="A172" s="83">
        <v>640</v>
      </c>
      <c r="B172" s="111" t="s">
        <v>465</v>
      </c>
      <c r="C172" s="111">
        <f>+C173</f>
        <v>159266</v>
      </c>
      <c r="D172" s="111">
        <f>+D173</f>
        <v>159266</v>
      </c>
      <c r="E172" s="111">
        <f>+E173</f>
        <v>79635</v>
      </c>
      <c r="F172" s="111">
        <f t="shared" ref="F172:K172" si="47">+F173</f>
        <v>0</v>
      </c>
      <c r="G172" s="189">
        <v>0</v>
      </c>
      <c r="H172" s="111">
        <f t="shared" si="47"/>
        <v>0</v>
      </c>
      <c r="I172" s="111">
        <f t="shared" si="47"/>
        <v>0</v>
      </c>
      <c r="J172" s="111">
        <f t="shared" si="47"/>
        <v>0</v>
      </c>
      <c r="K172" s="111">
        <f t="shared" si="47"/>
        <v>0</v>
      </c>
      <c r="L172" s="178"/>
      <c r="N172" s="43"/>
    </row>
    <row r="173" spans="1:17" ht="12" customHeight="1" x14ac:dyDescent="0.2">
      <c r="A173" s="84">
        <v>641</v>
      </c>
      <c r="B173" s="100" t="s">
        <v>466</v>
      </c>
      <c r="C173" s="100">
        <v>159266</v>
      </c>
      <c r="D173" s="100">
        <v>159266</v>
      </c>
      <c r="E173" s="100">
        <v>79635</v>
      </c>
      <c r="F173" s="139"/>
      <c r="G173" s="186"/>
      <c r="H173" s="75"/>
      <c r="I173" s="87"/>
      <c r="J173" s="75"/>
      <c r="K173" s="100"/>
      <c r="N173" s="43"/>
    </row>
    <row r="174" spans="1:17" x14ac:dyDescent="0.2">
      <c r="A174" s="83" t="s">
        <v>298</v>
      </c>
      <c r="B174" s="141" t="s">
        <v>299</v>
      </c>
      <c r="C174" s="111">
        <f>SUM(C175:C177)</f>
        <v>287000</v>
      </c>
      <c r="D174" s="111">
        <f>SUM(D175:D177)</f>
        <v>293000</v>
      </c>
      <c r="E174" s="111">
        <f>SUM(E175:E177)</f>
        <v>293000</v>
      </c>
      <c r="F174" s="138">
        <f>SUM(F175:F177)</f>
        <v>5868.42</v>
      </c>
      <c r="G174" s="187">
        <v>10343.42</v>
      </c>
      <c r="H174" s="78">
        <f>+H176+H177</f>
        <v>900</v>
      </c>
      <c r="I174" s="88">
        <f>SUM(I175:I177)</f>
        <v>900</v>
      </c>
      <c r="J174" s="78">
        <f>+E174-G174</f>
        <v>282656.58</v>
      </c>
      <c r="K174" s="111">
        <f t="shared" ref="K174:K179" si="48">+D174-G174</f>
        <v>282656.58</v>
      </c>
      <c r="L174" s="162">
        <f>+G174*100/E174</f>
        <v>3.5301774744027306</v>
      </c>
      <c r="N174" s="43"/>
    </row>
    <row r="175" spans="1:17" ht="13.5" customHeight="1" x14ac:dyDescent="0.2">
      <c r="A175" s="84">
        <v>662</v>
      </c>
      <c r="B175" s="127" t="s">
        <v>300</v>
      </c>
      <c r="C175" s="100">
        <v>116000</v>
      </c>
      <c r="D175" s="100">
        <v>116000</v>
      </c>
      <c r="E175" s="100">
        <v>116000</v>
      </c>
      <c r="F175" s="139">
        <v>1000</v>
      </c>
      <c r="G175" s="186">
        <v>1000</v>
      </c>
      <c r="H175" s="75"/>
      <c r="I175" s="100">
        <v>0</v>
      </c>
      <c r="J175" s="75">
        <f>+E175-G175</f>
        <v>115000</v>
      </c>
      <c r="K175" s="100">
        <f t="shared" si="48"/>
        <v>115000</v>
      </c>
      <c r="L175" s="161">
        <f>+G175*100/E175</f>
        <v>0.86206896551724133</v>
      </c>
      <c r="N175" s="43"/>
      <c r="O175" t="s">
        <v>467</v>
      </c>
    </row>
    <row r="176" spans="1:17" ht="11.25" customHeight="1" x14ac:dyDescent="0.2">
      <c r="A176" s="84" t="s">
        <v>301</v>
      </c>
      <c r="B176" s="127" t="s">
        <v>302</v>
      </c>
      <c r="C176" s="100">
        <v>0</v>
      </c>
      <c r="D176" s="100">
        <v>6000</v>
      </c>
      <c r="E176" s="100">
        <v>6000</v>
      </c>
      <c r="F176" s="139">
        <v>400</v>
      </c>
      <c r="G176" s="186">
        <v>3975</v>
      </c>
      <c r="H176" s="75"/>
      <c r="I176" s="100">
        <v>0</v>
      </c>
      <c r="J176" s="75" t="s">
        <v>6</v>
      </c>
      <c r="K176" s="100">
        <f t="shared" si="48"/>
        <v>2025</v>
      </c>
      <c r="L176" s="161" t="s">
        <v>6</v>
      </c>
      <c r="N176" s="43"/>
    </row>
    <row r="177" spans="1:14" ht="12.75" customHeight="1" x14ac:dyDescent="0.2">
      <c r="A177" s="84" t="s">
        <v>303</v>
      </c>
      <c r="B177" s="127" t="s">
        <v>304</v>
      </c>
      <c r="C177" s="100">
        <v>171000</v>
      </c>
      <c r="D177" s="100">
        <v>171000</v>
      </c>
      <c r="E177" s="100">
        <v>171000</v>
      </c>
      <c r="F177" s="139">
        <v>4468.42</v>
      </c>
      <c r="G177" s="186">
        <v>5368.42</v>
      </c>
      <c r="H177" s="75">
        <v>900</v>
      </c>
      <c r="I177" s="100">
        <v>900</v>
      </c>
      <c r="J177" s="75">
        <f>+E177-G177</f>
        <v>165631.57999999999</v>
      </c>
      <c r="K177" s="100">
        <f t="shared" si="48"/>
        <v>165631.57999999999</v>
      </c>
      <c r="L177" s="161">
        <f>+G177*100/E177</f>
        <v>3.1394269005847955</v>
      </c>
      <c r="N177" s="43"/>
    </row>
    <row r="178" spans="1:14" ht="17.25" customHeight="1" x14ac:dyDescent="0.2">
      <c r="A178" s="83">
        <v>690</v>
      </c>
      <c r="B178" s="111" t="s">
        <v>334</v>
      </c>
      <c r="C178" s="111">
        <f>+C179</f>
        <v>0</v>
      </c>
      <c r="D178" s="111">
        <f>+D181+D180</f>
        <v>52000</v>
      </c>
      <c r="E178" s="88">
        <f>+E181+E180</f>
        <v>52000</v>
      </c>
      <c r="F178" s="138">
        <f>+F179+F181</f>
        <v>9580</v>
      </c>
      <c r="G178" s="189">
        <v>9580</v>
      </c>
      <c r="H178" s="75"/>
      <c r="I178" s="111">
        <f>+I179</f>
        <v>0</v>
      </c>
      <c r="J178" s="78">
        <f>+E178-G178</f>
        <v>42420</v>
      </c>
      <c r="K178" s="111">
        <f t="shared" si="48"/>
        <v>42420</v>
      </c>
      <c r="L178" s="162">
        <f>+G178*100/E178</f>
        <v>18.423076923076923</v>
      </c>
      <c r="N178" s="43"/>
    </row>
    <row r="179" spans="1:14" ht="15.75" customHeight="1" x14ac:dyDescent="0.2">
      <c r="A179" s="84">
        <v>692</v>
      </c>
      <c r="B179" s="127" t="s">
        <v>454</v>
      </c>
      <c r="C179" s="100"/>
      <c r="D179" s="100"/>
      <c r="E179" s="87">
        <v>0</v>
      </c>
      <c r="F179" s="139">
        <v>0</v>
      </c>
      <c r="G179" s="190">
        <v>0</v>
      </c>
      <c r="H179" s="75"/>
      <c r="I179" s="100">
        <v>0</v>
      </c>
      <c r="J179" s="75">
        <f>+E179-G179</f>
        <v>0</v>
      </c>
      <c r="K179" s="100">
        <f t="shared" si="48"/>
        <v>0</v>
      </c>
      <c r="L179" s="161" t="s">
        <v>6</v>
      </c>
      <c r="N179" s="43"/>
    </row>
    <row r="180" spans="1:14" ht="18" customHeight="1" x14ac:dyDescent="0.2">
      <c r="A180" s="84">
        <v>693</v>
      </c>
      <c r="B180" s="127" t="s">
        <v>461</v>
      </c>
      <c r="C180" s="100"/>
      <c r="D180" s="100">
        <v>2000</v>
      </c>
      <c r="E180" s="87">
        <v>2000</v>
      </c>
      <c r="F180" s="170"/>
      <c r="G180" s="191"/>
      <c r="H180" s="75"/>
      <c r="I180" s="100"/>
      <c r="J180" s="75"/>
      <c r="K180" s="100"/>
      <c r="L180" s="161" t="s">
        <v>6</v>
      </c>
      <c r="N180" s="43"/>
    </row>
    <row r="181" spans="1:14" ht="15.75" customHeight="1" thickBot="1" x14ac:dyDescent="0.25">
      <c r="A181" s="84">
        <v>697</v>
      </c>
      <c r="B181" s="127" t="s">
        <v>343</v>
      </c>
      <c r="C181" s="100"/>
      <c r="D181" s="100">
        <v>50000</v>
      </c>
      <c r="E181" s="87">
        <v>50000</v>
      </c>
      <c r="F181" s="139">
        <v>9580</v>
      </c>
      <c r="G181" s="186">
        <v>9580</v>
      </c>
      <c r="H181" s="75"/>
      <c r="I181" s="100"/>
      <c r="J181" s="75">
        <f>+E181-G181</f>
        <v>40420</v>
      </c>
      <c r="K181" s="111">
        <f>+D181-G181</f>
        <v>40420</v>
      </c>
      <c r="L181" s="161" t="s">
        <v>6</v>
      </c>
      <c r="N181" s="43"/>
    </row>
    <row r="182" spans="1:14" ht="28.9" customHeight="1" thickBot="1" x14ac:dyDescent="0.25">
      <c r="A182" s="90" t="s">
        <v>6</v>
      </c>
      <c r="B182" s="142" t="s">
        <v>305</v>
      </c>
      <c r="C182" s="143">
        <f t="shared" ref="C182:I182" si="49">+C159+C154+C94+C37+C11</f>
        <v>141094806</v>
      </c>
      <c r="D182" s="143">
        <f t="shared" si="49"/>
        <v>141094806</v>
      </c>
      <c r="E182" s="143">
        <f t="shared" si="49"/>
        <v>43874965</v>
      </c>
      <c r="F182" s="144">
        <f t="shared" si="49"/>
        <v>11708434.600000001</v>
      </c>
      <c r="G182" s="143">
        <v>27197029.630000003</v>
      </c>
      <c r="H182" s="143">
        <f>+H159+H154+H94+H37+H11+1</f>
        <v>22565463.899999999</v>
      </c>
      <c r="I182" s="143">
        <f t="shared" si="49"/>
        <v>24192520.059999999</v>
      </c>
      <c r="J182" s="145">
        <f>+E182-G182</f>
        <v>16677935.369999997</v>
      </c>
      <c r="K182" s="143">
        <f>+D182-G182</f>
        <v>113897776.37</v>
      </c>
      <c r="L182" s="164">
        <f>+G182*100/E182</f>
        <v>61.98758136901079</v>
      </c>
      <c r="N182" s="43"/>
    </row>
    <row r="183" spans="1:14" x14ac:dyDescent="0.2">
      <c r="E183" s="27" t="s">
        <v>6</v>
      </c>
      <c r="H183" s="27" t="s">
        <v>6</v>
      </c>
      <c r="I183" s="27" t="s">
        <v>6</v>
      </c>
    </row>
    <row r="184" spans="1:14" x14ac:dyDescent="0.2">
      <c r="E184" s="26" t="s">
        <v>6</v>
      </c>
      <c r="F184" s="153"/>
      <c r="H184" s="26" t="s">
        <v>6</v>
      </c>
      <c r="I184" s="26" t="s">
        <v>6</v>
      </c>
    </row>
    <row r="185" spans="1:14" x14ac:dyDescent="0.2">
      <c r="I185" s="48" t="s">
        <v>6</v>
      </c>
    </row>
    <row r="187" spans="1:14" x14ac:dyDescent="0.2">
      <c r="D187" s="26" t="s">
        <v>6</v>
      </c>
    </row>
  </sheetData>
  <mergeCells count="12">
    <mergeCell ref="A2:L2"/>
    <mergeCell ref="A3:L3"/>
    <mergeCell ref="A4:L4"/>
    <mergeCell ref="A5:L5"/>
    <mergeCell ref="C8:E9"/>
    <mergeCell ref="F8:G9"/>
    <mergeCell ref="I8:I10"/>
    <mergeCell ref="L8:L10"/>
    <mergeCell ref="B8:B10"/>
    <mergeCell ref="A8:A10"/>
    <mergeCell ref="H8:H10"/>
    <mergeCell ref="J8:K10"/>
  </mergeCells>
  <phoneticPr fontId="3" type="noConversion"/>
  <pageMargins left="0.51181102362204722" right="0.11811023622047245" top="0.55118110236220474" bottom="0.55118110236220474" header="0.31496062992125984" footer="0.31496062992125984"/>
  <pageSetup scale="80" orientation="portrait" horizontalDpi="4294967294" verticalDpi="4294967294" r:id="rId1"/>
  <ignoredErrors>
    <ignoredError sqref="F29 I128 C134 E134:F134 H134 F45 C45 H45:I45 E45 C16:E16 E22" formulaRange="1"/>
    <ignoredError sqref="H16:I16 D1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8">
    <tabColor theme="6" tint="-0.249977111117893"/>
  </sheetPr>
  <dimension ref="A1:Q38"/>
  <sheetViews>
    <sheetView showGridLines="0" showZeros="0" topLeftCell="A3" zoomScale="106" zoomScaleNormal="106" workbookViewId="0">
      <selection activeCell="P11" sqref="P11"/>
    </sheetView>
  </sheetViews>
  <sheetFormatPr baseColWidth="10" defaultColWidth="11.42578125" defaultRowHeight="12.75" x14ac:dyDescent="0.2"/>
  <cols>
    <col min="1" max="1" width="3.85546875" style="25" customWidth="1"/>
    <col min="2" max="2" width="29.85546875" style="25" customWidth="1"/>
    <col min="3" max="3" width="11.42578125" style="25" customWidth="1"/>
    <col min="4" max="4" width="12.42578125" style="25" customWidth="1"/>
    <col min="5" max="5" width="11.7109375" style="25" customWidth="1"/>
    <col min="6" max="6" width="10.7109375" style="25" hidden="1" customWidth="1"/>
    <col min="7" max="7" width="13" style="25" customWidth="1"/>
    <col min="8" max="8" width="13.28515625" style="25" customWidth="1"/>
    <col min="9" max="9" width="11.85546875" style="25" customWidth="1"/>
    <col min="10" max="10" width="11" style="25" customWidth="1"/>
    <col min="11" max="11" width="11.28515625" style="25" hidden="1" customWidth="1"/>
    <col min="12" max="12" width="12.85546875" style="25" customWidth="1"/>
    <col min="13" max="13" width="10.28515625" customWidth="1"/>
    <col min="14" max="14" width="21" customWidth="1"/>
    <col min="17" max="17" width="12.28515625" bestFit="1" customWidth="1"/>
  </cols>
  <sheetData>
    <row r="1" spans="1:14" ht="15.75" x14ac:dyDescent="0.25">
      <c r="A1" s="7"/>
      <c r="B1" s="580" t="s">
        <v>386</v>
      </c>
      <c r="C1" s="580"/>
      <c r="D1" s="580"/>
      <c r="E1" s="580"/>
      <c r="F1" s="580"/>
      <c r="G1" s="580"/>
      <c r="H1" s="580"/>
      <c r="I1" s="580"/>
      <c r="J1" s="580"/>
      <c r="K1" s="580"/>
      <c r="L1" s="580"/>
    </row>
    <row r="2" spans="1:14" ht="15.75" x14ac:dyDescent="0.25">
      <c r="A2" s="7"/>
      <c r="B2" s="580" t="s">
        <v>387</v>
      </c>
      <c r="C2" s="580"/>
      <c r="D2" s="580"/>
      <c r="E2" s="580"/>
      <c r="F2" s="580"/>
      <c r="G2" s="580"/>
      <c r="H2" s="580"/>
      <c r="I2" s="580"/>
      <c r="J2" s="580"/>
      <c r="K2" s="580"/>
      <c r="L2" s="580"/>
    </row>
    <row r="3" spans="1:14" ht="16.5" customHeight="1" x14ac:dyDescent="0.25">
      <c r="A3" s="581" t="s">
        <v>542</v>
      </c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</row>
    <row r="4" spans="1:14" ht="19.5" customHeight="1" x14ac:dyDescent="0.2">
      <c r="A4" s="684" t="s">
        <v>557</v>
      </c>
      <c r="B4" s="684"/>
      <c r="C4" s="684"/>
      <c r="D4" s="684"/>
      <c r="E4" s="684"/>
      <c r="F4" s="684"/>
      <c r="G4" s="684"/>
      <c r="H4" s="684"/>
      <c r="I4" s="684"/>
      <c r="J4" s="684"/>
      <c r="K4" s="684"/>
      <c r="L4" s="684"/>
    </row>
    <row r="5" spans="1:14" ht="6.75" customHeight="1" x14ac:dyDescent="0.2">
      <c r="A5"/>
      <c r="B5"/>
      <c r="C5"/>
      <c r="D5"/>
      <c r="E5"/>
      <c r="F5"/>
      <c r="G5"/>
      <c r="H5"/>
      <c r="I5"/>
      <c r="J5"/>
      <c r="K5"/>
      <c r="L5"/>
    </row>
    <row r="6" spans="1:14" ht="24.95" customHeight="1" x14ac:dyDescent="0.2">
      <c r="A6" s="678" t="s">
        <v>306</v>
      </c>
      <c r="B6" s="680" t="s">
        <v>0</v>
      </c>
      <c r="C6" s="687" t="s">
        <v>31</v>
      </c>
      <c r="D6" s="688"/>
      <c r="E6" s="688"/>
      <c r="F6" s="688"/>
      <c r="G6" s="688"/>
      <c r="H6" s="688"/>
      <c r="I6" s="689"/>
      <c r="J6" s="685" t="s">
        <v>493</v>
      </c>
      <c r="K6" s="686"/>
      <c r="L6" s="682" t="s">
        <v>23</v>
      </c>
    </row>
    <row r="7" spans="1:14" ht="24.95" customHeight="1" x14ac:dyDescent="0.2">
      <c r="A7" s="679"/>
      <c r="B7" s="681"/>
      <c r="C7" s="571" t="s">
        <v>87</v>
      </c>
      <c r="D7" s="572" t="s">
        <v>12</v>
      </c>
      <c r="E7" s="570" t="s">
        <v>2</v>
      </c>
      <c r="F7" s="200" t="s">
        <v>36</v>
      </c>
      <c r="G7" s="573" t="s">
        <v>13</v>
      </c>
      <c r="H7" s="385" t="s">
        <v>553</v>
      </c>
      <c r="I7" s="385" t="s">
        <v>355</v>
      </c>
      <c r="J7" s="683"/>
      <c r="K7" s="619"/>
      <c r="L7" s="683"/>
    </row>
    <row r="8" spans="1:14" ht="15" customHeight="1" x14ac:dyDescent="0.2">
      <c r="A8" s="386"/>
      <c r="B8" s="387"/>
      <c r="C8" s="388"/>
      <c r="D8" s="389"/>
      <c r="E8" s="390"/>
      <c r="F8" s="389"/>
      <c r="G8" s="391"/>
      <c r="H8" s="391"/>
      <c r="I8" s="389"/>
      <c r="J8" s="389"/>
      <c r="K8" s="389"/>
      <c r="L8" s="392"/>
    </row>
    <row r="9" spans="1:14" ht="24.95" customHeight="1" x14ac:dyDescent="0.2">
      <c r="A9" s="393"/>
      <c r="B9" s="394" t="s">
        <v>308</v>
      </c>
      <c r="C9" s="395">
        <f>+C11+C21+C29</f>
        <v>141094806</v>
      </c>
      <c r="D9" s="395">
        <f>SUM(C9:C9)</f>
        <v>141094806</v>
      </c>
      <c r="E9" s="396">
        <f t="shared" ref="E9" si="0">+E11+E21+E29</f>
        <v>52351397</v>
      </c>
      <c r="F9" s="395">
        <f>+F11+F21+F29</f>
        <v>11708434.600000001</v>
      </c>
      <c r="G9" s="395">
        <v>27197029.630000003</v>
      </c>
      <c r="H9" s="395">
        <f>+H11+H21+H29</f>
        <v>22565463.199999999</v>
      </c>
      <c r="I9" s="395">
        <f>+I11+I21+I29</f>
        <v>24192520.359999999</v>
      </c>
      <c r="J9" s="395">
        <f>E9-G9</f>
        <v>25154367.369999997</v>
      </c>
      <c r="K9" s="397">
        <f>+D9-G9</f>
        <v>113897776.37</v>
      </c>
      <c r="L9" s="398">
        <f>+G9/E9*100</f>
        <v>51.950914757823952</v>
      </c>
      <c r="N9" s="43"/>
    </row>
    <row r="10" spans="1:14" ht="24.95" customHeight="1" x14ac:dyDescent="0.2">
      <c r="A10" s="393"/>
      <c r="B10" s="399"/>
      <c r="C10" s="394"/>
      <c r="D10" s="399"/>
      <c r="E10" s="400"/>
      <c r="F10" s="394"/>
      <c r="G10" s="394"/>
      <c r="H10" s="401"/>
      <c r="I10" s="401"/>
      <c r="J10" s="394"/>
      <c r="K10" s="399"/>
      <c r="L10" s="402"/>
      <c r="N10" s="43"/>
    </row>
    <row r="11" spans="1:14" ht="24.95" customHeight="1" x14ac:dyDescent="0.25">
      <c r="A11" s="403">
        <v>1</v>
      </c>
      <c r="B11" s="404" t="s">
        <v>32</v>
      </c>
      <c r="C11" s="395">
        <f>SUM(C13:C20)</f>
        <v>52074126</v>
      </c>
      <c r="D11" s="405">
        <f>SUM(D13:D19)</f>
        <v>52902626</v>
      </c>
      <c r="E11" s="406">
        <f>SUM(E13:E19)</f>
        <v>18926645</v>
      </c>
      <c r="F11" s="405">
        <f>SUM(F13:F19)</f>
        <v>4065668.2</v>
      </c>
      <c r="G11" s="405">
        <v>8821872.1100000013</v>
      </c>
      <c r="H11" s="395">
        <f>SUM(H13:H19)</f>
        <v>6997954.0599999996</v>
      </c>
      <c r="I11" s="395">
        <f>+I13+I15+I17+I19</f>
        <v>7333264.0899999999</v>
      </c>
      <c r="J11" s="395">
        <f>+E11-G11</f>
        <v>10104772.889999999</v>
      </c>
      <c r="K11" s="397">
        <f>+D11-G11</f>
        <v>44080753.890000001</v>
      </c>
      <c r="L11" s="398">
        <f>+G11/E11*100</f>
        <v>46.610860561922102</v>
      </c>
      <c r="N11" s="43"/>
    </row>
    <row r="12" spans="1:14" ht="24.95" customHeight="1" x14ac:dyDescent="0.2">
      <c r="A12" s="393"/>
      <c r="B12" s="407"/>
      <c r="C12" s="147"/>
      <c r="D12" s="408"/>
      <c r="E12" s="409"/>
      <c r="F12" s="408"/>
      <c r="G12" s="408"/>
      <c r="H12" s="410"/>
      <c r="I12" s="410"/>
      <c r="J12" s="410"/>
      <c r="K12" s="411"/>
      <c r="L12" s="412"/>
      <c r="N12" s="43"/>
    </row>
    <row r="13" spans="1:14" ht="24.95" customHeight="1" x14ac:dyDescent="0.2">
      <c r="A13" s="413" t="s">
        <v>6</v>
      </c>
      <c r="B13" s="407" t="s">
        <v>309</v>
      </c>
      <c r="C13" s="411">
        <v>13072514</v>
      </c>
      <c r="D13" s="408">
        <v>12804214</v>
      </c>
      <c r="E13" s="409">
        <v>4128006</v>
      </c>
      <c r="F13" s="408">
        <v>1052703.95</v>
      </c>
      <c r="G13" s="408">
        <v>2532651.8200000003</v>
      </c>
      <c r="H13" s="411">
        <f>2115645.13-2950</f>
        <v>2112695.13</v>
      </c>
      <c r="I13" s="411">
        <v>2258041.63</v>
      </c>
      <c r="J13" s="411">
        <f>+E13-G13</f>
        <v>1595354.1799999997</v>
      </c>
      <c r="K13" s="411">
        <f>+D13-G13</f>
        <v>10271562.18</v>
      </c>
      <c r="L13" s="414">
        <f>+G13/E13*100</f>
        <v>61.352910339762111</v>
      </c>
      <c r="N13" s="43"/>
    </row>
    <row r="14" spans="1:14" ht="24.95" customHeight="1" x14ac:dyDescent="0.2">
      <c r="A14" s="413"/>
      <c r="B14" s="407"/>
      <c r="C14" s="411"/>
      <c r="D14" s="408"/>
      <c r="E14" s="409"/>
      <c r="F14" s="408"/>
      <c r="G14" s="408"/>
      <c r="H14" s="411"/>
      <c r="I14" s="411"/>
      <c r="J14" s="411"/>
      <c r="K14" s="411"/>
      <c r="L14" s="412"/>
      <c r="N14" s="43"/>
    </row>
    <row r="15" spans="1:14" ht="24.95" customHeight="1" x14ac:dyDescent="0.2">
      <c r="A15" s="413" t="s">
        <v>6</v>
      </c>
      <c r="B15" s="415" t="s">
        <v>310</v>
      </c>
      <c r="C15" s="411">
        <v>1063473</v>
      </c>
      <c r="D15" s="408">
        <v>1063473</v>
      </c>
      <c r="E15" s="409">
        <v>295456</v>
      </c>
      <c r="F15" s="408">
        <v>89142.12</v>
      </c>
      <c r="G15" s="408">
        <v>225131.15</v>
      </c>
      <c r="H15" s="411">
        <v>195375.21</v>
      </c>
      <c r="I15" s="411">
        <v>213831.61</v>
      </c>
      <c r="J15" s="411">
        <f>+E15-G15</f>
        <v>70324.850000000006</v>
      </c>
      <c r="K15" s="411">
        <f>+D15-G15</f>
        <v>838341.85</v>
      </c>
      <c r="L15" s="414">
        <f>+G15/E15*100</f>
        <v>76.19786025668796</v>
      </c>
      <c r="N15" s="43"/>
    </row>
    <row r="16" spans="1:14" ht="24.95" customHeight="1" x14ac:dyDescent="0.2">
      <c r="A16" s="413"/>
      <c r="B16" s="415"/>
      <c r="C16" s="411"/>
      <c r="D16" s="408"/>
      <c r="E16" s="409"/>
      <c r="F16" s="408"/>
      <c r="G16" s="408">
        <v>0</v>
      </c>
      <c r="H16" s="411"/>
      <c r="I16" s="411"/>
      <c r="J16" s="411">
        <f>+E16-G16</f>
        <v>0</v>
      </c>
      <c r="K16" s="411" t="s">
        <v>6</v>
      </c>
      <c r="L16" s="414"/>
      <c r="N16" s="43"/>
    </row>
    <row r="17" spans="1:17" ht="24.95" customHeight="1" x14ac:dyDescent="0.2">
      <c r="A17" s="413" t="s">
        <v>6</v>
      </c>
      <c r="B17" s="407" t="s">
        <v>311</v>
      </c>
      <c r="C17" s="411">
        <v>35488163</v>
      </c>
      <c r="D17" s="408">
        <v>36636463</v>
      </c>
      <c r="E17" s="409">
        <v>13858304</v>
      </c>
      <c r="F17" s="408">
        <v>2793349.2</v>
      </c>
      <c r="G17" s="408">
        <v>5767239.3900000006</v>
      </c>
      <c r="H17" s="411">
        <v>4437883.8</v>
      </c>
      <c r="I17" s="411">
        <v>4598556.58</v>
      </c>
      <c r="J17" s="411">
        <f>+E17-G17</f>
        <v>8091064.6099999994</v>
      </c>
      <c r="K17" s="411">
        <f>+D17-G17</f>
        <v>30869223.609999999</v>
      </c>
      <c r="L17" s="414">
        <f>+G17/E17*100</f>
        <v>41.615766186107628</v>
      </c>
      <c r="N17" s="43"/>
    </row>
    <row r="18" spans="1:17" ht="24.95" customHeight="1" x14ac:dyDescent="0.2">
      <c r="A18" s="413"/>
      <c r="B18" s="407"/>
      <c r="C18" s="411"/>
      <c r="D18" s="408"/>
      <c r="E18" s="409"/>
      <c r="F18" s="408" t="s">
        <v>6</v>
      </c>
      <c r="G18" s="408" t="s">
        <v>6</v>
      </c>
      <c r="H18" s="411"/>
      <c r="I18" s="411"/>
      <c r="J18" s="411" t="s">
        <v>6</v>
      </c>
      <c r="K18" s="411" t="s">
        <v>6</v>
      </c>
      <c r="L18" s="414"/>
      <c r="N18" s="43"/>
    </row>
    <row r="19" spans="1:17" ht="24.95" customHeight="1" x14ac:dyDescent="0.2">
      <c r="A19" s="413" t="s">
        <v>6</v>
      </c>
      <c r="B19" s="415" t="s">
        <v>312</v>
      </c>
      <c r="C19" s="411">
        <v>2449976</v>
      </c>
      <c r="D19" s="408">
        <v>2398476</v>
      </c>
      <c r="E19" s="409">
        <v>644879</v>
      </c>
      <c r="F19" s="408">
        <v>130472.93</v>
      </c>
      <c r="G19" s="408">
        <v>296849.75</v>
      </c>
      <c r="H19" s="411">
        <v>251999.92</v>
      </c>
      <c r="I19" s="147">
        <v>262834.27</v>
      </c>
      <c r="J19" s="411">
        <f>+E19-G19</f>
        <v>348029.25</v>
      </c>
      <c r="K19" s="411">
        <f>+D19-G19</f>
        <v>2101626.25</v>
      </c>
      <c r="L19" s="414">
        <f>+G19/E19*100</f>
        <v>46.031852487055716</v>
      </c>
      <c r="N19" s="43"/>
    </row>
    <row r="20" spans="1:17" ht="24.95" customHeight="1" x14ac:dyDescent="0.2">
      <c r="A20" s="413"/>
      <c r="B20" s="407"/>
      <c r="C20" s="411"/>
      <c r="D20" s="408" t="s">
        <v>6</v>
      </c>
      <c r="E20" s="409"/>
      <c r="F20" s="408"/>
      <c r="G20" s="408">
        <v>0</v>
      </c>
      <c r="H20" s="411"/>
      <c r="I20" s="411"/>
      <c r="J20" s="411">
        <f>+E20-G20</f>
        <v>0</v>
      </c>
      <c r="K20" s="411" t="s">
        <v>6</v>
      </c>
      <c r="L20" s="414"/>
      <c r="N20" s="43"/>
    </row>
    <row r="21" spans="1:17" ht="24.95" customHeight="1" x14ac:dyDescent="0.25">
      <c r="A21" s="403">
        <v>2</v>
      </c>
      <c r="B21" s="404" t="s">
        <v>33</v>
      </c>
      <c r="C21" s="397">
        <f t="shared" ref="C21:D21" si="1">SUM(C23:C27)</f>
        <v>73122532</v>
      </c>
      <c r="D21" s="405">
        <f t="shared" si="1"/>
        <v>73086132</v>
      </c>
      <c r="E21" s="406">
        <f>SUM(E23:E27)</f>
        <v>28991634</v>
      </c>
      <c r="F21" s="405">
        <f>SUM(F23:F27)</f>
        <v>6518101.4900000002</v>
      </c>
      <c r="G21" s="405">
        <v>15646798.629999999</v>
      </c>
      <c r="H21" s="397">
        <f>SUM(H23:H27)</f>
        <v>13264446.52</v>
      </c>
      <c r="I21" s="397">
        <f>SUM(I23:I27)</f>
        <v>14395863.799999999</v>
      </c>
      <c r="J21" s="397">
        <f>+E21-G21</f>
        <v>13344835.370000001</v>
      </c>
      <c r="K21" s="397">
        <f>+D21-G21</f>
        <v>57439333.370000005</v>
      </c>
      <c r="L21" s="398">
        <f>+G21/E21*100</f>
        <v>53.970047462657675</v>
      </c>
      <c r="N21" s="43"/>
    </row>
    <row r="22" spans="1:17" ht="24.95" customHeight="1" x14ac:dyDescent="0.2">
      <c r="A22" s="416"/>
      <c r="B22" s="407"/>
      <c r="C22" s="411"/>
      <c r="D22" s="408"/>
      <c r="E22" s="409"/>
      <c r="F22" s="408"/>
      <c r="G22" s="408">
        <v>0</v>
      </c>
      <c r="H22" s="411"/>
      <c r="I22" s="411"/>
      <c r="J22" s="411">
        <f>+E22-G22</f>
        <v>0</v>
      </c>
      <c r="K22" s="411" t="s">
        <v>6</v>
      </c>
      <c r="L22" s="414" t="s">
        <v>6</v>
      </c>
      <c r="N22" s="43"/>
    </row>
    <row r="23" spans="1:17" ht="24.95" customHeight="1" x14ac:dyDescent="0.2">
      <c r="A23" s="417" t="s">
        <v>6</v>
      </c>
      <c r="B23" s="407" t="s">
        <v>313</v>
      </c>
      <c r="C23" s="411">
        <v>3496882</v>
      </c>
      <c r="D23" s="408">
        <v>3520782</v>
      </c>
      <c r="E23" s="409">
        <v>9792783</v>
      </c>
      <c r="F23" s="408">
        <v>501669.25</v>
      </c>
      <c r="G23" s="408">
        <v>807116.52</v>
      </c>
      <c r="H23" s="411">
        <v>426538.6</v>
      </c>
      <c r="I23" s="411">
        <v>436397.14</v>
      </c>
      <c r="J23" s="411">
        <f>+E23-G23</f>
        <v>8985666.4800000004</v>
      </c>
      <c r="K23" s="411">
        <f>+D23-G23</f>
        <v>2713665.48</v>
      </c>
      <c r="L23" s="414">
        <f>+G23/E23*100</f>
        <v>8.2419524664234878</v>
      </c>
      <c r="N23" s="43"/>
      <c r="Q23" s="43">
        <f>P23</f>
        <v>0</v>
      </c>
    </row>
    <row r="24" spans="1:17" ht="24.95" customHeight="1" x14ac:dyDescent="0.2">
      <c r="A24" s="417"/>
      <c r="B24" s="407"/>
      <c r="C24" s="411"/>
      <c r="D24" s="408" t="s">
        <v>6</v>
      </c>
      <c r="E24" s="409" t="s">
        <v>6</v>
      </c>
      <c r="F24" s="408"/>
      <c r="G24" s="408">
        <v>0</v>
      </c>
      <c r="H24" s="411"/>
      <c r="I24" s="411"/>
      <c r="J24" s="411" t="s">
        <v>6</v>
      </c>
      <c r="K24" s="411" t="s">
        <v>6</v>
      </c>
      <c r="L24" s="414"/>
      <c r="N24" s="43"/>
      <c r="Q24" s="43"/>
    </row>
    <row r="25" spans="1:17" ht="24.95" customHeight="1" x14ac:dyDescent="0.2">
      <c r="A25" s="417" t="s">
        <v>6</v>
      </c>
      <c r="B25" s="407" t="s">
        <v>314</v>
      </c>
      <c r="C25" s="411">
        <v>36159943</v>
      </c>
      <c r="D25" s="408">
        <v>36220663</v>
      </c>
      <c r="E25" s="409">
        <v>9792783</v>
      </c>
      <c r="F25" s="408">
        <v>3252877.21</v>
      </c>
      <c r="G25" s="418">
        <v>7907587.7299999995</v>
      </c>
      <c r="H25" s="411">
        <v>6802442.7300000004</v>
      </c>
      <c r="I25" s="147">
        <v>7393770.8899999997</v>
      </c>
      <c r="J25" s="411">
        <f>+E25-G25</f>
        <v>1885195.2700000005</v>
      </c>
      <c r="K25" s="411">
        <f>+D25-G25</f>
        <v>28313075.27</v>
      </c>
      <c r="L25" s="414">
        <f>+G25/E25*100</f>
        <v>80.749136685659224</v>
      </c>
      <c r="N25" s="43"/>
      <c r="Q25" s="43"/>
    </row>
    <row r="26" spans="1:17" ht="24.95" customHeight="1" x14ac:dyDescent="0.2">
      <c r="A26" s="417"/>
      <c r="B26" s="407"/>
      <c r="C26" s="411"/>
      <c r="D26" s="408"/>
      <c r="E26" s="409"/>
      <c r="F26" s="408"/>
      <c r="G26" s="408">
        <v>0</v>
      </c>
      <c r="H26" s="411"/>
      <c r="I26" s="411"/>
      <c r="J26" s="411">
        <f>+E26-G26</f>
        <v>0</v>
      </c>
      <c r="K26" s="411" t="e">
        <f>+#REF!-G26</f>
        <v>#REF!</v>
      </c>
      <c r="L26" s="414"/>
      <c r="N26" s="43"/>
      <c r="Q26" s="43"/>
    </row>
    <row r="27" spans="1:17" ht="24.95" customHeight="1" x14ac:dyDescent="0.2">
      <c r="A27" s="417" t="s">
        <v>6</v>
      </c>
      <c r="B27" s="407" t="s">
        <v>315</v>
      </c>
      <c r="C27" s="411">
        <v>33465707</v>
      </c>
      <c r="D27" s="408">
        <v>33344687</v>
      </c>
      <c r="E27" s="409">
        <v>9406068</v>
      </c>
      <c r="F27" s="408">
        <v>2763555.03</v>
      </c>
      <c r="G27" s="408">
        <v>6932094.3799999999</v>
      </c>
      <c r="H27" s="411">
        <v>6035465.1900000004</v>
      </c>
      <c r="I27" s="411">
        <v>6565695.7699999996</v>
      </c>
      <c r="J27" s="411">
        <f>+E27-G27</f>
        <v>2473973.62</v>
      </c>
      <c r="K27" s="411">
        <f>+D27-G27</f>
        <v>26412592.620000001</v>
      </c>
      <c r="L27" s="414">
        <f>+G27/E27*100</f>
        <v>73.698110411279188</v>
      </c>
      <c r="N27" s="43"/>
    </row>
    <row r="28" spans="1:17" ht="24.95" customHeight="1" x14ac:dyDescent="0.2">
      <c r="A28" s="419"/>
      <c r="B28" s="407"/>
      <c r="C28" s="411"/>
      <c r="D28" s="408"/>
      <c r="E28" s="409"/>
      <c r="F28" s="408"/>
      <c r="G28" s="408">
        <v>0</v>
      </c>
      <c r="H28" s="411"/>
      <c r="I28" s="411"/>
      <c r="J28" s="411">
        <f>+E28-G28</f>
        <v>0</v>
      </c>
      <c r="K28" s="411" t="s">
        <v>6</v>
      </c>
      <c r="L28" s="414" t="s">
        <v>6</v>
      </c>
      <c r="N28" s="43"/>
    </row>
    <row r="29" spans="1:17" ht="24.95" customHeight="1" x14ac:dyDescent="0.25">
      <c r="A29" s="420" t="s">
        <v>278</v>
      </c>
      <c r="B29" s="404" t="s">
        <v>34</v>
      </c>
      <c r="C29" s="397">
        <v>15898148</v>
      </c>
      <c r="D29" s="405">
        <v>15106048</v>
      </c>
      <c r="E29" s="406">
        <v>4433118</v>
      </c>
      <c r="F29" s="405">
        <v>1124664.9099999999</v>
      </c>
      <c r="G29" s="405">
        <v>2728358.92</v>
      </c>
      <c r="H29" s="397">
        <f>2304471.16-1408.54</f>
        <v>2303062.62</v>
      </c>
      <c r="I29" s="397">
        <v>2463392.4700000002</v>
      </c>
      <c r="J29" s="397">
        <f>+E29-G29</f>
        <v>1704759.08</v>
      </c>
      <c r="K29" s="397">
        <f>+D29-G29</f>
        <v>12377689.08</v>
      </c>
      <c r="L29" s="398">
        <f>+G29/E29*100</f>
        <v>61.544919850994262</v>
      </c>
      <c r="N29" s="43"/>
    </row>
    <row r="30" spans="1:17" ht="24.95" customHeight="1" thickBot="1" x14ac:dyDescent="0.25">
      <c r="A30" s="421"/>
      <c r="B30" s="422"/>
      <c r="C30" s="423"/>
      <c r="D30" s="423" t="s">
        <v>6</v>
      </c>
      <c r="E30" s="424"/>
      <c r="F30" s="423"/>
      <c r="G30" s="423" t="s">
        <v>6</v>
      </c>
      <c r="H30" s="423"/>
      <c r="I30" s="423"/>
      <c r="J30" s="423"/>
      <c r="K30" s="423" t="s">
        <v>6</v>
      </c>
      <c r="L30" s="425" t="s">
        <v>6</v>
      </c>
      <c r="M30" t="s">
        <v>6</v>
      </c>
      <c r="N30" s="43"/>
    </row>
    <row r="31" spans="1:17" ht="11.25" customHeight="1" thickTop="1" x14ac:dyDescent="0.2">
      <c r="A31" s="426"/>
      <c r="B31" s="250"/>
      <c r="C31" s="427"/>
      <c r="D31" s="427"/>
      <c r="E31" s="427"/>
      <c r="F31" s="427"/>
      <c r="G31" s="427" t="s">
        <v>6</v>
      </c>
      <c r="H31" s="427"/>
      <c r="I31" s="427"/>
      <c r="J31" s="427"/>
      <c r="K31" s="427" t="s">
        <v>6</v>
      </c>
      <c r="L31"/>
    </row>
    <row r="32" spans="1:17" ht="13.5" customHeight="1" x14ac:dyDescent="0.2">
      <c r="A32" s="428"/>
      <c r="B32" s="577" t="s">
        <v>508</v>
      </c>
      <c r="C32" s="577"/>
      <c r="D32" s="429"/>
      <c r="E32" s="429"/>
      <c r="F32" s="429"/>
      <c r="G32" s="430"/>
      <c r="H32" s="430"/>
      <c r="I32" s="430"/>
      <c r="J32" s="430"/>
      <c r="K32" s="431"/>
      <c r="L32"/>
    </row>
    <row r="38" spans="12:12" x14ac:dyDescent="0.2">
      <c r="L38" s="25" t="s">
        <v>6</v>
      </c>
    </row>
  </sheetData>
  <mergeCells count="10">
    <mergeCell ref="B32:C32"/>
    <mergeCell ref="B1:L1"/>
    <mergeCell ref="B2:L2"/>
    <mergeCell ref="A6:A7"/>
    <mergeCell ref="B6:B7"/>
    <mergeCell ref="L6:L7"/>
    <mergeCell ref="A3:L3"/>
    <mergeCell ref="A4:L4"/>
    <mergeCell ref="J6:K7"/>
    <mergeCell ref="C6:I6"/>
  </mergeCells>
  <phoneticPr fontId="3" type="noConversion"/>
  <pageMargins left="0.23622047244094491" right="0" top="0.55118110236220474" bottom="0.35433070866141736" header="0.51181102362204722" footer="0.98425196850393704"/>
  <pageSetup scale="80" firstPageNumber="0" fitToWidth="0" fitToHeight="0" orientation="portrait" r:id="rId1"/>
  <headerFooter alignWithMargins="0">
    <oddFooter xml:space="preserve">&amp;R&amp;"Times New Roman,Normal"&amp;12 </oddFooter>
  </headerFooter>
  <ignoredErrors>
    <ignoredError sqref="D9" formula="1"/>
    <ignoredError sqref="A2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6" tint="-0.249977111117893"/>
  </sheetPr>
  <dimension ref="A1:M42"/>
  <sheetViews>
    <sheetView showGridLines="0" showZeros="0" workbookViewId="0">
      <selection activeCell="M41" sqref="M41"/>
    </sheetView>
  </sheetViews>
  <sheetFormatPr baseColWidth="10" defaultRowHeight="12.75" x14ac:dyDescent="0.2"/>
  <cols>
    <col min="1" max="1" width="76.5703125" customWidth="1"/>
    <col min="2" max="2" width="12.7109375" customWidth="1"/>
    <col min="3" max="3" width="14.140625" customWidth="1"/>
    <col min="4" max="4" width="13" customWidth="1"/>
    <col min="5" max="5" width="14.140625" hidden="1" customWidth="1"/>
    <col min="6" max="6" width="14" customWidth="1"/>
    <col min="7" max="7" width="13.42578125" customWidth="1"/>
    <col min="8" max="8" width="13" customWidth="1"/>
    <col min="9" max="9" width="12.7109375" customWidth="1"/>
    <col min="10" max="10" width="5.85546875" hidden="1" customWidth="1"/>
    <col min="11" max="11" width="14" customWidth="1"/>
    <col min="12" max="12" width="13.140625" customWidth="1"/>
    <col min="13" max="13" width="11.140625" customWidth="1"/>
  </cols>
  <sheetData>
    <row r="1" spans="1:13" ht="20.100000000000001" customHeight="1" x14ac:dyDescent="0.25">
      <c r="A1" s="580" t="s">
        <v>388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</row>
    <row r="2" spans="1:13" ht="20.100000000000001" customHeight="1" x14ac:dyDescent="0.25">
      <c r="A2" s="580" t="s">
        <v>387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</row>
    <row r="3" spans="1:13" ht="20.100000000000001" customHeight="1" x14ac:dyDescent="0.25">
      <c r="A3" s="581" t="s">
        <v>545</v>
      </c>
      <c r="B3" s="581"/>
      <c r="C3" s="581"/>
      <c r="D3" s="581"/>
      <c r="E3" s="581"/>
      <c r="F3" s="581"/>
      <c r="G3" s="581"/>
      <c r="H3" s="581"/>
      <c r="I3" s="581"/>
      <c r="J3" s="581"/>
      <c r="K3" s="581"/>
    </row>
    <row r="4" spans="1:13" ht="20.100000000000001" customHeight="1" x14ac:dyDescent="0.25">
      <c r="A4" s="581" t="s">
        <v>558</v>
      </c>
      <c r="B4" s="581"/>
      <c r="C4" s="581"/>
      <c r="D4" s="581"/>
      <c r="E4" s="581"/>
      <c r="F4" s="581"/>
      <c r="G4" s="581"/>
      <c r="H4" s="581"/>
      <c r="I4" s="581"/>
      <c r="J4" s="581"/>
      <c r="K4" s="581"/>
    </row>
    <row r="5" spans="1:13" ht="10.5" customHeight="1" x14ac:dyDescent="0.25">
      <c r="A5" s="199"/>
      <c r="B5" s="199"/>
      <c r="C5" s="199"/>
      <c r="D5" s="199"/>
      <c r="E5" s="199"/>
      <c r="F5" s="432"/>
      <c r="G5" s="432"/>
      <c r="H5" s="432"/>
      <c r="I5" s="432"/>
      <c r="J5" s="432"/>
    </row>
    <row r="6" spans="1:13" ht="15.75" customHeight="1" x14ac:dyDescent="0.2">
      <c r="A6" s="697" t="s">
        <v>322</v>
      </c>
      <c r="B6" s="690" t="s">
        <v>31</v>
      </c>
      <c r="C6" s="691"/>
      <c r="D6" s="692"/>
      <c r="E6" s="433" t="s">
        <v>6</v>
      </c>
      <c r="F6" s="693" t="s">
        <v>498</v>
      </c>
      <c r="G6" s="693" t="s">
        <v>491</v>
      </c>
      <c r="H6" s="693" t="s">
        <v>75</v>
      </c>
      <c r="I6" s="693" t="s">
        <v>307</v>
      </c>
      <c r="J6" s="434" t="s">
        <v>381</v>
      </c>
      <c r="K6" s="695" t="s">
        <v>380</v>
      </c>
    </row>
    <row r="7" spans="1:13" ht="24" customHeight="1" x14ac:dyDescent="0.2">
      <c r="A7" s="698"/>
      <c r="B7" s="435" t="s">
        <v>87</v>
      </c>
      <c r="C7" s="436" t="s">
        <v>12</v>
      </c>
      <c r="D7" s="436" t="s">
        <v>2</v>
      </c>
      <c r="E7" s="436" t="s">
        <v>36</v>
      </c>
      <c r="F7" s="694"/>
      <c r="G7" s="694"/>
      <c r="H7" s="694"/>
      <c r="I7" s="694"/>
      <c r="J7" s="437"/>
      <c r="K7" s="696"/>
    </row>
    <row r="8" spans="1:13" ht="20.100000000000001" customHeight="1" x14ac:dyDescent="0.25">
      <c r="A8" s="438" t="s">
        <v>319</v>
      </c>
      <c r="B8" s="439">
        <f t="shared" ref="B8:H8" si="0">SUM(B9:B15)</f>
        <v>27799680</v>
      </c>
      <c r="C8" s="440">
        <f t="shared" si="0"/>
        <v>27244875</v>
      </c>
      <c r="D8" s="440">
        <f t="shared" si="0"/>
        <v>6004798</v>
      </c>
      <c r="E8" s="440">
        <f t="shared" si="0"/>
        <v>568021.31000000006</v>
      </c>
      <c r="F8" s="440">
        <v>2739344.3200000003</v>
      </c>
      <c r="G8" s="440">
        <f t="shared" si="0"/>
        <v>38003</v>
      </c>
      <c r="H8" s="440">
        <f t="shared" si="0"/>
        <v>38003</v>
      </c>
      <c r="I8" s="440">
        <f>+I9+I15+I10</f>
        <v>2456276.6799999997</v>
      </c>
      <c r="J8" s="441" t="e">
        <f>+J9+J15+#REF!+J10</f>
        <v>#REF!</v>
      </c>
      <c r="K8" s="442">
        <f>+F8*100/D8</f>
        <v>45.619258466313106</v>
      </c>
    </row>
    <row r="9" spans="1:13" ht="20.100000000000001" customHeight="1" x14ac:dyDescent="0.2">
      <c r="A9" s="70" t="s">
        <v>320</v>
      </c>
      <c r="B9" s="443">
        <f>9834974</f>
        <v>9834974</v>
      </c>
      <c r="C9" s="443">
        <f>9728714</f>
        <v>9728714</v>
      </c>
      <c r="D9" s="444">
        <v>2210262</v>
      </c>
      <c r="E9" s="444">
        <v>558165.65</v>
      </c>
      <c r="F9" s="444">
        <v>1544964.83</v>
      </c>
      <c r="G9" s="444"/>
      <c r="H9" s="444">
        <v>0</v>
      </c>
      <c r="I9" s="444">
        <f>+D9-F9</f>
        <v>665297.16999999993</v>
      </c>
      <c r="J9" s="445">
        <f>+C9-F9</f>
        <v>8183749.1699999999</v>
      </c>
      <c r="K9" s="446">
        <f>+F9*100/D9</f>
        <v>69.899624116959885</v>
      </c>
    </row>
    <row r="10" spans="1:13" ht="36.75" customHeight="1" x14ac:dyDescent="0.2">
      <c r="A10" s="447" t="s">
        <v>359</v>
      </c>
      <c r="B10" s="448">
        <v>5000000</v>
      </c>
      <c r="C10" s="448">
        <v>4475540</v>
      </c>
      <c r="D10" s="449">
        <v>1081108</v>
      </c>
      <c r="E10" s="449">
        <v>9855.66</v>
      </c>
      <c r="F10" s="449">
        <v>624087.15</v>
      </c>
      <c r="G10" s="449">
        <v>38003</v>
      </c>
      <c r="H10" s="449">
        <v>38003</v>
      </c>
      <c r="I10" s="449">
        <f>+D10-F10</f>
        <v>457020.85</v>
      </c>
      <c r="J10" s="450">
        <f>+C10-F10</f>
        <v>3851452.85</v>
      </c>
      <c r="K10" s="451">
        <f>+F10*100/D10</f>
        <v>57.726623982062847</v>
      </c>
      <c r="M10" s="146"/>
    </row>
    <row r="11" spans="1:13" ht="16.5" customHeight="1" x14ac:dyDescent="0.2">
      <c r="A11" s="452" t="s">
        <v>487</v>
      </c>
      <c r="B11" s="443">
        <v>382798</v>
      </c>
      <c r="C11" s="443">
        <v>382798</v>
      </c>
      <c r="D11" s="444">
        <v>76560</v>
      </c>
      <c r="E11" s="444"/>
      <c r="F11" s="444"/>
      <c r="G11" s="444"/>
      <c r="H11" s="444"/>
      <c r="I11" s="444"/>
      <c r="J11" s="445"/>
      <c r="K11" s="453"/>
    </row>
    <row r="12" spans="1:13" ht="21.6" customHeight="1" x14ac:dyDescent="0.2">
      <c r="A12" s="452" t="s">
        <v>488</v>
      </c>
      <c r="B12" s="443">
        <v>2000000</v>
      </c>
      <c r="C12" s="443">
        <v>2000000</v>
      </c>
      <c r="D12" s="444">
        <v>401456</v>
      </c>
      <c r="E12" s="444"/>
      <c r="F12" s="444"/>
      <c r="G12" s="444"/>
      <c r="H12" s="444"/>
      <c r="I12" s="444"/>
      <c r="J12" s="445"/>
      <c r="K12" s="446"/>
    </row>
    <row r="13" spans="1:13" ht="31.5" customHeight="1" x14ac:dyDescent="0.2">
      <c r="A13" s="452" t="s">
        <v>489</v>
      </c>
      <c r="B13" s="448">
        <v>1135854</v>
      </c>
      <c r="C13" s="448">
        <v>927726</v>
      </c>
      <c r="D13" s="449">
        <v>24857</v>
      </c>
      <c r="E13" s="449"/>
      <c r="F13" s="449"/>
      <c r="G13" s="449"/>
      <c r="H13" s="449"/>
      <c r="I13" s="449"/>
      <c r="J13" s="450"/>
      <c r="K13" s="454"/>
    </row>
    <row r="14" spans="1:13" ht="21.6" customHeight="1" x14ac:dyDescent="0.2">
      <c r="A14" s="452" t="s">
        <v>468</v>
      </c>
      <c r="B14" s="448">
        <v>283423</v>
      </c>
      <c r="C14" s="448">
        <v>533041</v>
      </c>
      <c r="D14" s="449">
        <v>306304</v>
      </c>
      <c r="E14" s="449"/>
      <c r="F14" s="449"/>
      <c r="G14" s="449"/>
      <c r="H14" s="449"/>
      <c r="I14" s="449"/>
      <c r="J14" s="450"/>
      <c r="K14" s="454"/>
    </row>
    <row r="15" spans="1:13" ht="20.100000000000001" customHeight="1" x14ac:dyDescent="0.2">
      <c r="A15" s="70" t="s">
        <v>345</v>
      </c>
      <c r="B15" s="443">
        <v>9162631</v>
      </c>
      <c r="C15" s="443">
        <v>9197056</v>
      </c>
      <c r="D15" s="444">
        <v>1904251</v>
      </c>
      <c r="E15" s="444"/>
      <c r="F15" s="444">
        <v>570292.34000000008</v>
      </c>
      <c r="G15" s="444"/>
      <c r="H15" s="444">
        <v>0</v>
      </c>
      <c r="I15" s="444">
        <f>+D15-F15</f>
        <v>1333958.6599999999</v>
      </c>
      <c r="J15" s="445">
        <f>+C15-F15</f>
        <v>8626763.6600000001</v>
      </c>
      <c r="K15" s="446">
        <f>+F15*100/D15</f>
        <v>29.948380754427859</v>
      </c>
    </row>
    <row r="16" spans="1:13" ht="20.100000000000001" customHeight="1" x14ac:dyDescent="0.25">
      <c r="A16" s="455" t="s">
        <v>321</v>
      </c>
      <c r="B16" s="456">
        <f>SUM(B17:B30)</f>
        <v>15761574</v>
      </c>
      <c r="C16" s="457">
        <f>SUM(C17:C30)</f>
        <v>16301395</v>
      </c>
      <c r="D16" s="457">
        <f>SUM(D17:D30)</f>
        <v>4313302</v>
      </c>
      <c r="E16" s="457">
        <f>SUM(E17:E30)</f>
        <v>497103.84</v>
      </c>
      <c r="F16" s="440">
        <v>1177627.1200000001</v>
      </c>
      <c r="G16" s="440">
        <f>SUM(G17:G30)+1</f>
        <v>333064.46999999997</v>
      </c>
      <c r="H16" s="457">
        <f>SUM(H17:H30)</f>
        <v>83344.63</v>
      </c>
      <c r="I16" s="457">
        <f>D16-F16</f>
        <v>3135674.88</v>
      </c>
      <c r="J16" s="441">
        <f>+C16-F16</f>
        <v>15123767.879999999</v>
      </c>
      <c r="K16" s="442">
        <f>+F16*100/D16</f>
        <v>27.302218115031131</v>
      </c>
    </row>
    <row r="17" spans="1:12" ht="21.6" customHeight="1" x14ac:dyDescent="0.2">
      <c r="A17" s="458" t="s">
        <v>405</v>
      </c>
      <c r="B17" s="459">
        <v>2896997</v>
      </c>
      <c r="C17" s="460">
        <v>3171558</v>
      </c>
      <c r="D17" s="444">
        <v>1207077</v>
      </c>
      <c r="E17" s="444">
        <v>43763.17</v>
      </c>
      <c r="F17" s="444">
        <v>620852.14000000013</v>
      </c>
      <c r="G17" s="444">
        <v>52807.56</v>
      </c>
      <c r="H17" s="444">
        <v>6797.38</v>
      </c>
      <c r="I17" s="444">
        <f>+D17-F17</f>
        <v>586224.85999999987</v>
      </c>
      <c r="J17" s="445"/>
      <c r="K17" s="446">
        <f>+F17*100/D17</f>
        <v>51.434344287895485</v>
      </c>
    </row>
    <row r="18" spans="1:12" ht="21.6" customHeight="1" x14ac:dyDescent="0.2">
      <c r="A18" s="447" t="s">
        <v>470</v>
      </c>
      <c r="B18" s="459">
        <v>1200000</v>
      </c>
      <c r="C18" s="460">
        <v>1200000</v>
      </c>
      <c r="D18" s="444">
        <v>240000</v>
      </c>
      <c r="E18" s="444">
        <v>39134.14</v>
      </c>
      <c r="F18" s="444">
        <v>39134.14</v>
      </c>
      <c r="G18" s="444">
        <v>5146.7</v>
      </c>
      <c r="H18" s="444"/>
      <c r="I18" s="444"/>
      <c r="J18" s="445"/>
      <c r="K18" s="453"/>
    </row>
    <row r="19" spans="1:12" ht="20.100000000000001" customHeight="1" x14ac:dyDescent="0.2">
      <c r="A19" s="447" t="s">
        <v>469</v>
      </c>
      <c r="B19" s="459">
        <v>4628400</v>
      </c>
      <c r="C19" s="460">
        <v>4239322</v>
      </c>
      <c r="D19" s="444">
        <v>536602</v>
      </c>
      <c r="E19" s="444">
        <v>4065.8</v>
      </c>
      <c r="F19" s="444">
        <v>4065.8</v>
      </c>
      <c r="G19" s="444">
        <v>36904.300000000003</v>
      </c>
      <c r="H19" s="444">
        <v>36904.300000000003</v>
      </c>
      <c r="I19" s="444">
        <f>+D19-F19</f>
        <v>532536.19999999995</v>
      </c>
      <c r="J19" s="445">
        <f>+C19-F19</f>
        <v>4235256.2</v>
      </c>
      <c r="K19" s="446">
        <f>+F19*100/D19</f>
        <v>0.75769378421996192</v>
      </c>
    </row>
    <row r="20" spans="1:12" ht="20.100000000000001" customHeight="1" x14ac:dyDescent="0.2">
      <c r="A20" s="447" t="s">
        <v>471</v>
      </c>
      <c r="B20" s="459">
        <v>2000000</v>
      </c>
      <c r="C20" s="460">
        <v>2431456</v>
      </c>
      <c r="D20" s="444">
        <v>831461</v>
      </c>
      <c r="E20" s="444">
        <v>341389.84</v>
      </c>
      <c r="F20" s="444">
        <v>396602.84</v>
      </c>
      <c r="G20" s="444">
        <v>168222</v>
      </c>
      <c r="H20" s="444">
        <v>28323.85</v>
      </c>
      <c r="I20" s="444">
        <f>+D20-F20</f>
        <v>434858.16</v>
      </c>
      <c r="J20" s="445"/>
      <c r="K20" s="446">
        <f>+F20*100/D20</f>
        <v>47.699512063704731</v>
      </c>
    </row>
    <row r="21" spans="1:12" ht="20.100000000000001" customHeight="1" x14ac:dyDescent="0.2">
      <c r="A21" s="447" t="s">
        <v>472</v>
      </c>
      <c r="B21" s="459">
        <v>1000000</v>
      </c>
      <c r="C21" s="460">
        <v>1150681</v>
      </c>
      <c r="D21" s="444">
        <v>615446</v>
      </c>
      <c r="E21" s="444"/>
      <c r="F21" s="444"/>
      <c r="G21" s="444"/>
      <c r="H21" s="444"/>
      <c r="I21" s="444"/>
      <c r="J21" s="445"/>
      <c r="K21" s="446">
        <f t="shared" ref="K21:K30" si="1">+F21*100/D21</f>
        <v>0</v>
      </c>
    </row>
    <row r="22" spans="1:12" ht="20.100000000000001" customHeight="1" x14ac:dyDescent="0.2">
      <c r="A22" s="458" t="s">
        <v>382</v>
      </c>
      <c r="B22" s="459">
        <v>1270000</v>
      </c>
      <c r="C22" s="460">
        <v>1270000</v>
      </c>
      <c r="D22" s="444">
        <v>254000</v>
      </c>
      <c r="E22" s="444">
        <v>2086.7600000000002</v>
      </c>
      <c r="F22" s="444">
        <v>2086.7600000000002</v>
      </c>
      <c r="G22" s="444">
        <v>2086.7600000000002</v>
      </c>
      <c r="H22" s="444"/>
      <c r="I22" s="444"/>
      <c r="J22" s="445"/>
      <c r="K22" s="446">
        <f t="shared" si="1"/>
        <v>0.82155905511811034</v>
      </c>
    </row>
    <row r="23" spans="1:12" ht="20.100000000000001" customHeight="1" x14ac:dyDescent="0.2">
      <c r="A23" s="447" t="s">
        <v>474</v>
      </c>
      <c r="B23" s="459">
        <v>106000</v>
      </c>
      <c r="C23" s="460">
        <v>106000</v>
      </c>
      <c r="D23" s="444">
        <v>21200</v>
      </c>
      <c r="E23" s="444"/>
      <c r="F23" s="444"/>
      <c r="G23" s="444"/>
      <c r="H23" s="444"/>
      <c r="I23" s="444"/>
      <c r="J23" s="445"/>
      <c r="K23" s="446">
        <f t="shared" si="1"/>
        <v>0</v>
      </c>
    </row>
    <row r="24" spans="1:12" ht="20.100000000000001" customHeight="1" x14ac:dyDescent="0.2">
      <c r="A24" s="447" t="s">
        <v>473</v>
      </c>
      <c r="B24" s="459">
        <v>149583</v>
      </c>
      <c r="C24" s="460">
        <v>149583</v>
      </c>
      <c r="D24" s="444">
        <v>29919</v>
      </c>
      <c r="E24" s="444">
        <v>437.63</v>
      </c>
      <c r="F24" s="444">
        <v>437.63</v>
      </c>
      <c r="G24" s="444"/>
      <c r="H24" s="444"/>
      <c r="I24" s="444"/>
      <c r="J24" s="445"/>
      <c r="K24" s="446">
        <f t="shared" si="1"/>
        <v>1.4627159998663057</v>
      </c>
    </row>
    <row r="25" spans="1:12" ht="22.5" customHeight="1" x14ac:dyDescent="0.2">
      <c r="A25" s="447" t="s">
        <v>475</v>
      </c>
      <c r="B25" s="459">
        <v>750000</v>
      </c>
      <c r="C25" s="460">
        <f>SUM(B25:B25)</f>
        <v>750000</v>
      </c>
      <c r="D25" s="444">
        <v>150000</v>
      </c>
      <c r="E25" s="444"/>
      <c r="F25" s="444">
        <v>0</v>
      </c>
      <c r="G25" s="444"/>
      <c r="H25" s="444"/>
      <c r="I25" s="444">
        <f>+D25-F25</f>
        <v>150000</v>
      </c>
      <c r="J25" s="445">
        <f>+C25-F25</f>
        <v>750000</v>
      </c>
      <c r="K25" s="446">
        <f t="shared" si="1"/>
        <v>0</v>
      </c>
      <c r="L25" s="146"/>
    </row>
    <row r="26" spans="1:12" ht="23.25" customHeight="1" x14ac:dyDescent="0.2">
      <c r="A26" s="447" t="s">
        <v>476</v>
      </c>
      <c r="B26" s="459">
        <v>519956</v>
      </c>
      <c r="C26" s="460">
        <v>509056</v>
      </c>
      <c r="D26" s="444">
        <v>96363</v>
      </c>
      <c r="E26" s="444">
        <v>7197.67</v>
      </c>
      <c r="F26" s="444">
        <v>11714.26</v>
      </c>
      <c r="G26" s="444">
        <v>8849.33</v>
      </c>
      <c r="H26" s="444">
        <v>4642.3</v>
      </c>
      <c r="I26" s="444">
        <f>+D26-F26</f>
        <v>84648.74</v>
      </c>
      <c r="J26" s="445">
        <f>+C26-F26</f>
        <v>497341.74</v>
      </c>
      <c r="K26" s="446">
        <f t="shared" si="1"/>
        <v>12.15638782520262</v>
      </c>
    </row>
    <row r="27" spans="1:12" ht="23.25" customHeight="1" x14ac:dyDescent="0.2">
      <c r="A27" s="447" t="s">
        <v>477</v>
      </c>
      <c r="B27" s="461">
        <v>271625</v>
      </c>
      <c r="C27" s="460">
        <v>278322</v>
      </c>
      <c r="D27" s="444">
        <v>61023</v>
      </c>
      <c r="E27" s="444"/>
      <c r="F27" s="444"/>
      <c r="G27" s="444"/>
      <c r="H27" s="444"/>
      <c r="I27" s="444"/>
      <c r="J27" s="445"/>
      <c r="K27" s="446">
        <f t="shared" si="1"/>
        <v>0</v>
      </c>
    </row>
    <row r="28" spans="1:12" ht="23.25" customHeight="1" x14ac:dyDescent="0.2">
      <c r="A28" s="447" t="s">
        <v>480</v>
      </c>
      <c r="B28" s="461">
        <v>394105</v>
      </c>
      <c r="C28" s="460">
        <v>387079</v>
      </c>
      <c r="D28" s="444">
        <v>71796</v>
      </c>
      <c r="E28" s="444">
        <v>10568.56</v>
      </c>
      <c r="F28" s="444">
        <v>10568.56</v>
      </c>
      <c r="G28" s="444">
        <v>4581.91</v>
      </c>
      <c r="H28" s="444"/>
      <c r="I28" s="444"/>
      <c r="J28" s="445"/>
      <c r="K28" s="446">
        <f t="shared" si="1"/>
        <v>14.720262967296229</v>
      </c>
    </row>
    <row r="29" spans="1:12" ht="23.25" customHeight="1" x14ac:dyDescent="0.2">
      <c r="A29" s="447" t="s">
        <v>478</v>
      </c>
      <c r="B29" s="461">
        <v>437560</v>
      </c>
      <c r="C29" s="460">
        <v>472174</v>
      </c>
      <c r="D29" s="444">
        <v>122129</v>
      </c>
      <c r="E29" s="444">
        <v>41730</v>
      </c>
      <c r="F29" s="444">
        <v>48406.8</v>
      </c>
      <c r="G29" s="444">
        <v>48406.8</v>
      </c>
      <c r="H29" s="444">
        <v>6676.8</v>
      </c>
      <c r="I29" s="444"/>
      <c r="J29" s="445"/>
      <c r="K29" s="446">
        <f t="shared" si="1"/>
        <v>39.635794938139178</v>
      </c>
    </row>
    <row r="30" spans="1:12" ht="23.25" customHeight="1" x14ac:dyDescent="0.2">
      <c r="A30" s="447" t="s">
        <v>479</v>
      </c>
      <c r="B30" s="461">
        <v>137348</v>
      </c>
      <c r="C30" s="460">
        <v>186164</v>
      </c>
      <c r="D30" s="444">
        <v>76286</v>
      </c>
      <c r="E30" s="444">
        <v>6730.27</v>
      </c>
      <c r="F30" s="444">
        <v>6853.89</v>
      </c>
      <c r="G30" s="444">
        <v>6058.11</v>
      </c>
      <c r="H30" s="444"/>
      <c r="I30" s="444"/>
      <c r="J30" s="445"/>
      <c r="K30" s="446">
        <f t="shared" si="1"/>
        <v>8.9844663503132942</v>
      </c>
    </row>
    <row r="31" spans="1:12" ht="20.100000000000001" customHeight="1" x14ac:dyDescent="0.25">
      <c r="A31" s="455" t="s">
        <v>360</v>
      </c>
      <c r="B31" s="439">
        <f>SUM(B32:B39)</f>
        <v>13343940</v>
      </c>
      <c r="C31" s="439">
        <f t="shared" ref="C31:H31" si="2">SUM(C32:C39)</f>
        <v>13358924</v>
      </c>
      <c r="D31" s="439">
        <f t="shared" si="2"/>
        <v>3112700</v>
      </c>
      <c r="E31" s="439">
        <f t="shared" si="2"/>
        <v>470694.34</v>
      </c>
      <c r="F31" s="439">
        <v>1457429.36</v>
      </c>
      <c r="G31" s="439">
        <f t="shared" si="2"/>
        <v>378449.72000000003</v>
      </c>
      <c r="H31" s="439">
        <f t="shared" si="2"/>
        <v>62781.03</v>
      </c>
      <c r="I31" s="440">
        <f>D31-F31</f>
        <v>1655270.64</v>
      </c>
      <c r="J31" s="441">
        <f>C31-F31</f>
        <v>11901494.640000001</v>
      </c>
      <c r="K31" s="442">
        <f>+F31*100/D31</f>
        <v>46.822031034150413</v>
      </c>
    </row>
    <row r="32" spans="1:12" ht="20.100000000000001" customHeight="1" x14ac:dyDescent="0.2">
      <c r="A32" s="462" t="s">
        <v>481</v>
      </c>
      <c r="B32" s="463">
        <v>350999</v>
      </c>
      <c r="C32" s="445">
        <v>342902</v>
      </c>
      <c r="D32" s="444">
        <v>62103</v>
      </c>
      <c r="E32" s="444"/>
      <c r="F32" s="444"/>
      <c r="G32" s="444"/>
      <c r="H32" s="444"/>
      <c r="I32" s="444"/>
      <c r="J32" s="445"/>
      <c r="K32" s="453"/>
    </row>
    <row r="33" spans="1:13" ht="20.100000000000001" customHeight="1" x14ac:dyDescent="0.2">
      <c r="A33" s="464" t="s">
        <v>356</v>
      </c>
      <c r="B33" s="459">
        <v>779586</v>
      </c>
      <c r="C33" s="459">
        <v>663668</v>
      </c>
      <c r="D33" s="460">
        <v>40000</v>
      </c>
      <c r="E33" s="460">
        <v>0</v>
      </c>
      <c r="F33" s="444">
        <v>3136.29</v>
      </c>
      <c r="G33" s="444">
        <v>3136.29</v>
      </c>
      <c r="H33" s="444">
        <v>3136.29</v>
      </c>
      <c r="I33" s="444">
        <f>D33-F33</f>
        <v>36863.71</v>
      </c>
      <c r="J33" s="445">
        <f>+C33-F33</f>
        <v>660531.71</v>
      </c>
      <c r="K33" s="446">
        <f t="shared" ref="K33:K39" si="3">+F33*100/D33</f>
        <v>7.8407249999999999</v>
      </c>
    </row>
    <row r="34" spans="1:13" ht="28.15" customHeight="1" x14ac:dyDescent="0.2">
      <c r="A34" s="465" t="s">
        <v>368</v>
      </c>
      <c r="B34" s="466">
        <v>1000000</v>
      </c>
      <c r="C34" s="466">
        <v>1001000</v>
      </c>
      <c r="D34" s="460">
        <v>201000</v>
      </c>
      <c r="E34" s="460">
        <v>0</v>
      </c>
      <c r="F34" s="444">
        <v>0</v>
      </c>
      <c r="G34" s="444"/>
      <c r="H34" s="444"/>
      <c r="I34" s="444">
        <f>D34-F34</f>
        <v>201000</v>
      </c>
      <c r="J34" s="445">
        <f>+C34-F34</f>
        <v>1001000</v>
      </c>
      <c r="K34" s="446">
        <f t="shared" si="3"/>
        <v>0</v>
      </c>
    </row>
    <row r="35" spans="1:13" ht="28.15" customHeight="1" x14ac:dyDescent="0.2">
      <c r="A35" s="465" t="s">
        <v>482</v>
      </c>
      <c r="B35" s="466">
        <v>1845166</v>
      </c>
      <c r="C35" s="466">
        <v>1634454</v>
      </c>
      <c r="D35" s="460">
        <v>158322</v>
      </c>
      <c r="E35" s="460">
        <v>87034</v>
      </c>
      <c r="F35" s="444">
        <v>138911</v>
      </c>
      <c r="G35" s="444">
        <v>51877</v>
      </c>
      <c r="H35" s="444">
        <v>51877</v>
      </c>
      <c r="I35" s="444"/>
      <c r="J35" s="445"/>
      <c r="K35" s="446">
        <f t="shared" si="3"/>
        <v>87.739543462058336</v>
      </c>
    </row>
    <row r="36" spans="1:13" ht="33.75" customHeight="1" x14ac:dyDescent="0.2">
      <c r="A36" s="465" t="s">
        <v>483</v>
      </c>
      <c r="B36" s="466">
        <v>4700585</v>
      </c>
      <c r="C36" s="466">
        <v>5049296</v>
      </c>
      <c r="D36" s="460">
        <v>1710828</v>
      </c>
      <c r="E36" s="460">
        <v>70295.13</v>
      </c>
      <c r="F36" s="444">
        <v>1002015.86</v>
      </c>
      <c r="G36" s="444">
        <v>33680.85</v>
      </c>
      <c r="H36" s="444">
        <v>7767.74</v>
      </c>
      <c r="I36" s="444"/>
      <c r="J36" s="445"/>
      <c r="K36" s="446">
        <f t="shared" si="3"/>
        <v>58.569058958586133</v>
      </c>
    </row>
    <row r="37" spans="1:13" ht="33.75" customHeight="1" x14ac:dyDescent="0.2">
      <c r="A37" s="465" t="s">
        <v>484</v>
      </c>
      <c r="B37" s="466">
        <v>500000</v>
      </c>
      <c r="C37" s="466">
        <v>500000</v>
      </c>
      <c r="D37" s="460">
        <v>100000</v>
      </c>
      <c r="E37" s="460"/>
      <c r="F37" s="444"/>
      <c r="G37" s="444"/>
      <c r="H37" s="444"/>
      <c r="I37" s="444"/>
      <c r="J37" s="445"/>
      <c r="K37" s="446">
        <f t="shared" si="3"/>
        <v>0</v>
      </c>
    </row>
    <row r="38" spans="1:13" ht="36" customHeight="1" x14ac:dyDescent="0.2">
      <c r="A38" s="465" t="s">
        <v>485</v>
      </c>
      <c r="B38" s="466">
        <v>2067604</v>
      </c>
      <c r="C38" s="466">
        <v>2067604</v>
      </c>
      <c r="D38" s="460">
        <v>420447</v>
      </c>
      <c r="E38" s="460">
        <v>23609.62</v>
      </c>
      <c r="F38" s="444">
        <v>23609.62</v>
      </c>
      <c r="G38" s="444"/>
      <c r="H38" s="444"/>
      <c r="I38" s="444"/>
      <c r="J38" s="445"/>
      <c r="K38" s="446">
        <f t="shared" si="3"/>
        <v>5.6153617459513328</v>
      </c>
    </row>
    <row r="39" spans="1:13" ht="28.15" customHeight="1" x14ac:dyDescent="0.2">
      <c r="A39" s="465" t="s">
        <v>486</v>
      </c>
      <c r="B39" s="466">
        <v>2100000</v>
      </c>
      <c r="C39" s="466">
        <v>2100000</v>
      </c>
      <c r="D39" s="460">
        <v>420000</v>
      </c>
      <c r="E39" s="461">
        <v>289755.59000000003</v>
      </c>
      <c r="F39" s="467">
        <v>289755.59000000003</v>
      </c>
      <c r="G39" s="468">
        <v>289755.58</v>
      </c>
      <c r="H39" s="444"/>
      <c r="I39" s="444"/>
      <c r="J39" s="445"/>
      <c r="K39" s="446">
        <f t="shared" si="3"/>
        <v>68.989426190476195</v>
      </c>
    </row>
    <row r="40" spans="1:13" ht="20.100000000000001" customHeight="1" x14ac:dyDescent="0.25">
      <c r="A40" s="469" t="s">
        <v>30</v>
      </c>
      <c r="B40" s="470">
        <f>B8+B16+B31</f>
        <v>56905194</v>
      </c>
      <c r="C40" s="440">
        <f>SUM(B40:B40)</f>
        <v>56905194</v>
      </c>
      <c r="D40" s="440">
        <f>D8+D16+D31</f>
        <v>13430800</v>
      </c>
      <c r="E40" s="470">
        <f>E8+E16+E31</f>
        <v>1535819.4900000002</v>
      </c>
      <c r="F40" s="471">
        <v>5374399.8000000007</v>
      </c>
      <c r="G40" s="470">
        <f>G8+G16+G31-1</f>
        <v>749516.19</v>
      </c>
      <c r="H40" s="470">
        <f>H8+H16+H31</f>
        <v>184128.66</v>
      </c>
      <c r="I40" s="440">
        <f>D40-F40</f>
        <v>8056400.1999999993</v>
      </c>
      <c r="J40" s="441">
        <f>C40-F40</f>
        <v>51530794.200000003</v>
      </c>
      <c r="K40" s="442">
        <f>+F40*100/D40</f>
        <v>40.015485302439181</v>
      </c>
      <c r="M40" t="s">
        <v>6</v>
      </c>
    </row>
    <row r="41" spans="1:13" ht="9" customHeight="1" x14ac:dyDescent="0.2">
      <c r="A41" s="57"/>
      <c r="L41" t="s">
        <v>6</v>
      </c>
    </row>
    <row r="42" spans="1:13" x14ac:dyDescent="0.2">
      <c r="A42" s="472" t="s">
        <v>508</v>
      </c>
    </row>
  </sheetData>
  <mergeCells count="11">
    <mergeCell ref="A1:K1"/>
    <mergeCell ref="A2:K2"/>
    <mergeCell ref="A3:K3"/>
    <mergeCell ref="A4:K4"/>
    <mergeCell ref="B6:D6"/>
    <mergeCell ref="G6:G7"/>
    <mergeCell ref="H6:H7"/>
    <mergeCell ref="F6:F7"/>
    <mergeCell ref="I6:I7"/>
    <mergeCell ref="K6:K7"/>
    <mergeCell ref="A6:A7"/>
  </mergeCells>
  <pageMargins left="3.937007874015748E-2" right="0.11811023622047245" top="0.74803149606299213" bottom="0.74803149606299213" header="0.31496062992125984" footer="0.31496062992125984"/>
  <pageSetup scale="75" orientation="landscape" r:id="rId1"/>
  <ignoredErrors>
    <ignoredError sqref="I16 C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16</vt:i4>
      </vt:variant>
    </vt:vector>
  </HeadingPairs>
  <TitlesOfParts>
    <vt:vector size="26" baseType="lpstr">
      <vt:lpstr>BALANCE</vt:lpstr>
      <vt:lpstr>INGRESOS</vt:lpstr>
      <vt:lpstr>FINANCIAMIENTO</vt:lpstr>
      <vt:lpstr>FLUJO</vt:lpstr>
      <vt:lpstr>BALANCE GASTO</vt:lpstr>
      <vt:lpstr>FUNCIONAMIENTO CTA</vt:lpstr>
      <vt:lpstr>C-A6</vt:lpstr>
      <vt:lpstr>EST PROGRAMATICA</vt:lpstr>
      <vt:lpstr>PROYECTOS</vt:lpstr>
      <vt:lpstr>INVxOBJETO</vt:lpstr>
      <vt:lpstr>'BALANCE GASTO'!Área_de_impresión</vt:lpstr>
      <vt:lpstr>'EST PROGRAMATICA'!Área_de_impresión</vt:lpstr>
      <vt:lpstr>FINANCIAMIENTO!Área_de_impresión</vt:lpstr>
      <vt:lpstr>FLUJO!Área_de_impresión</vt:lpstr>
      <vt:lpstr>'FUNCIONAMIENTO CTA'!Área_de_impresión</vt:lpstr>
      <vt:lpstr>INGRESOS!Área_de_impresión</vt:lpstr>
      <vt:lpstr>INVxOBJETO!Área_de_impresión</vt:lpstr>
      <vt:lpstr>Excel_BuiltIn_Print_Area_7</vt:lpstr>
      <vt:lpstr>Excel_BuiltIn_Print_Area_7_1</vt:lpstr>
      <vt:lpstr>Excel_BuiltIn_Print_Area_7_1_1</vt:lpstr>
      <vt:lpstr>Excel_BuiltIn_Print_Area_9_1</vt:lpstr>
      <vt:lpstr>Excel_BuiltIn_Print_Titles_11</vt:lpstr>
      <vt:lpstr>Excel_BuiltIn_Print_Titles_7</vt:lpstr>
      <vt:lpstr>BALANCE!Títulos_a_imprimir</vt:lpstr>
      <vt:lpstr>'BALANCE GASTO'!Títulos_a_imprimir</vt:lpstr>
      <vt:lpstr>'C-A6'!Títulos_a_imprimir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CASTILLO</dc:creator>
  <cp:lastModifiedBy>Jaime Young</cp:lastModifiedBy>
  <cp:lastPrinted>2025-04-14T20:23:56Z</cp:lastPrinted>
  <dcterms:created xsi:type="dcterms:W3CDTF">2010-01-07T20:52:23Z</dcterms:created>
  <dcterms:modified xsi:type="dcterms:W3CDTF">2025-04-14T20:44:32Z</dcterms:modified>
</cp:coreProperties>
</file>