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Mayo\"/>
    </mc:Choice>
  </mc:AlternateContent>
  <xr:revisionPtr revIDLastSave="0" documentId="8_{A12CF181-B681-4AE8-AA8B-C4213EBCA09C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Recaudación Ing." sheetId="8" r:id="rId1"/>
    <sheet name="Ingresos" sheetId="9" r:id="rId2"/>
    <sheet name="Financiamiento" sheetId="10" r:id="rId3"/>
    <sheet name="Flujo" sheetId="11" r:id="rId4"/>
    <sheet name="Balance Gastos" sheetId="12" r:id="rId5"/>
    <sheet name="Ejecución Gastos" sheetId="24" r:id="rId6"/>
    <sheet name="Cuentas Funcionamiento" sheetId="26" r:id="rId7"/>
    <sheet name="Estruc.Prog." sheetId="15" r:id="rId8"/>
    <sheet name="Proyectos" sheetId="60" r:id="rId9"/>
    <sheet name="Inversiones Gasto" sheetId="23" r:id="rId10"/>
  </sheets>
  <externalReferences>
    <externalReference r:id="rId11"/>
    <externalReference r:id="rId12"/>
  </externalReferences>
  <definedNames>
    <definedName name="a">"$#REF!.$CP$1"</definedName>
    <definedName name="_xlnm.Print_Area" localSheetId="4">'Balance Gastos'!$A$6:$K$53</definedName>
    <definedName name="_xlnm.Print_Area" localSheetId="6">'Cuentas Funcionamiento'!$A$1:$L$59</definedName>
    <definedName name="_xlnm.Print_Area" localSheetId="7">'Estruc.Prog.'!$A$3:$L$32</definedName>
    <definedName name="_xlnm.Print_Area" localSheetId="2">Financiamiento!$A$1:$H$35</definedName>
    <definedName name="_xlnm.Print_Area" localSheetId="3">Flujo!$A$3:$I$54</definedName>
    <definedName name="_xlnm.Print_Area" localSheetId="1">Ingresos!$A$1:$J$33</definedName>
    <definedName name="_xlnm.Print_Area" localSheetId="9">'Inversiones Gasto'!$A$1:$N$63</definedName>
    <definedName name="_xlnm.Print_Area" localSheetId="8">Proyectos!$A$8:$K$44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'Recaudación Ing.'!$B$3:$I$47</definedName>
    <definedName name="Excel_BuiltIn_Print_Area_7_1">'Recaudación Ing.'!$B$3:$I$41</definedName>
    <definedName name="Excel_BuiltIn_Print_Area_7_1_1">'Recaudación Ing.'!$B$3:$I$47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Financiamiento!$A$4:$H$36</definedName>
    <definedName name="Excel_BuiltIn_Print_Titles_11">'Balance Gastos'!$4:$5</definedName>
    <definedName name="Excel_BuiltIn_Print_Titles_12_1">"$#REF!.$A$1:$B$65535;$#REF!.$A$1:$IV$7"</definedName>
    <definedName name="Excel_BuiltIn_Print_Titles_7">'Recaudación Ing.'!$3:$4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'Balance Gastos'!$1:$5</definedName>
    <definedName name="_xlnm.Print_Titles" localSheetId="5">'Ejecución Gastos'!$4:$10</definedName>
    <definedName name="_xlnm.Print_Titles" localSheetId="8">Proyectos!$1:$7</definedName>
    <definedName name="_xlnm.Print_Titles" localSheetId="0">'Recaudación Ing.'!$1:$4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23" l="1"/>
  <c r="N30" i="23"/>
  <c r="F30" i="9"/>
  <c r="F28" i="9"/>
  <c r="F27" i="9"/>
  <c r="F26" i="9"/>
  <c r="E39" i="8"/>
  <c r="E32" i="8"/>
  <c r="E29" i="8"/>
  <c r="E28" i="8"/>
  <c r="E27" i="8"/>
  <c r="E25" i="8"/>
  <c r="E19" i="8"/>
  <c r="E18" i="8"/>
  <c r="H17" i="9"/>
  <c r="F26" i="8"/>
  <c r="H22" i="9"/>
  <c r="G11" i="9"/>
  <c r="J28" i="8"/>
  <c r="H15" i="9"/>
  <c r="M42" i="60" l="1"/>
  <c r="M41" i="60"/>
  <c r="M40" i="60"/>
  <c r="C8" i="60"/>
  <c r="H52" i="23"/>
  <c r="F30" i="23"/>
  <c r="H19" i="23"/>
  <c r="E19" i="23"/>
  <c r="D19" i="23"/>
  <c r="E17" i="15"/>
  <c r="E29" i="15"/>
  <c r="E156" i="24"/>
  <c r="E105" i="24"/>
  <c r="E72" i="24"/>
  <c r="E49" i="24"/>
  <c r="D29" i="15"/>
  <c r="D17" i="15"/>
  <c r="C9" i="15"/>
  <c r="F17" i="15" l="1"/>
  <c r="I56" i="26"/>
  <c r="F11" i="15"/>
  <c r="F9" i="15" s="1"/>
  <c r="H182" i="24"/>
  <c r="H144" i="24"/>
  <c r="I45" i="24"/>
  <c r="H45" i="24"/>
  <c r="E157" i="24"/>
  <c r="D157" i="24"/>
  <c r="D134" i="24"/>
  <c r="J48" i="24"/>
  <c r="E83" i="24"/>
  <c r="D67" i="24"/>
  <c r="D45" i="24"/>
  <c r="D49" i="24"/>
  <c r="J26" i="23"/>
  <c r="H30" i="9" l="1"/>
  <c r="E43" i="8"/>
  <c r="I40" i="60" l="1"/>
  <c r="I39" i="60"/>
  <c r="G16" i="60"/>
  <c r="B9" i="60"/>
  <c r="H30" i="23" l="1"/>
  <c r="H62" i="24"/>
  <c r="H47" i="26"/>
  <c r="H46" i="26"/>
  <c r="H45" i="26" s="1"/>
  <c r="J19" i="15"/>
  <c r="H17" i="15"/>
  <c r="L27" i="15"/>
  <c r="L25" i="15"/>
  <c r="L23" i="15"/>
  <c r="F21" i="15"/>
  <c r="E21" i="15"/>
  <c r="I73" i="24"/>
  <c r="H162" i="24"/>
  <c r="D120" i="24"/>
  <c r="C49" i="24"/>
  <c r="H157" i="24"/>
  <c r="E120" i="24"/>
  <c r="F128" i="24"/>
  <c r="I83" i="24"/>
  <c r="D76" i="24"/>
  <c r="D62" i="24"/>
  <c r="D55" i="24"/>
  <c r="H55" i="24"/>
  <c r="E43" i="24"/>
  <c r="D43" i="24"/>
  <c r="H29" i="24"/>
  <c r="H19" i="26" s="1"/>
  <c r="J23" i="15" l="1"/>
  <c r="J25" i="15"/>
  <c r="J27" i="15"/>
  <c r="L20" i="24"/>
  <c r="B16" i="11"/>
  <c r="C16" i="11"/>
  <c r="D16" i="11"/>
  <c r="D15" i="11" s="1"/>
  <c r="D12" i="11" s="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3" i="11"/>
  <c r="C23" i="11"/>
  <c r="D23" i="11"/>
  <c r="D21" i="11" s="1"/>
  <c r="E23" i="11"/>
  <c r="H24" i="11"/>
  <c r="B25" i="11"/>
  <c r="C25" i="11"/>
  <c r="B26" i="11"/>
  <c r="C26" i="11"/>
  <c r="D26" i="11"/>
  <c r="D25" i="11" s="1"/>
  <c r="E26" i="11"/>
  <c r="E25" i="11" s="1"/>
  <c r="F26" i="11"/>
  <c r="F25" i="11" s="1"/>
  <c r="B36" i="11"/>
  <c r="E45" i="11"/>
  <c r="E43" i="11" s="1"/>
  <c r="C46" i="11"/>
  <c r="H46" i="11"/>
  <c r="C47" i="11"/>
  <c r="H48" i="11"/>
  <c r="H30" i="8"/>
  <c r="J20" i="24" l="1"/>
  <c r="C21" i="11"/>
  <c r="B21" i="11"/>
  <c r="C15" i="11"/>
  <c r="C12" i="11" s="1"/>
  <c r="C29" i="11" s="1"/>
  <c r="B15" i="11"/>
  <c r="B12" i="11" s="1"/>
  <c r="B29" i="11" s="1"/>
  <c r="D29" i="11"/>
  <c r="E21" i="11"/>
  <c r="E15" i="11"/>
  <c r="F24" i="9"/>
  <c r="K39" i="60"/>
  <c r="K27" i="60"/>
  <c r="K23" i="60"/>
  <c r="K21" i="60"/>
  <c r="B15" i="12"/>
  <c r="E12" i="11" l="1"/>
  <c r="K40" i="60"/>
  <c r="G42" i="12"/>
  <c r="H16" i="60"/>
  <c r="D16" i="60"/>
  <c r="K28" i="60"/>
  <c r="K24" i="60"/>
  <c r="K22" i="60"/>
  <c r="K20" i="60"/>
  <c r="H10" i="23"/>
  <c r="N39" i="23"/>
  <c r="N37" i="23"/>
  <c r="N12" i="23"/>
  <c r="I11" i="15"/>
  <c r="H15" i="26"/>
  <c r="H16" i="26"/>
  <c r="H17" i="26"/>
  <c r="H18" i="26"/>
  <c r="L91" i="24"/>
  <c r="F174" i="24"/>
  <c r="E178" i="24"/>
  <c r="D178" i="24"/>
  <c r="H73" i="24"/>
  <c r="L64" i="24"/>
  <c r="F38" i="24"/>
  <c r="F22" i="24"/>
  <c r="F16" i="24"/>
  <c r="F29" i="24"/>
  <c r="K41" i="60" l="1"/>
  <c r="I41" i="60"/>
  <c r="J38" i="23"/>
  <c r="N38" i="23"/>
  <c r="J39" i="23"/>
  <c r="K35" i="60"/>
  <c r="E29" i="11"/>
  <c r="D11" i="15"/>
  <c r="H11" i="15"/>
  <c r="C32" i="12"/>
  <c r="H27" i="9"/>
  <c r="J27" i="9" l="1"/>
  <c r="I37" i="60" l="1"/>
  <c r="E16" i="60"/>
  <c r="K30" i="60"/>
  <c r="K26" i="60"/>
  <c r="K29" i="60"/>
  <c r="D8" i="60"/>
  <c r="C9" i="60"/>
  <c r="D41" i="23"/>
  <c r="H41" i="23"/>
  <c r="N50" i="23"/>
  <c r="N36" i="23"/>
  <c r="N13" i="23"/>
  <c r="K21" i="23"/>
  <c r="L21" i="23"/>
  <c r="M21" i="23"/>
  <c r="J24" i="23"/>
  <c r="J15" i="23"/>
  <c r="J14" i="23"/>
  <c r="Q23" i="15"/>
  <c r="H54" i="26"/>
  <c r="H55" i="26"/>
  <c r="H51" i="26"/>
  <c r="H174" i="24"/>
  <c r="G32" i="12" s="1"/>
  <c r="H168" i="24"/>
  <c r="H52" i="26" s="1"/>
  <c r="D155" i="24"/>
  <c r="D154" i="24" s="1"/>
  <c r="H155" i="24"/>
  <c r="H154" i="24" s="1"/>
  <c r="I134" i="24"/>
  <c r="I41" i="26" s="1"/>
  <c r="H43" i="26"/>
  <c r="D128" i="24"/>
  <c r="D144" i="24"/>
  <c r="F95" i="24"/>
  <c r="H98" i="24"/>
  <c r="H35" i="26" s="1"/>
  <c r="H83" i="24"/>
  <c r="H31" i="26" s="1"/>
  <c r="H25" i="26"/>
  <c r="H38" i="24"/>
  <c r="J87" i="24"/>
  <c r="D27" i="26"/>
  <c r="D12" i="24"/>
  <c r="G11" i="26"/>
  <c r="C53" i="26"/>
  <c r="C10" i="10"/>
  <c r="B10" i="10"/>
  <c r="C24" i="9"/>
  <c r="C22" i="9"/>
  <c r="C20" i="9"/>
  <c r="C18" i="9"/>
  <c r="C17" i="9"/>
  <c r="C16" i="9"/>
  <c r="C15" i="9"/>
  <c r="C14" i="9"/>
  <c r="C13" i="9"/>
  <c r="C38" i="8"/>
  <c r="C37" i="8" s="1"/>
  <c r="C42" i="8"/>
  <c r="C41" i="8" s="1"/>
  <c r="C40" i="8" s="1"/>
  <c r="B28" i="10" s="1"/>
  <c r="C31" i="8"/>
  <c r="C26" i="8"/>
  <c r="C17" i="8"/>
  <c r="C15" i="8" s="1"/>
  <c r="C23" i="8"/>
  <c r="C21" i="8" s="1"/>
  <c r="H9" i="23"/>
  <c r="D12" i="26"/>
  <c r="C33" i="60"/>
  <c r="G26" i="12"/>
  <c r="G25" i="12"/>
  <c r="G24" i="12"/>
  <c r="G23" i="12"/>
  <c r="H21" i="15"/>
  <c r="I21" i="15"/>
  <c r="H42" i="26"/>
  <c r="H29" i="26"/>
  <c r="H24" i="26"/>
  <c r="H12" i="26"/>
  <c r="H11" i="26"/>
  <c r="H172" i="24"/>
  <c r="H160" i="24"/>
  <c r="H134" i="24"/>
  <c r="H41" i="26" s="1"/>
  <c r="H128" i="24"/>
  <c r="H40" i="26" s="1"/>
  <c r="H33" i="26" s="1"/>
  <c r="H120" i="24"/>
  <c r="H39" i="26" s="1"/>
  <c r="H114" i="24"/>
  <c r="H38" i="26" s="1"/>
  <c r="H110" i="24"/>
  <c r="H37" i="26" s="1"/>
  <c r="H104" i="24"/>
  <c r="H36" i="26" s="1"/>
  <c r="H95" i="24"/>
  <c r="H34" i="26" s="1"/>
  <c r="H76" i="24"/>
  <c r="H30" i="26" s="1"/>
  <c r="H67" i="24"/>
  <c r="H28" i="26" s="1"/>
  <c r="H27" i="26"/>
  <c r="H58" i="24"/>
  <c r="H23" i="26"/>
  <c r="H16" i="24"/>
  <c r="H14" i="26" s="1"/>
  <c r="H12" i="24"/>
  <c r="I53" i="26"/>
  <c r="G53" i="26"/>
  <c r="F53" i="26"/>
  <c r="E53" i="26"/>
  <c r="D53" i="26"/>
  <c r="D22" i="24"/>
  <c r="D17" i="26" s="1"/>
  <c r="H33" i="60"/>
  <c r="G33" i="60"/>
  <c r="G43" i="12" s="1"/>
  <c r="E33" i="60"/>
  <c r="D33" i="60"/>
  <c r="B33" i="60"/>
  <c r="B43" i="12" s="1"/>
  <c r="B16" i="60"/>
  <c r="B42" i="12" s="1"/>
  <c r="G8" i="60"/>
  <c r="B8" i="60"/>
  <c r="B41" i="12" s="1"/>
  <c r="J12" i="23"/>
  <c r="J22" i="23"/>
  <c r="I10" i="23"/>
  <c r="F10" i="23"/>
  <c r="E10" i="23"/>
  <c r="D10" i="23"/>
  <c r="D9" i="23" s="1"/>
  <c r="I128" i="24"/>
  <c r="I120" i="24"/>
  <c r="I114" i="24"/>
  <c r="I110" i="24"/>
  <c r="I104" i="24"/>
  <c r="I95" i="24"/>
  <c r="I98" i="24"/>
  <c r="I76" i="24"/>
  <c r="I168" i="24"/>
  <c r="F168" i="24"/>
  <c r="E168" i="24"/>
  <c r="D168" i="24"/>
  <c r="D52" i="26" s="1"/>
  <c r="C168" i="24"/>
  <c r="B28" i="12" s="1"/>
  <c r="E174" i="24"/>
  <c r="E172" i="24"/>
  <c r="D174" i="24"/>
  <c r="D172" i="24"/>
  <c r="K172" i="24"/>
  <c r="J172" i="24"/>
  <c r="I172" i="24"/>
  <c r="F172" i="24"/>
  <c r="C172" i="24"/>
  <c r="D162" i="24"/>
  <c r="D160" i="24"/>
  <c r="D114" i="24"/>
  <c r="D110" i="24"/>
  <c r="D104" i="24"/>
  <c r="D98" i="24"/>
  <c r="D95" i="24"/>
  <c r="E73" i="24"/>
  <c r="E45" i="24"/>
  <c r="D73" i="24"/>
  <c r="D37" i="24" s="1"/>
  <c r="D58" i="24"/>
  <c r="C73" i="24"/>
  <c r="C45" i="24"/>
  <c r="C55" i="24"/>
  <c r="C58" i="24"/>
  <c r="C62" i="24"/>
  <c r="C67" i="24"/>
  <c r="C76" i="24"/>
  <c r="D38" i="24"/>
  <c r="G28" i="12" l="1"/>
  <c r="G22" i="12" s="1"/>
  <c r="H37" i="24"/>
  <c r="H11" i="24"/>
  <c r="G42" i="60"/>
  <c r="K38" i="60"/>
  <c r="I38" i="60"/>
  <c r="C43" i="12"/>
  <c r="G41" i="12"/>
  <c r="K37" i="60"/>
  <c r="H9" i="15"/>
  <c r="H50" i="26"/>
  <c r="H49" i="26" s="1"/>
  <c r="G18" i="12"/>
  <c r="E39" i="11"/>
  <c r="C39" i="11"/>
  <c r="D39" i="11"/>
  <c r="H22" i="26"/>
  <c r="C41" i="12"/>
  <c r="C28" i="12"/>
  <c r="C22" i="12" s="1"/>
  <c r="C18" i="12"/>
  <c r="D94" i="24"/>
  <c r="B39" i="12"/>
  <c r="C11" i="9"/>
  <c r="C9" i="9" s="1"/>
  <c r="B30" i="10"/>
  <c r="B26" i="10" s="1"/>
  <c r="C36" i="8"/>
  <c r="C34" i="8" s="1"/>
  <c r="C13" i="8"/>
  <c r="C19" i="23"/>
  <c r="H60" i="23"/>
  <c r="N11" i="23"/>
  <c r="J11" i="23"/>
  <c r="N10" i="23"/>
  <c r="I9" i="15"/>
  <c r="J13" i="24"/>
  <c r="H94" i="24"/>
  <c r="H159" i="24"/>
  <c r="H26" i="26"/>
  <c r="H13" i="26"/>
  <c r="H10" i="26" s="1"/>
  <c r="H9" i="26" s="1"/>
  <c r="D29" i="24"/>
  <c r="D16" i="24"/>
  <c r="C16" i="24"/>
  <c r="G39" i="12" l="1"/>
  <c r="G36" i="12" s="1"/>
  <c r="H21" i="26"/>
  <c r="H56" i="26" s="1"/>
  <c r="F43" i="12"/>
  <c r="G20" i="12"/>
  <c r="G17" i="12"/>
  <c r="C38" i="11"/>
  <c r="E38" i="11"/>
  <c r="D38" i="11"/>
  <c r="G16" i="12"/>
  <c r="D19" i="26"/>
  <c r="D11" i="24"/>
  <c r="C17" i="12"/>
  <c r="C11" i="8"/>
  <c r="C9" i="8" s="1"/>
  <c r="G15" i="12"/>
  <c r="D15" i="8"/>
  <c r="D17" i="8"/>
  <c r="D23" i="8"/>
  <c r="D21" i="8" s="1"/>
  <c r="D26" i="8"/>
  <c r="D31" i="8"/>
  <c r="D38" i="8"/>
  <c r="D37" i="8" s="1"/>
  <c r="C30" i="10" s="1"/>
  <c r="D42" i="8"/>
  <c r="D45" i="8"/>
  <c r="G13" i="12" l="1"/>
  <c r="G11" i="12" s="1"/>
  <c r="G9" i="12" s="1"/>
  <c r="D36" i="11"/>
  <c r="E36" i="11"/>
  <c r="C36" i="11"/>
  <c r="C15" i="12"/>
  <c r="D41" i="8"/>
  <c r="D40" i="8" s="1"/>
  <c r="D36" i="8"/>
  <c r="D13" i="8"/>
  <c r="D11" i="8" s="1"/>
  <c r="D34" i="8" l="1"/>
  <c r="D9" i="8"/>
  <c r="D24" i="9"/>
  <c r="C46" i="26"/>
  <c r="C42" i="26"/>
  <c r="C24" i="26"/>
  <c r="C16" i="26"/>
  <c r="C15" i="26"/>
  <c r="C13" i="26"/>
  <c r="C12" i="26"/>
  <c r="C11" i="26"/>
  <c r="L164" i="24"/>
  <c r="C162" i="24"/>
  <c r="C51" i="26" s="1"/>
  <c r="F120" i="24"/>
  <c r="E98" i="24"/>
  <c r="L117" i="24"/>
  <c r="F13" i="9"/>
  <c r="F14" i="9"/>
  <c r="F15" i="9"/>
  <c r="F16" i="9"/>
  <c r="F17" i="9"/>
  <c r="F18" i="9"/>
  <c r="K117" i="24" l="1"/>
  <c r="C10" i="26"/>
  <c r="J117" i="24"/>
  <c r="D10" i="10" l="1"/>
  <c r="D13" i="10"/>
  <c r="F20" i="9"/>
  <c r="E20" i="9"/>
  <c r="E18" i="9"/>
  <c r="E17" i="9"/>
  <c r="E16" i="9"/>
  <c r="E15" i="9"/>
  <c r="E14" i="9"/>
  <c r="E13" i="9"/>
  <c r="D20" i="9"/>
  <c r="D18" i="9"/>
  <c r="D17" i="9"/>
  <c r="D16" i="9"/>
  <c r="D15" i="9"/>
  <c r="D14" i="9"/>
  <c r="D13" i="9"/>
  <c r="C55" i="23" l="1"/>
  <c r="C30" i="23"/>
  <c r="D34" i="23"/>
  <c r="D30" i="23" s="1"/>
  <c r="L102" i="24" l="1"/>
  <c r="F67" i="24"/>
  <c r="I67" i="24"/>
  <c r="E67" i="24"/>
  <c r="C28" i="26"/>
  <c r="C23" i="26" l="1"/>
  <c r="G18" i="9" l="1"/>
  <c r="G17" i="9"/>
  <c r="G16" i="9"/>
  <c r="G15" i="9"/>
  <c r="G19" i="9"/>
  <c r="G14" i="9"/>
  <c r="G13" i="9"/>
  <c r="H39" i="8"/>
  <c r="N46" i="23" l="1"/>
  <c r="J46" i="24" l="1"/>
  <c r="H25" i="8" l="1"/>
  <c r="H43" i="8" l="1"/>
  <c r="G24" i="9"/>
  <c r="H24" i="9" s="1"/>
  <c r="K25" i="60" l="1"/>
  <c r="K36" i="60" l="1"/>
  <c r="F55" i="24" l="1"/>
  <c r="E55" i="24" l="1"/>
  <c r="G24" i="26"/>
  <c r="I27" i="24"/>
  <c r="F40" i="8" l="1"/>
  <c r="G20" i="9" s="1"/>
  <c r="H20" i="9" l="1"/>
  <c r="I20" i="9" s="1"/>
  <c r="I19" i="23"/>
  <c r="I55" i="23"/>
  <c r="N42" i="23"/>
  <c r="E144" i="24"/>
  <c r="H26" i="9" l="1"/>
  <c r="K29" i="15" l="1"/>
  <c r="H16" i="9"/>
  <c r="J16" i="9" s="1"/>
  <c r="H18" i="9"/>
  <c r="F36" i="8"/>
  <c r="F34" i="8" s="1"/>
  <c r="F31" i="8"/>
  <c r="G19" i="11" s="1"/>
  <c r="H19" i="11" l="1"/>
  <c r="G18" i="11"/>
  <c r="G26" i="11"/>
  <c r="H38" i="8"/>
  <c r="H37" i="8" s="1"/>
  <c r="H36" i="8" s="1"/>
  <c r="H14" i="9"/>
  <c r="E38" i="8"/>
  <c r="E41" i="23"/>
  <c r="G25" i="11" l="1"/>
  <c r="H26" i="11"/>
  <c r="I26" i="11"/>
  <c r="H18" i="11"/>
  <c r="G30" i="10"/>
  <c r="I25" i="11" l="1"/>
  <c r="H25" i="11"/>
  <c r="G34" i="26" l="1"/>
  <c r="L96" i="24"/>
  <c r="F83" i="24"/>
  <c r="J91" i="24"/>
  <c r="J52" i="24"/>
  <c r="I43" i="8" l="1"/>
  <c r="E37" i="8"/>
  <c r="F30" i="10" s="1"/>
  <c r="H30" i="10" s="1"/>
  <c r="G23" i="11" l="1"/>
  <c r="E36" i="8"/>
  <c r="E42" i="8"/>
  <c r="H42" i="8" s="1"/>
  <c r="I25" i="8"/>
  <c r="F23" i="8"/>
  <c r="E23" i="8"/>
  <c r="E21" i="8" s="1"/>
  <c r="F17" i="11" s="1"/>
  <c r="G17" i="11" l="1"/>
  <c r="H21" i="8"/>
  <c r="I17" i="11"/>
  <c r="H17" i="11"/>
  <c r="H23" i="11"/>
  <c r="G21" i="11"/>
  <c r="I42" i="8"/>
  <c r="E41" i="8"/>
  <c r="F21" i="8"/>
  <c r="E17" i="8"/>
  <c r="E15" i="8" s="1"/>
  <c r="F16" i="11" l="1"/>
  <c r="H21" i="11"/>
  <c r="E40" i="8"/>
  <c r="F17" i="8"/>
  <c r="E34" i="8" l="1"/>
  <c r="H34" i="8" s="1"/>
  <c r="F23" i="11"/>
  <c r="G16" i="11"/>
  <c r="F47" i="8"/>
  <c r="F21" i="11" l="1"/>
  <c r="I21" i="11" s="1"/>
  <c r="I23" i="11"/>
  <c r="H16" i="11"/>
  <c r="I16" i="11"/>
  <c r="F22" i="9"/>
  <c r="F19" i="23" l="1"/>
  <c r="N27" i="23"/>
  <c r="F45" i="24" l="1"/>
  <c r="J45" i="24" s="1"/>
  <c r="I12" i="24"/>
  <c r="H8" i="60" l="1"/>
  <c r="H41" i="12" s="1"/>
  <c r="E26" i="8" l="1"/>
  <c r="F18" i="11" s="1"/>
  <c r="I18" i="11" l="1"/>
  <c r="F15" i="8"/>
  <c r="F13" i="8" s="1"/>
  <c r="F11" i="8" s="1"/>
  <c r="N47" i="23"/>
  <c r="G15" i="11" l="1"/>
  <c r="F104" i="24"/>
  <c r="G12" i="11" l="1"/>
  <c r="H15" i="11"/>
  <c r="G36" i="26"/>
  <c r="L151" i="24"/>
  <c r="E58" i="24"/>
  <c r="G29" i="11" l="1"/>
  <c r="H12" i="11"/>
  <c r="G10" i="10"/>
  <c r="E24" i="9"/>
  <c r="D11" i="9"/>
  <c r="E11" i="9"/>
  <c r="H29" i="11" l="1"/>
  <c r="F11" i="9"/>
  <c r="I18" i="9"/>
  <c r="I16" i="9"/>
  <c r="I14" i="9"/>
  <c r="J14" i="9"/>
  <c r="J18" i="9"/>
  <c r="I26" i="9" l="1"/>
  <c r="J26" i="9" l="1"/>
  <c r="I41" i="23" l="1"/>
  <c r="F55" i="23"/>
  <c r="I52" i="23"/>
  <c r="F52" i="23"/>
  <c r="J57" i="23"/>
  <c r="N53" i="23"/>
  <c r="N45" i="23"/>
  <c r="N44" i="23"/>
  <c r="N35" i="23"/>
  <c r="N25" i="23"/>
  <c r="N57" i="23" l="1"/>
  <c r="I36" i="60"/>
  <c r="I35" i="60"/>
  <c r="L88" i="24" l="1"/>
  <c r="G22" i="9" l="1"/>
  <c r="F45" i="8"/>
  <c r="G45" i="8" s="1"/>
  <c r="G9" i="9" l="1"/>
  <c r="I25" i="60"/>
  <c r="C25" i="60"/>
  <c r="J25" i="60" s="1"/>
  <c r="E8" i="60"/>
  <c r="C16" i="60" l="1"/>
  <c r="H42" i="60"/>
  <c r="E41" i="12"/>
  <c r="H43" i="12"/>
  <c r="E43" i="12"/>
  <c r="D42" i="60"/>
  <c r="B42" i="60"/>
  <c r="F9" i="8"/>
  <c r="D43" i="12"/>
  <c r="H42" i="12"/>
  <c r="D42" i="12"/>
  <c r="D41" i="12"/>
  <c r="I30" i="23"/>
  <c r="N19" i="23"/>
  <c r="B45" i="11" l="1"/>
  <c r="B43" i="11" s="1"/>
  <c r="F45" i="11"/>
  <c r="F43" i="11" s="1"/>
  <c r="H39" i="12"/>
  <c r="C42" i="12"/>
  <c r="B36" i="12"/>
  <c r="B21" i="10"/>
  <c r="B19" i="10" s="1"/>
  <c r="F21" i="10"/>
  <c r="D21" i="10"/>
  <c r="C42" i="60"/>
  <c r="I157" i="24"/>
  <c r="I144" i="24"/>
  <c r="I94" i="24" s="1"/>
  <c r="E134" i="24"/>
  <c r="I62" i="24"/>
  <c r="L92" i="24"/>
  <c r="L90" i="24"/>
  <c r="J51" i="24"/>
  <c r="I38" i="24"/>
  <c r="E16" i="24"/>
  <c r="C45" i="11" l="1"/>
  <c r="C43" i="11" s="1"/>
  <c r="D45" i="11"/>
  <c r="D43" i="11" s="1"/>
  <c r="H17" i="12"/>
  <c r="C21" i="10"/>
  <c r="K51" i="24"/>
  <c r="L89" i="24"/>
  <c r="L51" i="24"/>
  <c r="E30" i="23" l="1"/>
  <c r="F41" i="23"/>
  <c r="M28" i="23"/>
  <c r="M26" i="23"/>
  <c r="E104" i="24" l="1"/>
  <c r="L104" i="24" s="1"/>
  <c r="F98" i="24"/>
  <c r="I155" i="24"/>
  <c r="L148" i="24"/>
  <c r="E95" i="24"/>
  <c r="I29" i="24"/>
  <c r="J148" i="24" l="1"/>
  <c r="J86" i="24"/>
  <c r="K148" i="24"/>
  <c r="L60" i="23" l="1"/>
  <c r="K60" i="23"/>
  <c r="K58" i="23" s="1"/>
  <c r="K57" i="23" s="1"/>
  <c r="K56" i="23" s="1"/>
  <c r="K55" i="23" s="1"/>
  <c r="K53" i="23" s="1"/>
  <c r="K52" i="23" s="1"/>
  <c r="K50" i="23" s="1"/>
  <c r="K49" i="23" s="1"/>
  <c r="K48" i="23" s="1"/>
  <c r="K47" i="23" s="1"/>
  <c r="K46" i="23" s="1"/>
  <c r="K45" i="23" s="1"/>
  <c r="K44" i="23" s="1"/>
  <c r="K43" i="23" s="1"/>
  <c r="K42" i="23" s="1"/>
  <c r="K41" i="23" s="1"/>
  <c r="K39" i="23" s="1"/>
  <c r="K38" i="23" s="1"/>
  <c r="K37" i="23" s="1"/>
  <c r="K36" i="23" s="1"/>
  <c r="K35" i="23" s="1"/>
  <c r="K34" i="23" s="1"/>
  <c r="K33" i="23" s="1"/>
  <c r="K32" i="23" s="1"/>
  <c r="K31" i="23" s="1"/>
  <c r="K30" i="23" s="1"/>
  <c r="K27" i="23" s="1"/>
  <c r="K25" i="23" s="1"/>
  <c r="K23" i="23" s="1"/>
  <c r="K19" i="23" s="1"/>
  <c r="K13" i="23" s="1"/>
  <c r="K12" i="23" s="1"/>
  <c r="K11" i="23" s="1"/>
  <c r="K10" i="23" s="1"/>
  <c r="L58" i="23"/>
  <c r="J58" i="23"/>
  <c r="L57" i="23"/>
  <c r="L56" i="23"/>
  <c r="L55" i="23"/>
  <c r="L53" i="23"/>
  <c r="J53" i="23"/>
  <c r="L52" i="23"/>
  <c r="L50" i="23"/>
  <c r="J50" i="23"/>
  <c r="L49" i="23"/>
  <c r="J49" i="23"/>
  <c r="L48" i="23"/>
  <c r="J48" i="23"/>
  <c r="M47" i="23"/>
  <c r="L47" i="23"/>
  <c r="J47" i="23"/>
  <c r="M46" i="23"/>
  <c r="L46" i="23"/>
  <c r="J46" i="23"/>
  <c r="M45" i="23"/>
  <c r="L45" i="23"/>
  <c r="J45" i="23"/>
  <c r="L44" i="23"/>
  <c r="J44" i="23"/>
  <c r="L43" i="23"/>
  <c r="J43" i="23"/>
  <c r="M42" i="23"/>
  <c r="L42" i="23"/>
  <c r="J42" i="23"/>
  <c r="L41" i="23"/>
  <c r="L39" i="23"/>
  <c r="M38" i="23"/>
  <c r="L38" i="23"/>
  <c r="M37" i="23"/>
  <c r="L37" i="23"/>
  <c r="J37" i="23"/>
  <c r="M36" i="23"/>
  <c r="L36" i="23"/>
  <c r="J36" i="23"/>
  <c r="M35" i="23"/>
  <c r="L35" i="23"/>
  <c r="J35" i="23"/>
  <c r="M34" i="23"/>
  <c r="L34" i="23"/>
  <c r="L33" i="23"/>
  <c r="J33" i="23"/>
  <c r="M32" i="23"/>
  <c r="L32" i="23"/>
  <c r="J32" i="23"/>
  <c r="M31" i="23"/>
  <c r="L31" i="23"/>
  <c r="J31" i="23"/>
  <c r="L30" i="23"/>
  <c r="L27" i="23"/>
  <c r="J27" i="23"/>
  <c r="L25" i="23"/>
  <c r="L23" i="23"/>
  <c r="J23" i="23"/>
  <c r="L19" i="23"/>
  <c r="L13" i="23"/>
  <c r="J13" i="23"/>
  <c r="L12" i="23"/>
  <c r="L11" i="23"/>
  <c r="L10" i="23"/>
  <c r="N49" i="23"/>
  <c r="N48" i="23"/>
  <c r="E55" i="23"/>
  <c r="E52" i="23"/>
  <c r="C41" i="23"/>
  <c r="I9" i="23"/>
  <c r="I60" i="23" s="1"/>
  <c r="F9" i="23"/>
  <c r="M58" i="23"/>
  <c r="M57" i="23"/>
  <c r="D56" i="23"/>
  <c r="M56" i="23" s="1"/>
  <c r="D52" i="23"/>
  <c r="M52" i="23" s="1"/>
  <c r="M50" i="23"/>
  <c r="M49" i="23"/>
  <c r="M48" i="23"/>
  <c r="M44" i="23"/>
  <c r="M43" i="23"/>
  <c r="J30" i="23"/>
  <c r="M33" i="23"/>
  <c r="M27" i="23"/>
  <c r="M23" i="23"/>
  <c r="M13" i="23"/>
  <c r="M12" i="23"/>
  <c r="E9" i="23"/>
  <c r="K27" i="15"/>
  <c r="K23" i="15"/>
  <c r="K19" i="15"/>
  <c r="E60" i="23" l="1"/>
  <c r="J52" i="23"/>
  <c r="N52" i="23"/>
  <c r="F60" i="23"/>
  <c r="J41" i="23"/>
  <c r="N41" i="23"/>
  <c r="M41" i="23"/>
  <c r="M19" i="23"/>
  <c r="J19" i="23"/>
  <c r="J55" i="23"/>
  <c r="M11" i="23"/>
  <c r="M53" i="23"/>
  <c r="D55" i="23"/>
  <c r="M55" i="23" s="1"/>
  <c r="D84" i="24" l="1"/>
  <c r="D83" i="24" s="1"/>
  <c r="K86" i="24"/>
  <c r="D37" i="11" l="1"/>
  <c r="D35" i="11" s="1"/>
  <c r="C37" i="11"/>
  <c r="C35" i="11" s="1"/>
  <c r="E37" i="11"/>
  <c r="E35" i="11" s="1"/>
  <c r="C16" i="12"/>
  <c r="C13" i="12" s="1"/>
  <c r="L83" i="24"/>
  <c r="I42" i="26"/>
  <c r="F42" i="26"/>
  <c r="E42" i="26"/>
  <c r="I24" i="26"/>
  <c r="F24" i="26"/>
  <c r="E24" i="26"/>
  <c r="I18" i="26"/>
  <c r="I16" i="26"/>
  <c r="F16" i="26"/>
  <c r="E16" i="26"/>
  <c r="I15" i="26"/>
  <c r="F15" i="26"/>
  <c r="E15" i="26"/>
  <c r="I13" i="26"/>
  <c r="F13" i="26"/>
  <c r="E13" i="26"/>
  <c r="I12" i="26"/>
  <c r="F12" i="26"/>
  <c r="E12" i="26"/>
  <c r="I11" i="26"/>
  <c r="F11" i="26"/>
  <c r="E11" i="26"/>
  <c r="I10" i="26" l="1"/>
  <c r="C19" i="10" l="1"/>
  <c r="C39" i="12" l="1"/>
  <c r="C36" i="12" s="1"/>
  <c r="E22" i="9" l="1"/>
  <c r="E9" i="9" s="1"/>
  <c r="D30" i="10" l="1"/>
  <c r="J181" i="24" l="1"/>
  <c r="E55" i="26"/>
  <c r="L85" i="24"/>
  <c r="I31" i="26"/>
  <c r="F31" i="26"/>
  <c r="E31" i="26"/>
  <c r="C83" i="24"/>
  <c r="L166" i="24"/>
  <c r="L165" i="24"/>
  <c r="G46" i="26"/>
  <c r="G42" i="26"/>
  <c r="J126" i="24"/>
  <c r="L106" i="24"/>
  <c r="L105" i="24"/>
  <c r="L103" i="24"/>
  <c r="L101" i="24"/>
  <c r="L100" i="24"/>
  <c r="L99" i="24"/>
  <c r="L97" i="24"/>
  <c r="L66" i="24"/>
  <c r="L63" i="24"/>
  <c r="L59" i="24"/>
  <c r="J50" i="24"/>
  <c r="J49" i="24"/>
  <c r="J47" i="24"/>
  <c r="J44" i="24"/>
  <c r="K65" i="24" l="1"/>
  <c r="L65" i="24"/>
  <c r="L168" i="24"/>
  <c r="C31" i="26"/>
  <c r="D31" i="26"/>
  <c r="L175" i="24"/>
  <c r="L177" i="24"/>
  <c r="L170" i="24"/>
  <c r="L70" i="24"/>
  <c r="L40" i="24"/>
  <c r="L44" i="24"/>
  <c r="L57" i="24"/>
  <c r="L75" i="24"/>
  <c r="L46" i="24"/>
  <c r="L41" i="24"/>
  <c r="L54" i="24"/>
  <c r="L60" i="24"/>
  <c r="L71" i="24"/>
  <c r="L39" i="24"/>
  <c r="L48" i="24"/>
  <c r="L56" i="24"/>
  <c r="L61" i="24"/>
  <c r="J142" i="24"/>
  <c r="L72" i="24"/>
  <c r="L78" i="24"/>
  <c r="L50" i="24"/>
  <c r="L49" i="24"/>
  <c r="L47" i="24"/>
  <c r="J85" i="24"/>
  <c r="K89" i="24"/>
  <c r="K85" i="24"/>
  <c r="J89" i="24"/>
  <c r="J83" i="24" l="1"/>
  <c r="G31" i="26"/>
  <c r="L31" i="26" s="1"/>
  <c r="K83" i="24"/>
  <c r="G46" i="8" l="1"/>
  <c r="H19" i="9"/>
  <c r="H23" i="9"/>
  <c r="H21" i="9"/>
  <c r="E28" i="26" l="1"/>
  <c r="E29" i="26"/>
  <c r="J28" i="15"/>
  <c r="J22" i="15"/>
  <c r="J20" i="15"/>
  <c r="J16" i="15"/>
  <c r="C29" i="26" l="1"/>
  <c r="C45" i="26"/>
  <c r="F10" i="26"/>
  <c r="E10" i="26"/>
  <c r="J31" i="26" l="1"/>
  <c r="L42" i="26"/>
  <c r="K31" i="26" l="1"/>
  <c r="J24" i="26" l="1"/>
  <c r="L24" i="26"/>
  <c r="D13" i="26" l="1"/>
  <c r="D15" i="26"/>
  <c r="D16" i="26"/>
  <c r="D28" i="24"/>
  <c r="D24" i="26"/>
  <c r="K24" i="26" s="1"/>
  <c r="C26" i="26" l="1"/>
  <c r="D11" i="26"/>
  <c r="D10" i="26" s="1"/>
  <c r="D28" i="26"/>
  <c r="D27" i="24"/>
  <c r="E45" i="8"/>
  <c r="M10" i="23" l="1"/>
  <c r="J10" i="23"/>
  <c r="N9" i="23" l="1"/>
  <c r="J9" i="23"/>
  <c r="N60" i="23" l="1"/>
  <c r="J60" i="23"/>
  <c r="E34" i="26"/>
  <c r="K28" i="24" l="1"/>
  <c r="F34" i="26" l="1"/>
  <c r="L34" i="26" l="1"/>
  <c r="J156" i="24" l="1"/>
  <c r="J139" i="24"/>
  <c r="J137" i="24"/>
  <c r="J133" i="24"/>
  <c r="J132" i="24"/>
  <c r="J127" i="24"/>
  <c r="J125" i="24"/>
  <c r="J124" i="24"/>
  <c r="J123" i="24"/>
  <c r="J122" i="24"/>
  <c r="J42" i="24"/>
  <c r="J28" i="24"/>
  <c r="C11" i="15" l="1"/>
  <c r="E11" i="15"/>
  <c r="C21" i="15"/>
  <c r="D21" i="15"/>
  <c r="K26" i="15"/>
  <c r="D9" i="15" l="1"/>
  <c r="K9" i="15" s="1"/>
  <c r="K21" i="15"/>
  <c r="E9" i="15"/>
  <c r="J9" i="15" s="1"/>
  <c r="J113" i="24" l="1"/>
  <c r="J112" i="24"/>
  <c r="J111" i="24"/>
  <c r="J109" i="24"/>
  <c r="J108" i="24"/>
  <c r="J107" i="24"/>
  <c r="J105" i="24"/>
  <c r="J102" i="24"/>
  <c r="J101" i="24"/>
  <c r="J100" i="24"/>
  <c r="J99" i="24"/>
  <c r="J97" i="24"/>
  <c r="E39" i="26" l="1"/>
  <c r="J96" i="24"/>
  <c r="J135" i="24" l="1"/>
  <c r="J72" i="24"/>
  <c r="J63" i="24"/>
  <c r="J43" i="24"/>
  <c r="J39" i="24"/>
  <c r="J32" i="24"/>
  <c r="K20" i="24"/>
  <c r="J177" i="24"/>
  <c r="J175" i="24"/>
  <c r="J167" i="24"/>
  <c r="J166" i="24"/>
  <c r="J165" i="24"/>
  <c r="J164" i="24"/>
  <c r="J163" i="24"/>
  <c r="L145" i="24"/>
  <c r="J143" i="24"/>
  <c r="J42" i="26" s="1"/>
  <c r="J141" i="24"/>
  <c r="J140" i="24"/>
  <c r="J138" i="24"/>
  <c r="J136" i="24"/>
  <c r="J131" i="24"/>
  <c r="J130" i="24"/>
  <c r="J129" i="24"/>
  <c r="J121" i="24"/>
  <c r="J119" i="24"/>
  <c r="J118" i="24"/>
  <c r="J116" i="24"/>
  <c r="J115" i="24"/>
  <c r="J82" i="24"/>
  <c r="J81" i="24"/>
  <c r="J80" i="24"/>
  <c r="J79" i="24"/>
  <c r="J78" i="24"/>
  <c r="J77" i="24"/>
  <c r="J75" i="24"/>
  <c r="J71" i="24"/>
  <c r="J70" i="24"/>
  <c r="J69" i="24"/>
  <c r="J66" i="24"/>
  <c r="J64" i="24"/>
  <c r="J61" i="24"/>
  <c r="J60" i="24"/>
  <c r="J59" i="24"/>
  <c r="J57" i="24"/>
  <c r="J56" i="24"/>
  <c r="J54" i="24"/>
  <c r="J40" i="24"/>
  <c r="J35" i="24"/>
  <c r="J33" i="24"/>
  <c r="J31" i="24"/>
  <c r="J30" i="24"/>
  <c r="J18" i="24"/>
  <c r="K13" i="24" l="1"/>
  <c r="L153" i="24"/>
  <c r="L150" i="24"/>
  <c r="L146" i="24"/>
  <c r="L152" i="24"/>
  <c r="L147" i="24"/>
  <c r="L149" i="24"/>
  <c r="J179" i="24"/>
  <c r="J145" i="24"/>
  <c r="J26" i="24"/>
  <c r="J24" i="24"/>
  <c r="J23" i="24"/>
  <c r="J17" i="24"/>
  <c r="G16" i="26"/>
  <c r="L16" i="26"/>
  <c r="J146" i="24"/>
  <c r="J151" i="24"/>
  <c r="J147" i="24"/>
  <c r="J152" i="24"/>
  <c r="J149" i="24"/>
  <c r="J153" i="24"/>
  <c r="J150" i="24"/>
  <c r="F39" i="26"/>
  <c r="J14" i="24"/>
  <c r="J12" i="26" s="1"/>
  <c r="G12" i="26"/>
  <c r="J15" i="26"/>
  <c r="G15" i="26"/>
  <c r="J11" i="26"/>
  <c r="J15" i="24"/>
  <c r="J13" i="26" s="1"/>
  <c r="G13" i="26"/>
  <c r="J169" i="24"/>
  <c r="J158" i="24"/>
  <c r="J170" i="24"/>
  <c r="J161" i="24"/>
  <c r="J21" i="24"/>
  <c r="J16" i="26" s="1"/>
  <c r="J41" i="24"/>
  <c r="G39" i="26" l="1"/>
  <c r="L39" i="26" s="1"/>
  <c r="G14" i="26"/>
  <c r="G47" i="26"/>
  <c r="J120" i="24"/>
  <c r="J39" i="26" s="1"/>
  <c r="G10" i="26"/>
  <c r="G50" i="26"/>
  <c r="G17" i="26"/>
  <c r="J19" i="24"/>
  <c r="G45" i="26" l="1"/>
  <c r="L47" i="26"/>
  <c r="K10" i="26"/>
  <c r="J10" i="26"/>
  <c r="J95" i="24" l="1"/>
  <c r="J34" i="26" s="1"/>
  <c r="F28" i="26" l="1"/>
  <c r="G28" i="26" l="1"/>
  <c r="L67" i="24" l="1"/>
  <c r="J28" i="26"/>
  <c r="F9" i="9"/>
  <c r="E62" i="24"/>
  <c r="E27" i="26" s="1"/>
  <c r="F58" i="24"/>
  <c r="I29" i="26"/>
  <c r="L28" i="26" l="1"/>
  <c r="K28" i="26"/>
  <c r="F26" i="26"/>
  <c r="G26" i="26" l="1"/>
  <c r="I27" i="26" l="1"/>
  <c r="F62" i="24"/>
  <c r="E54" i="26"/>
  <c r="F27" i="26" l="1"/>
  <c r="K66" i="24"/>
  <c r="L62" i="24" l="1"/>
  <c r="G27" i="26"/>
  <c r="J27" i="26" s="1"/>
  <c r="J62" i="24"/>
  <c r="E162" i="24"/>
  <c r="E51" i="26" s="1"/>
  <c r="L27" i="26" l="1"/>
  <c r="J157" i="24"/>
  <c r="E47" i="26"/>
  <c r="E43" i="26"/>
  <c r="E38" i="24"/>
  <c r="E22" i="26" s="1"/>
  <c r="J47" i="26" l="1"/>
  <c r="K27" i="24"/>
  <c r="K18" i="26" s="1"/>
  <c r="E18" i="26"/>
  <c r="C27" i="24"/>
  <c r="C18" i="26" s="1"/>
  <c r="F18" i="26" l="1"/>
  <c r="L18" i="26" l="1"/>
  <c r="J27" i="24"/>
  <c r="J18" i="26" s="1"/>
  <c r="G18" i="26"/>
  <c r="E160" i="24"/>
  <c r="E52" i="26"/>
  <c r="E155" i="24"/>
  <c r="E46" i="26" s="1"/>
  <c r="E45" i="26" s="1"/>
  <c r="L45" i="26" s="1"/>
  <c r="E114" i="24"/>
  <c r="E110" i="24"/>
  <c r="E37" i="26" s="1"/>
  <c r="E36" i="26"/>
  <c r="E35" i="26"/>
  <c r="E23" i="26"/>
  <c r="E41" i="26"/>
  <c r="F134" i="24"/>
  <c r="E128" i="24"/>
  <c r="F110" i="24"/>
  <c r="E76" i="24"/>
  <c r="E30" i="26" s="1"/>
  <c r="F76" i="24"/>
  <c r="E25" i="26"/>
  <c r="E29" i="24"/>
  <c r="E19" i="26" s="1"/>
  <c r="E22" i="24"/>
  <c r="E12" i="24"/>
  <c r="J12" i="24" s="1"/>
  <c r="E159" i="24" l="1"/>
  <c r="D28" i="12"/>
  <c r="D22" i="12" s="1"/>
  <c r="E38" i="26"/>
  <c r="E94" i="24"/>
  <c r="F38" i="11" s="1"/>
  <c r="L58" i="24"/>
  <c r="E37" i="24"/>
  <c r="F37" i="11" s="1"/>
  <c r="E40" i="26"/>
  <c r="E11" i="24"/>
  <c r="F36" i="11" s="1"/>
  <c r="J58" i="24"/>
  <c r="E26" i="26"/>
  <c r="E21" i="26" s="1"/>
  <c r="F30" i="26"/>
  <c r="F37" i="26"/>
  <c r="F36" i="26"/>
  <c r="F41" i="26"/>
  <c r="F40" i="26"/>
  <c r="E50" i="26"/>
  <c r="L98" i="24"/>
  <c r="F35" i="26"/>
  <c r="J22" i="24"/>
  <c r="J17" i="26" s="1"/>
  <c r="E17" i="26"/>
  <c r="J16" i="24"/>
  <c r="J14" i="26" s="1"/>
  <c r="E14" i="26"/>
  <c r="J160" i="24"/>
  <c r="J67" i="24"/>
  <c r="E154" i="24"/>
  <c r="F39" i="11" s="1"/>
  <c r="F15" i="10" l="1"/>
  <c r="F41" i="11"/>
  <c r="F35" i="11"/>
  <c r="E182" i="24"/>
  <c r="E33" i="26"/>
  <c r="G41" i="26"/>
  <c r="L41" i="26" s="1"/>
  <c r="G40" i="26"/>
  <c r="L40" i="26" s="1"/>
  <c r="G37" i="26"/>
  <c r="L37" i="26" s="1"/>
  <c r="L36" i="26"/>
  <c r="G35" i="26"/>
  <c r="L35" i="26" s="1"/>
  <c r="L76" i="24"/>
  <c r="G30" i="26"/>
  <c r="J110" i="24"/>
  <c r="J37" i="26" s="1"/>
  <c r="J134" i="24"/>
  <c r="J41" i="26" s="1"/>
  <c r="J104" i="24"/>
  <c r="J36" i="26" s="1"/>
  <c r="J128" i="24"/>
  <c r="J40" i="26" s="1"/>
  <c r="J76" i="24"/>
  <c r="J50" i="26"/>
  <c r="L50" i="26"/>
  <c r="E49" i="26"/>
  <c r="J98" i="24"/>
  <c r="J35" i="26" s="1"/>
  <c r="E9" i="26"/>
  <c r="J26" i="26"/>
  <c r="L26" i="26"/>
  <c r="E31" i="8"/>
  <c r="E56" i="26" l="1"/>
  <c r="E13" i="8"/>
  <c r="F19" i="11"/>
  <c r="L30" i="26"/>
  <c r="F33" i="11"/>
  <c r="F50" i="11" s="1"/>
  <c r="F12" i="10"/>
  <c r="J30" i="26"/>
  <c r="F28" i="10"/>
  <c r="F26" i="10" s="1"/>
  <c r="I174" i="24"/>
  <c r="I54" i="26" s="1"/>
  <c r="I178" i="24"/>
  <c r="I55" i="26" s="1"/>
  <c r="I19" i="11" l="1"/>
  <c r="F15" i="11"/>
  <c r="H32" i="12"/>
  <c r="F12" i="11" l="1"/>
  <c r="I15" i="11"/>
  <c r="I40" i="26"/>
  <c r="F29" i="11" l="1"/>
  <c r="I29" i="11" s="1"/>
  <c r="I12" i="11"/>
  <c r="K164" i="24"/>
  <c r="K147" i="24" l="1"/>
  <c r="K150" i="24" l="1"/>
  <c r="F19" i="10" l="1"/>
  <c r="K146" i="24" l="1"/>
  <c r="C52" i="23" l="1"/>
  <c r="C120" i="24" l="1"/>
  <c r="D32" i="12"/>
  <c r="C39" i="26" l="1"/>
  <c r="D15" i="12" l="1"/>
  <c r="D16" i="12"/>
  <c r="D17" i="12"/>
  <c r="D18" i="12"/>
  <c r="D20" i="12"/>
  <c r="D13" i="12" l="1"/>
  <c r="F178" i="24"/>
  <c r="E32" i="12" l="1"/>
  <c r="F54" i="26"/>
  <c r="G54" i="26"/>
  <c r="L178" i="24"/>
  <c r="F55" i="26"/>
  <c r="J174" i="24" l="1"/>
  <c r="L174" i="24"/>
  <c r="G55" i="26"/>
  <c r="J54" i="26"/>
  <c r="F32" i="12"/>
  <c r="J178" i="24"/>
  <c r="J55" i="26" l="1"/>
  <c r="L54" i="26"/>
  <c r="H24" i="8" l="1"/>
  <c r="H22" i="8"/>
  <c r="D22" i="9"/>
  <c r="D9" i="9" s="1"/>
  <c r="L107" i="24"/>
  <c r="L142" i="24"/>
  <c r="L139" i="24"/>
  <c r="L126" i="24"/>
  <c r="K41" i="24"/>
  <c r="K100" i="24"/>
  <c r="K96" i="24"/>
  <c r="C10" i="23"/>
  <c r="C9" i="23" s="1"/>
  <c r="L132" i="24"/>
  <c r="L122" i="24"/>
  <c r="C12" i="24"/>
  <c r="F12" i="24"/>
  <c r="F11" i="24" s="1"/>
  <c r="F14" i="26"/>
  <c r="I16" i="24"/>
  <c r="C22" i="24"/>
  <c r="I22" i="24"/>
  <c r="I17" i="26" s="1"/>
  <c r="K23" i="24"/>
  <c r="K24" i="24"/>
  <c r="I19" i="26"/>
  <c r="K35" i="24"/>
  <c r="C38" i="24"/>
  <c r="C37" i="24" s="1"/>
  <c r="B37" i="11" s="1"/>
  <c r="D23" i="26"/>
  <c r="I23" i="26"/>
  <c r="I55" i="24"/>
  <c r="K56" i="24"/>
  <c r="K57" i="24"/>
  <c r="D26" i="26"/>
  <c r="K26" i="26" s="1"/>
  <c r="I58" i="24"/>
  <c r="K59" i="24"/>
  <c r="K63" i="24"/>
  <c r="F73" i="24"/>
  <c r="C95" i="24"/>
  <c r="C98" i="24"/>
  <c r="C104" i="24"/>
  <c r="L108" i="24"/>
  <c r="C110" i="24"/>
  <c r="C114" i="24"/>
  <c r="F114" i="24"/>
  <c r="G38" i="26" s="1"/>
  <c r="I38" i="26"/>
  <c r="K119" i="24"/>
  <c r="K122" i="24"/>
  <c r="K124" i="24"/>
  <c r="K125" i="24"/>
  <c r="K126" i="24"/>
  <c r="K127" i="24"/>
  <c r="L127" i="24"/>
  <c r="C128" i="24"/>
  <c r="L130" i="24"/>
  <c r="K132" i="24"/>
  <c r="C134" i="24"/>
  <c r="K138" i="24"/>
  <c r="K140" i="24"/>
  <c r="K141" i="24"/>
  <c r="K142" i="24"/>
  <c r="L143" i="24"/>
  <c r="C144" i="24"/>
  <c r="F144" i="24"/>
  <c r="F94" i="24" s="1"/>
  <c r="I43" i="26"/>
  <c r="K149" i="24"/>
  <c r="K151" i="24"/>
  <c r="C155" i="24"/>
  <c r="F155" i="24"/>
  <c r="I46" i="26"/>
  <c r="L156" i="24"/>
  <c r="C157" i="24"/>
  <c r="F157" i="24"/>
  <c r="I47" i="26"/>
  <c r="C160" i="24"/>
  <c r="B22" i="12" s="1"/>
  <c r="F160" i="24"/>
  <c r="I160" i="24"/>
  <c r="F162" i="24"/>
  <c r="I162" i="24"/>
  <c r="I51" i="26" s="1"/>
  <c r="I52" i="26"/>
  <c r="C174" i="24"/>
  <c r="B32" i="12" s="1"/>
  <c r="C178" i="24"/>
  <c r="D11" i="12"/>
  <c r="F30" i="12"/>
  <c r="F35" i="12"/>
  <c r="D39" i="12"/>
  <c r="D36" i="12" s="1"/>
  <c r="H36" i="12"/>
  <c r="L124" i="24"/>
  <c r="L25" i="24"/>
  <c r="L125" i="24"/>
  <c r="L119" i="24"/>
  <c r="I37" i="24" l="1"/>
  <c r="F159" i="24"/>
  <c r="B16" i="12"/>
  <c r="M9" i="23"/>
  <c r="C60" i="23"/>
  <c r="C159" i="24"/>
  <c r="B41" i="11" s="1"/>
  <c r="I159" i="24"/>
  <c r="F37" i="24"/>
  <c r="C55" i="26"/>
  <c r="D159" i="24"/>
  <c r="C40" i="26"/>
  <c r="D40" i="26"/>
  <c r="K40" i="26" s="1"/>
  <c r="C41" i="26"/>
  <c r="D41" i="26"/>
  <c r="K41" i="26" s="1"/>
  <c r="C52" i="26"/>
  <c r="C37" i="26"/>
  <c r="D37" i="26"/>
  <c r="K37" i="26" s="1"/>
  <c r="C50" i="26"/>
  <c r="C154" i="24"/>
  <c r="B39" i="11" s="1"/>
  <c r="C43" i="26"/>
  <c r="C38" i="26"/>
  <c r="D38" i="26"/>
  <c r="C22" i="26"/>
  <c r="D22" i="26"/>
  <c r="D36" i="26"/>
  <c r="K36" i="26" s="1"/>
  <c r="C36" i="26"/>
  <c r="D35" i="26"/>
  <c r="K35" i="26" s="1"/>
  <c r="C35" i="26"/>
  <c r="D34" i="26"/>
  <c r="K34" i="26" s="1"/>
  <c r="C34" i="26"/>
  <c r="C54" i="26"/>
  <c r="D30" i="26"/>
  <c r="K30" i="26" s="1"/>
  <c r="C30" i="26"/>
  <c r="K27" i="26"/>
  <c r="C27" i="26"/>
  <c r="C19" i="26"/>
  <c r="C17" i="26"/>
  <c r="D14" i="26"/>
  <c r="D9" i="26" s="1"/>
  <c r="C14" i="26"/>
  <c r="D25" i="26"/>
  <c r="C25" i="26"/>
  <c r="K181" i="24"/>
  <c r="D11" i="10"/>
  <c r="C28" i="10"/>
  <c r="C26" i="10" s="1"/>
  <c r="I25" i="26"/>
  <c r="I39" i="26"/>
  <c r="I37" i="26"/>
  <c r="I36" i="26"/>
  <c r="I35" i="26"/>
  <c r="I34" i="26"/>
  <c r="I28" i="26"/>
  <c r="I30" i="26"/>
  <c r="E28" i="12"/>
  <c r="E22" i="12" s="1"/>
  <c r="I26" i="26"/>
  <c r="I11" i="24"/>
  <c r="F43" i="26"/>
  <c r="H28" i="12"/>
  <c r="H22" i="12" s="1"/>
  <c r="D51" i="26"/>
  <c r="F28" i="12"/>
  <c r="F22" i="12" s="1"/>
  <c r="I22" i="26"/>
  <c r="F29" i="26"/>
  <c r="I45" i="26"/>
  <c r="I14" i="26"/>
  <c r="I9" i="26" s="1"/>
  <c r="F38" i="26"/>
  <c r="L45" i="24"/>
  <c r="F23" i="26"/>
  <c r="F47" i="26"/>
  <c r="F25" i="26"/>
  <c r="F46" i="26"/>
  <c r="F52" i="26"/>
  <c r="I50" i="26"/>
  <c r="I49" i="26" s="1"/>
  <c r="K143" i="24"/>
  <c r="D42" i="26"/>
  <c r="K42" i="26" s="1"/>
  <c r="F22" i="26"/>
  <c r="G41" i="11"/>
  <c r="F51" i="26"/>
  <c r="F50" i="26"/>
  <c r="F17" i="26"/>
  <c r="G29" i="26"/>
  <c r="F14" i="10"/>
  <c r="D29" i="26"/>
  <c r="L111" i="24"/>
  <c r="L113" i="24"/>
  <c r="L15" i="26"/>
  <c r="L19" i="24"/>
  <c r="L17" i="24"/>
  <c r="D28" i="10"/>
  <c r="D26" i="10" s="1"/>
  <c r="I154" i="24"/>
  <c r="K14" i="24"/>
  <c r="K12" i="26" s="1"/>
  <c r="L14" i="24"/>
  <c r="L12" i="26" s="1"/>
  <c r="L13" i="24"/>
  <c r="L11" i="26" s="1"/>
  <c r="K11" i="26"/>
  <c r="K97" i="24"/>
  <c r="K78" i="24"/>
  <c r="K109" i="24"/>
  <c r="K166" i="24"/>
  <c r="L109" i="24"/>
  <c r="K19" i="24"/>
  <c r="K179" i="24"/>
  <c r="K165" i="24"/>
  <c r="K18" i="24"/>
  <c r="K69" i="24"/>
  <c r="K82" i="24"/>
  <c r="C11" i="24"/>
  <c r="D47" i="26"/>
  <c r="K47" i="26" s="1"/>
  <c r="F154" i="24"/>
  <c r="C94" i="24"/>
  <c r="B38" i="11" s="1"/>
  <c r="K79" i="24"/>
  <c r="K161" i="24"/>
  <c r="L121" i="24"/>
  <c r="K153" i="24"/>
  <c r="K145" i="24"/>
  <c r="K112" i="24"/>
  <c r="K39" i="24"/>
  <c r="K176" i="24"/>
  <c r="K156" i="24"/>
  <c r="L131" i="24"/>
  <c r="K131" i="24"/>
  <c r="K64" i="24"/>
  <c r="K118" i="24"/>
  <c r="K61" i="24"/>
  <c r="K170" i="24"/>
  <c r="K137" i="24"/>
  <c r="L137" i="24"/>
  <c r="K113" i="24"/>
  <c r="K105" i="24"/>
  <c r="K50" i="24"/>
  <c r="K25" i="24"/>
  <c r="L23" i="24"/>
  <c r="K15" i="26"/>
  <c r="K177" i="24"/>
  <c r="L161" i="24"/>
  <c r="K130" i="24"/>
  <c r="L138" i="24"/>
  <c r="K152" i="24"/>
  <c r="K129" i="24"/>
  <c r="K102" i="24"/>
  <c r="K108" i="24"/>
  <c r="K101" i="24"/>
  <c r="K115" i="24"/>
  <c r="K31" i="24"/>
  <c r="K167" i="24"/>
  <c r="E11" i="8"/>
  <c r="F10" i="10" s="1"/>
  <c r="K81" i="24"/>
  <c r="K77" i="24"/>
  <c r="L136" i="24"/>
  <c r="K136" i="24"/>
  <c r="L128" i="24"/>
  <c r="K133" i="24"/>
  <c r="L133" i="24"/>
  <c r="K116" i="24"/>
  <c r="K111" i="24"/>
  <c r="K99" i="24"/>
  <c r="K75" i="24"/>
  <c r="K60" i="24"/>
  <c r="K49" i="24"/>
  <c r="K48" i="24"/>
  <c r="K47" i="24"/>
  <c r="K46" i="24"/>
  <c r="K43" i="24"/>
  <c r="K33" i="24"/>
  <c r="L24" i="24"/>
  <c r="L19" i="26" s="1"/>
  <c r="L18" i="24"/>
  <c r="K158" i="24"/>
  <c r="K175" i="24"/>
  <c r="K169" i="24"/>
  <c r="K163" i="24"/>
  <c r="K139" i="24"/>
  <c r="K121" i="24"/>
  <c r="K107" i="24"/>
  <c r="K103" i="24"/>
  <c r="K54" i="24"/>
  <c r="K72" i="24"/>
  <c r="K80" i="24"/>
  <c r="K30" i="24"/>
  <c r="K15" i="24"/>
  <c r="K13" i="26" s="1"/>
  <c r="K44" i="24"/>
  <c r="K32" i="24"/>
  <c r="L15" i="24"/>
  <c r="L13" i="26" s="1"/>
  <c r="L26" i="24"/>
  <c r="K40" i="24"/>
  <c r="K26" i="24"/>
  <c r="D39" i="26"/>
  <c r="K39" i="26" s="1"/>
  <c r="K71" i="24"/>
  <c r="K106" i="24"/>
  <c r="L135" i="24"/>
  <c r="L123" i="24"/>
  <c r="K123" i="24"/>
  <c r="K70" i="24"/>
  <c r="K42" i="24"/>
  <c r="K17" i="24"/>
  <c r="K135" i="24"/>
  <c r="L112" i="24"/>
  <c r="I182" i="24" l="1"/>
  <c r="G37" i="11"/>
  <c r="B35" i="11"/>
  <c r="B33" i="11" s="1"/>
  <c r="B50" i="11" s="1"/>
  <c r="C182" i="24"/>
  <c r="D41" i="11"/>
  <c r="D33" i="11" s="1"/>
  <c r="D50" i="11" s="1"/>
  <c r="E41" i="11"/>
  <c r="E33" i="11" s="1"/>
  <c r="E50" i="11" s="1"/>
  <c r="E52" i="11" s="1"/>
  <c r="C41" i="11"/>
  <c r="C33" i="11" s="1"/>
  <c r="C50" i="11" s="1"/>
  <c r="D182" i="24"/>
  <c r="H18" i="12"/>
  <c r="H16" i="12"/>
  <c r="I41" i="11"/>
  <c r="H41" i="11"/>
  <c r="I33" i="26"/>
  <c r="D21" i="26"/>
  <c r="C15" i="10"/>
  <c r="C20" i="12"/>
  <c r="L144" i="24"/>
  <c r="G43" i="26"/>
  <c r="L43" i="26" s="1"/>
  <c r="G39" i="11"/>
  <c r="D43" i="26"/>
  <c r="D33" i="26" s="1"/>
  <c r="B17" i="12"/>
  <c r="B20" i="12"/>
  <c r="B15" i="10"/>
  <c r="B18" i="12"/>
  <c r="B13" i="12" s="1"/>
  <c r="C49" i="26"/>
  <c r="C33" i="26"/>
  <c r="C21" i="26"/>
  <c r="C9" i="26"/>
  <c r="E16" i="12"/>
  <c r="E20" i="12"/>
  <c r="E18" i="12"/>
  <c r="E17" i="12"/>
  <c r="G38" i="11"/>
  <c r="H15" i="12"/>
  <c r="J162" i="24"/>
  <c r="J168" i="24"/>
  <c r="L73" i="24"/>
  <c r="L55" i="24"/>
  <c r="I21" i="26"/>
  <c r="L38" i="26"/>
  <c r="L38" i="24"/>
  <c r="H20" i="12"/>
  <c r="F33" i="26"/>
  <c r="J144" i="24"/>
  <c r="G22" i="26"/>
  <c r="G23" i="26"/>
  <c r="L23" i="26" s="1"/>
  <c r="L29" i="26"/>
  <c r="J55" i="24"/>
  <c r="D60" i="23"/>
  <c r="M60" i="23" s="1"/>
  <c r="M30" i="23"/>
  <c r="J114" i="24"/>
  <c r="J38" i="26" s="1"/>
  <c r="G51" i="26"/>
  <c r="G52" i="26"/>
  <c r="K52" i="26" s="1"/>
  <c r="L114" i="24"/>
  <c r="F45" i="26"/>
  <c r="K55" i="24"/>
  <c r="F21" i="26"/>
  <c r="G25" i="26"/>
  <c r="K25" i="26" s="1"/>
  <c r="K155" i="24"/>
  <c r="L155" i="24"/>
  <c r="K178" i="24"/>
  <c r="D55" i="26"/>
  <c r="K55" i="26" s="1"/>
  <c r="F49" i="26"/>
  <c r="D54" i="26"/>
  <c r="K54" i="26" s="1"/>
  <c r="D50" i="26"/>
  <c r="J38" i="24"/>
  <c r="J155" i="24"/>
  <c r="J73" i="24"/>
  <c r="L162" i="24"/>
  <c r="L160" i="24"/>
  <c r="L12" i="24"/>
  <c r="L10" i="26" s="1"/>
  <c r="L16" i="24"/>
  <c r="L14" i="26" s="1"/>
  <c r="K22" i="24"/>
  <c r="K17" i="26" s="1"/>
  <c r="K157" i="24"/>
  <c r="K144" i="24"/>
  <c r="K38" i="24"/>
  <c r="K160" i="24"/>
  <c r="K168" i="24"/>
  <c r="E9" i="8"/>
  <c r="K104" i="24"/>
  <c r="K174" i="24"/>
  <c r="K58" i="24"/>
  <c r="K62" i="24"/>
  <c r="K67" i="24"/>
  <c r="K128" i="24"/>
  <c r="K120" i="24"/>
  <c r="L120" i="24"/>
  <c r="K12" i="24"/>
  <c r="K16" i="24"/>
  <c r="K14" i="26" s="1"/>
  <c r="D9" i="12"/>
  <c r="K76" i="24"/>
  <c r="K162" i="24"/>
  <c r="K98" i="24"/>
  <c r="K73" i="24"/>
  <c r="K45" i="24"/>
  <c r="L22" i="24"/>
  <c r="L17" i="26" s="1"/>
  <c r="L110" i="24"/>
  <c r="K110" i="24"/>
  <c r="K114" i="24"/>
  <c r="L95" i="24"/>
  <c r="K95" i="24"/>
  <c r="K9" i="23"/>
  <c r="L134" i="24"/>
  <c r="K134" i="24"/>
  <c r="G21" i="26" l="1"/>
  <c r="I37" i="11"/>
  <c r="H37" i="11"/>
  <c r="D185" i="24"/>
  <c r="I39" i="11"/>
  <c r="H39" i="11"/>
  <c r="I38" i="11"/>
  <c r="H38" i="11"/>
  <c r="C56" i="26"/>
  <c r="B11" i="12"/>
  <c r="B14" i="10"/>
  <c r="B12" i="10" s="1"/>
  <c r="C14" i="10"/>
  <c r="J46" i="26"/>
  <c r="L46" i="26"/>
  <c r="K38" i="26"/>
  <c r="G33" i="26"/>
  <c r="K21" i="26"/>
  <c r="L51" i="26"/>
  <c r="G49" i="26"/>
  <c r="L22" i="26"/>
  <c r="J94" i="24"/>
  <c r="L154" i="24"/>
  <c r="K29" i="26"/>
  <c r="J29" i="26"/>
  <c r="K22" i="26"/>
  <c r="J22" i="26"/>
  <c r="J43" i="26"/>
  <c r="K43" i="26"/>
  <c r="J154" i="24"/>
  <c r="K154" i="24"/>
  <c r="F18" i="12"/>
  <c r="J18" i="12" s="1"/>
  <c r="K23" i="26"/>
  <c r="J23" i="26"/>
  <c r="J51" i="26"/>
  <c r="G15" i="10"/>
  <c r="H15" i="10" s="1"/>
  <c r="J159" i="24"/>
  <c r="F20" i="12"/>
  <c r="K51" i="26"/>
  <c r="L52" i="26"/>
  <c r="F17" i="12"/>
  <c r="J52" i="26"/>
  <c r="J25" i="26"/>
  <c r="L25" i="26"/>
  <c r="J37" i="24"/>
  <c r="D45" i="26"/>
  <c r="K46" i="26"/>
  <c r="D49" i="26"/>
  <c r="K50" i="26"/>
  <c r="L37" i="24"/>
  <c r="F16" i="12"/>
  <c r="K37" i="24"/>
  <c r="D19" i="10"/>
  <c r="D14" i="10"/>
  <c r="K32" i="12"/>
  <c r="J32" i="12"/>
  <c r="I32" i="12"/>
  <c r="D15" i="10"/>
  <c r="K159" i="24"/>
  <c r="L159" i="24"/>
  <c r="K94" i="24"/>
  <c r="L9" i="23"/>
  <c r="L94" i="24"/>
  <c r="B9" i="12" l="1"/>
  <c r="C11" i="12"/>
  <c r="C12" i="10" s="1"/>
  <c r="D56" i="26"/>
  <c r="J33" i="26"/>
  <c r="J45" i="26"/>
  <c r="K45" i="26"/>
  <c r="K33" i="26"/>
  <c r="L33" i="26"/>
  <c r="L49" i="26"/>
  <c r="L21" i="26"/>
  <c r="J49" i="26"/>
  <c r="K49" i="26"/>
  <c r="J21" i="26"/>
  <c r="K18" i="12"/>
  <c r="I18" i="12"/>
  <c r="J20" i="12"/>
  <c r="K20" i="12"/>
  <c r="I20" i="12"/>
  <c r="K17" i="12"/>
  <c r="I17" i="12"/>
  <c r="J17" i="12"/>
  <c r="J16" i="12"/>
  <c r="K16" i="12"/>
  <c r="I16" i="12"/>
  <c r="C9" i="12" l="1"/>
  <c r="I22" i="12"/>
  <c r="I28" i="12" s="1"/>
  <c r="K22" i="12"/>
  <c r="J22" i="12"/>
  <c r="J28" i="12" s="1"/>
  <c r="K28" i="12"/>
  <c r="K21" i="24" l="1"/>
  <c r="K16" i="26" s="1"/>
  <c r="D12" i="10" l="1"/>
  <c r="M39" i="23" l="1"/>
  <c r="J90" i="24" l="1"/>
  <c r="K90" i="24"/>
  <c r="K92" i="24"/>
  <c r="J92" i="24"/>
  <c r="J35" i="60"/>
  <c r="J36" i="60" l="1"/>
  <c r="M25" i="23"/>
  <c r="J25" i="23"/>
  <c r="J20" i="9"/>
  <c r="I30" i="9" l="1"/>
  <c r="J30" i="9" l="1"/>
  <c r="H28" i="9" l="1"/>
  <c r="I28" i="9" l="1"/>
  <c r="J28" i="9"/>
  <c r="J22" i="9" l="1"/>
  <c r="I22" i="9"/>
  <c r="J24" i="9" l="1"/>
  <c r="I24" i="9" l="1"/>
  <c r="J10" i="60" l="1"/>
  <c r="J26" i="60"/>
  <c r="K15" i="60"/>
  <c r="I19" i="60"/>
  <c r="I9" i="60"/>
  <c r="I17" i="60" l="1"/>
  <c r="K19" i="60"/>
  <c r="K10" i="60"/>
  <c r="K8" i="60"/>
  <c r="K9" i="60"/>
  <c r="K43" i="12"/>
  <c r="J43" i="12"/>
  <c r="I43" i="12"/>
  <c r="I10" i="60"/>
  <c r="I26" i="60"/>
  <c r="J15" i="60"/>
  <c r="J19" i="60"/>
  <c r="I33" i="60"/>
  <c r="K33" i="60"/>
  <c r="J9" i="60"/>
  <c r="I15" i="60"/>
  <c r="J33" i="60"/>
  <c r="K17" i="60"/>
  <c r="I8" i="60" l="1"/>
  <c r="F41" i="12"/>
  <c r="J8" i="60"/>
  <c r="J41" i="12" l="1"/>
  <c r="I41" i="12"/>
  <c r="K41" i="12"/>
  <c r="H13" i="12" l="1"/>
  <c r="K15" i="15"/>
  <c r="L29" i="15"/>
  <c r="K13" i="15"/>
  <c r="K17" i="15"/>
  <c r="H11" i="12" l="1"/>
  <c r="H9" i="12" s="1"/>
  <c r="K25" i="15"/>
  <c r="J13" i="15"/>
  <c r="J15" i="15"/>
  <c r="L13" i="15"/>
  <c r="L9" i="15"/>
  <c r="L19" i="15"/>
  <c r="J17" i="15"/>
  <c r="J29" i="15"/>
  <c r="L17" i="15"/>
  <c r="L15" i="15"/>
  <c r="K11" i="15" l="1"/>
  <c r="L21" i="15"/>
  <c r="J21" i="15"/>
  <c r="L11" i="15"/>
  <c r="J11" i="15"/>
  <c r="G47" i="8" l="1"/>
  <c r="I23" i="8"/>
  <c r="I41" i="8"/>
  <c r="I47" i="8" l="1"/>
  <c r="I45" i="8"/>
  <c r="H45" i="8"/>
  <c r="G28" i="10"/>
  <c r="G26" i="10" s="1"/>
  <c r="H47" i="8"/>
  <c r="H23" i="8"/>
  <c r="H41" i="8"/>
  <c r="H28" i="10" l="1"/>
  <c r="H26" i="10"/>
  <c r="J17" i="9" l="1"/>
  <c r="I27" i="8"/>
  <c r="H27" i="8"/>
  <c r="I28" i="8" l="1"/>
  <c r="I17" i="9"/>
  <c r="H28" i="8"/>
  <c r="J15" i="9" l="1"/>
  <c r="I15" i="9"/>
  <c r="H32" i="8"/>
  <c r="I32" i="8"/>
  <c r="I31" i="8" l="1"/>
  <c r="H31" i="8"/>
  <c r="I39" i="8" l="1"/>
  <c r="I21" i="8"/>
  <c r="I38" i="8" l="1"/>
  <c r="I37" i="8"/>
  <c r="I36" i="8" s="1"/>
  <c r="I34" i="8" l="1"/>
  <c r="H29" i="8"/>
  <c r="I29" i="8"/>
  <c r="H40" i="8" l="1"/>
  <c r="I40" i="8"/>
  <c r="H19" i="8" l="1"/>
  <c r="I19" i="8"/>
  <c r="H17" i="8" l="1"/>
  <c r="I17" i="8"/>
  <c r="H15" i="8"/>
  <c r="I15" i="8"/>
  <c r="H13" i="8" l="1"/>
  <c r="I13" i="8"/>
  <c r="I11" i="8"/>
  <c r="H11" i="8" l="1"/>
  <c r="H10" i="10"/>
  <c r="H26" i="8" l="1"/>
  <c r="I26" i="8"/>
  <c r="H18" i="8" l="1"/>
  <c r="H13" i="9"/>
  <c r="H11" i="9" s="1"/>
  <c r="H9" i="9" s="1"/>
  <c r="I18" i="8"/>
  <c r="I11" i="9" l="1"/>
  <c r="J11" i="9"/>
  <c r="I13" i="9"/>
  <c r="J13" i="9"/>
  <c r="I9" i="9" l="1"/>
  <c r="J9" i="9"/>
  <c r="E42" i="12" l="1"/>
  <c r="E39" i="12" s="1"/>
  <c r="E36" i="12" s="1"/>
  <c r="E42" i="60"/>
  <c r="J16" i="60"/>
  <c r="I16" i="60"/>
  <c r="G45" i="11" l="1"/>
  <c r="J42" i="60"/>
  <c r="K42" i="60"/>
  <c r="F42" i="12"/>
  <c r="K16" i="60"/>
  <c r="F39" i="12" l="1"/>
  <c r="I42" i="60"/>
  <c r="G21" i="10"/>
  <c r="G19" i="10" s="1"/>
  <c r="G43" i="11"/>
  <c r="I43" i="11" s="1"/>
  <c r="I45" i="11"/>
  <c r="H45" i="11"/>
  <c r="I42" i="12"/>
  <c r="J42" i="12"/>
  <c r="K42" i="12"/>
  <c r="H21" i="10"/>
  <c r="H43" i="11" l="1"/>
  <c r="H19" i="10"/>
  <c r="I39" i="12"/>
  <c r="K39" i="12"/>
  <c r="F36" i="12"/>
  <c r="J39" i="12"/>
  <c r="J36" i="12" l="1"/>
  <c r="I36" i="12"/>
  <c r="K36" i="12"/>
  <c r="F19" i="26"/>
  <c r="F9" i="26" s="1"/>
  <c r="F56" i="26" s="1"/>
  <c r="K29" i="24"/>
  <c r="K19" i="26" s="1"/>
  <c r="F182" i="24"/>
  <c r="E15" i="12" l="1"/>
  <c r="E13" i="12" s="1"/>
  <c r="E11" i="12" s="1"/>
  <c r="E9" i="12" s="1"/>
  <c r="J29" i="24"/>
  <c r="J19" i="26" s="1"/>
  <c r="G19" i="26"/>
  <c r="G9" i="26" s="1"/>
  <c r="G56" i="26" s="1"/>
  <c r="G36" i="11" l="1"/>
  <c r="J11" i="24"/>
  <c r="K9" i="26"/>
  <c r="J9" i="26"/>
  <c r="L11" i="24"/>
  <c r="L9" i="26" s="1"/>
  <c r="K11" i="24"/>
  <c r="F15" i="12"/>
  <c r="H36" i="11" l="1"/>
  <c r="I36" i="11"/>
  <c r="G35" i="11"/>
  <c r="G12" i="10"/>
  <c r="G17" i="10" s="1"/>
  <c r="G32" i="10" s="1"/>
  <c r="K182" i="24"/>
  <c r="J182" i="24"/>
  <c r="L182" i="24"/>
  <c r="I15" i="12"/>
  <c r="J15" i="12"/>
  <c r="K15" i="12"/>
  <c r="F13" i="12"/>
  <c r="K56" i="26"/>
  <c r="J56" i="26"/>
  <c r="L56" i="26"/>
  <c r="H35" i="11" l="1"/>
  <c r="I35" i="11"/>
  <c r="G33" i="11"/>
  <c r="F11" i="12"/>
  <c r="F9" i="12" s="1"/>
  <c r="I13" i="12"/>
  <c r="J13" i="12"/>
  <c r="K13" i="12"/>
  <c r="H12" i="10"/>
  <c r="G14" i="10"/>
  <c r="H14" i="10" s="1"/>
  <c r="H33" i="11" l="1"/>
  <c r="H50" i="11" s="1"/>
  <c r="G50" i="11"/>
  <c r="I33" i="11"/>
  <c r="I11" i="12"/>
  <c r="J11" i="12"/>
  <c r="K11" i="12"/>
  <c r="I50" i="11" l="1"/>
  <c r="G52" i="11"/>
  <c r="K9" i="12"/>
  <c r="J9" i="12"/>
  <c r="I9" i="12"/>
  <c r="I9" i="8"/>
  <c r="H9" i="8"/>
  <c r="A54" i="12" l="1"/>
  <c r="A54" i="12" a="1"/>
  <c r="E23" i="12"/>
  <c r="F23" i="12"/>
  <c r="E25" i="12"/>
  <c r="F25" i="12"/>
  <c r="E24" i="12"/>
  <c r="F24" i="12"/>
  <c r="F26" i="12"/>
  <c r="E26" i="12"/>
  <c r="U5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<sst xmlns="http://schemas.openxmlformats.org/spreadsheetml/2006/main" count="1296" uniqueCount="561">
  <si>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</si>
  <si>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</si>
  <si>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</si>
  <si>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</si>
  <si>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</si>
  <si>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</si>
  <si>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</si>
  <si>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</si>
  <si>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</si>
  <si>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</si>
  <si>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</si>
  <si>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</si>
  <si>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</si>
  <si>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</si>
  <si>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</si>
  <si>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</si>
  <si>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</si>
  <si>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</si>
  <si>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</si>
  <si>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</si>
  <si>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</si>
  <si>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</si>
  <si>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EJECUCION PORCENTUAL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</si>
  <si>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</si>
  <si>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</si>
  <si>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</si>
  <si>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</si>
  <si>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</si>
  <si>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</si>
  <si>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</si>
  <si>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</si>
  <si>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PRESUPUESTO</t>
  </si>
  <si>
    <t>DIRECCION Y ADMON  GENERAL</t>
  </si>
  <si>
    <t>EDUC. SUPERIOR TECNOLOGICA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</si>
  <si>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</si>
  <si>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</si>
  <si>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</si>
  <si>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</si>
  <si>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</si>
  <si>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</si>
  <si>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</si>
  <si>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</si>
  <si>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</si>
  <si>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</si>
  <si>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1.2.4.1.24</t>
  </si>
  <si>
    <t>1.2.4.1.99</t>
  </si>
  <si>
    <t>1.2.4.2.26</t>
  </si>
  <si>
    <t>1.2.6.0.99</t>
  </si>
  <si>
    <t>1.4.2.0.01</t>
  </si>
  <si>
    <t>2.4.2.0.01</t>
  </si>
  <si>
    <t>TRANSFERENCIAS CORRIENTES</t>
  </si>
  <si>
    <t>1.2.3.1.07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</si>
  <si>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</si>
  <si>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</si>
  <si>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</si>
  <si>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</si>
  <si>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  Transferencias Corrientes  (6)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</si>
  <si>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</si>
  <si>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</si>
  <si>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</si>
  <si>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</si>
  <si>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</si>
  <si>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</si>
  <si>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</si>
  <si>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</si>
  <si>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</si>
  <si>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</si>
  <si>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</si>
  <si>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</si>
  <si>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</si>
  <si>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</si>
  <si>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</si>
  <si>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</si>
  <si>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</si>
  <si>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</si>
  <si>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</si>
  <si>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</si>
  <si>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</si>
  <si>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</si>
  <si>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</si>
  <si>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</si>
  <si>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</si>
  <si>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</si>
  <si>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</si>
  <si>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</si>
  <si>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</si>
  <si>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EJECUCIÓN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</si>
  <si>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</si>
  <si>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</si>
  <si>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</si>
  <si>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</si>
  <si>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</si>
  <si>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</si>
  <si>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</si>
  <si>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</si>
  <si>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</si>
  <si>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</si>
  <si>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</si>
  <si>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</si>
  <si>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</si>
  <si>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</si>
  <si>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</si>
  <si>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</si>
  <si>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</si>
  <si>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</si>
  <si>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</si>
  <si>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</si>
  <si>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</si>
  <si>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</si>
  <si>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</si>
  <si>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</si>
  <si>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</si>
  <si>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</si>
  <si>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</si>
  <si>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</si>
  <si>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</si>
  <si>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</si>
  <si>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</si>
  <si>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</si>
  <si>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</si>
  <si>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</si>
  <si>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</si>
  <si>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</si>
  <si>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</si>
  <si>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</si>
  <si>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</si>
  <si>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</si>
  <si>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</si>
  <si>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</si>
  <si>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</si>
  <si>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</si>
  <si>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</si>
  <si>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</si>
  <si>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</si>
  <si>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</si>
  <si>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</si>
  <si>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</si>
  <si>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</si>
  <si>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</si>
  <si>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</si>
  <si>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</si>
  <si>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</si>
  <si>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</si>
  <si>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</si>
  <si>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</si>
  <si>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</si>
  <si>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</si>
  <si>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</si>
  <si>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</si>
  <si>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</si>
  <si>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</si>
  <si>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</si>
  <si>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</si>
  <si>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</si>
  <si>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</si>
  <si>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</si>
  <si>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</si>
  <si>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</si>
  <si>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</si>
  <si>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</si>
  <si>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</si>
  <si>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</si>
  <si>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</si>
  <si>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</si>
  <si>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</si>
  <si>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</si>
  <si>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</si>
  <si>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</si>
  <si>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</si>
  <si>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</si>
  <si>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</si>
  <si>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</si>
  <si>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</si>
  <si>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</si>
  <si>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</si>
  <si>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</si>
  <si>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</si>
  <si>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</si>
  <si>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</si>
  <si>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</si>
  <si>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</si>
  <si>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</si>
  <si>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</si>
  <si>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OTROS MANTENIMIENTO</t>
  </si>
  <si>
    <t>CR.REC.POR S. NO PERS.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</si>
  <si>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</si>
  <si>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</si>
  <si>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</si>
  <si>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</si>
  <si>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</si>
  <si>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</si>
  <si>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</si>
  <si>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</si>
  <si>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</si>
  <si>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</si>
  <si>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</si>
  <si>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</si>
  <si>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</si>
  <si>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</si>
  <si>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</si>
  <si>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</si>
  <si>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</si>
  <si>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</si>
  <si>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</si>
  <si>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</si>
  <si>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</si>
  <si>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</si>
  <si>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</si>
  <si>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</si>
  <si>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</si>
  <si>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</si>
  <si>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</si>
  <si>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</si>
  <si>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</si>
  <si>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</si>
  <si>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</si>
  <si>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</si>
  <si>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</si>
  <si>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</si>
  <si>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</si>
  <si>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</si>
  <si>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</si>
  <si>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</si>
  <si>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</si>
  <si>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</si>
  <si>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</si>
  <si>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</si>
  <si>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</si>
  <si>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</si>
  <si>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</si>
  <si>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</si>
  <si>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</si>
  <si>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</si>
  <si>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</si>
  <si>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</si>
  <si>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</si>
  <si>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</si>
  <si>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</si>
  <si>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</si>
  <si>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</si>
  <si>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</si>
  <si>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</si>
  <si>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</si>
  <si>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</si>
  <si>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</si>
  <si>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</si>
  <si>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</si>
  <si>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</si>
  <si>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</si>
  <si>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</si>
  <si>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</si>
  <si>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</si>
  <si>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</si>
  <si>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</si>
  <si>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</si>
  <si>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</si>
  <si>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</si>
  <si>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</si>
  <si>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</si>
  <si>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</si>
  <si>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</si>
  <si>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</si>
  <si>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</si>
  <si>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</si>
  <si>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</si>
  <si>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</si>
  <si>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</si>
  <si>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</si>
  <si>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</si>
  <si>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</si>
  <si>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</si>
  <si>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</si>
  <si>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</si>
  <si>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</si>
  <si>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</si>
  <si>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</si>
  <si>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</si>
  <si>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</si>
  <si>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</si>
  <si>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</si>
  <si>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</si>
  <si>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</si>
  <si>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</si>
  <si>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</si>
  <si>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</si>
  <si>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</si>
  <si>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</si>
  <si>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</si>
  <si>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</si>
  <si>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</si>
  <si>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</si>
  <si>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TRANSFERECIAS CORR.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</si>
  <si>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</si>
  <si>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</si>
  <si>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</si>
  <si>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</si>
  <si>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</si>
  <si>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</si>
  <si>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</si>
  <si>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</si>
  <si>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</si>
  <si>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</si>
  <si>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</si>
  <si>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</si>
  <si>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</si>
  <si>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</si>
  <si>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P</t>
  </si>
  <si>
    <t>SALDO A LA FECHA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</si>
  <si>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</si>
  <si>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</si>
  <si>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</si>
  <si>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</si>
  <si>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</si>
  <si>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</si>
  <si>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</si>
  <si>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</si>
  <si>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>163</t>
  </si>
  <si>
    <t>GASTOS JUDICIALES</t>
  </si>
  <si>
    <t>GAS</t>
  </si>
  <si>
    <t>PROGRAMA DE CONSTRUCCIONES</t>
  </si>
  <si>
    <t>CONSTRUCCION II FASE DEL PROYECTO DEL CAMPUS CENTRAL</t>
  </si>
  <si>
    <t>PROGRAMA DE MOBILIARIO</t>
  </si>
  <si>
    <t>PROGRAMAS-PROYECTOS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</si>
  <si>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</si>
  <si>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</si>
  <si>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</si>
  <si>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</si>
  <si>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</si>
  <si>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</si>
  <si>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</si>
  <si>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</si>
  <si>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</si>
  <si>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</si>
  <si>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</si>
  <si>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</si>
  <si>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</si>
  <si>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        1.  Servicios Personales</t>
  </si>
  <si>
    <t xml:space="preserve">    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</si>
  <si>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</si>
  <si>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</si>
  <si>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</si>
  <si>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</si>
  <si>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</si>
  <si>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</si>
  <si>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 xml:space="preserve">   SALDO EN CAJA (CAPITAL)</t>
  </si>
  <si>
    <t>FORTALECIMIENTO DE LA SEDE REGIONAL</t>
  </si>
  <si>
    <t>094</t>
  </si>
  <si>
    <t>CRED. REC. GASTOS E REPRES.</t>
  </si>
  <si>
    <t>MAT. Y EQUIPO DE SEGURIDAD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</si>
  <si>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</si>
  <si>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</si>
  <si>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</si>
  <si>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</si>
  <si>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</si>
  <si>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</si>
  <si>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</si>
  <si>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FORTALECIMIENTO DE LA GESTIÓN DE PATENTES TECNOLÓGICAS</t>
  </si>
  <si>
    <t>BECAS DE ESTUDIOS</t>
  </si>
  <si>
    <t>CD.REC. TEXTILES Y VESTUARIOS</t>
  </si>
  <si>
    <t>MANTENIMIENTO PREVENTIVO Y CORRECTIVO DE LA INFRAESTRUCTURA FISICA Y PATRIMONIAL DE LA UTP A NIVEL NACIONAL.</t>
  </si>
  <si>
    <t>INVESTIGACION Y TRANSFERENCIA DE TECNOLOGÍA</t>
  </si>
  <si>
    <t>CD.REC.POR MATERIALES CONST.</t>
  </si>
  <si>
    <t>EQUIIPO MEDICO, LABORATORIOS</t>
  </si>
  <si>
    <t>INDEMNIZACIONES LABORALES</t>
  </si>
  <si>
    <t>DECIMO TERCER MES</t>
  </si>
  <si>
    <t>CONTRIBUCIÓN SEG. SOCIAL</t>
  </si>
  <si>
    <t>081</t>
  </si>
  <si>
    <t>GRATIFICACIÓN O AGUINALDO</t>
  </si>
  <si>
    <t>DESARROLLO DEL CENTRO DE ESTUDIOS MULTIDISCIPLINARIO EN CIENCIAS</t>
  </si>
  <si>
    <t>CR.REC.PROD. QUIMICOS Y CONEXOS</t>
  </si>
  <si>
    <t>TRANSPORTE DE BIENES</t>
  </si>
  <si>
    <t>MAT. Y SUMINISTROS DE COMP.</t>
  </si>
  <si>
    <t>TRANSFERENCIAS CORR.</t>
  </si>
  <si>
    <t>IMPRESIÓN Y ENCUADERNACIÓN</t>
  </si>
  <si>
    <t>PORCENTUAL</t>
  </si>
  <si>
    <t xml:space="preserve">   B. Transf. de Capital</t>
  </si>
  <si>
    <t>ABOLUTA</t>
  </si>
  <si>
    <t>O/G</t>
  </si>
  <si>
    <t>CTA.</t>
  </si>
  <si>
    <t>EJECUCIÓN  PORCENTUAL</t>
  </si>
  <si>
    <t>EJECUCIÓN PORCENTUAL</t>
  </si>
  <si>
    <t>SALDO ANUAL</t>
  </si>
  <si>
    <t>MEJORAMIENTO DEL CENTRO DE DATOS DE LA UTP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</si>
  <si>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</si>
  <si>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</si>
  <si>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</si>
  <si>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</si>
  <si>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</si>
  <si>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>UNIVERSIDAD TECNOLÓGICA DE PANAMA</t>
  </si>
  <si>
    <t xml:space="preserve">CUADRO A-6A. EJECUCION PRESUPUESTARIA  DE FUNCIONAMIENTO </t>
  </si>
  <si>
    <t>OTRAS PENSIONES Y JUBILACIONES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</si>
  <si>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</si>
  <si>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</si>
  <si>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</si>
  <si>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</si>
  <si>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</si>
  <si>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</si>
  <si>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</si>
  <si>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</si>
  <si>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</si>
  <si>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</si>
  <si>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</si>
  <si>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</si>
  <si>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SERVICIO TRASMISION DATOS</t>
  </si>
  <si>
    <t>CD.REC. PRODUCTO DE PAPEL</t>
  </si>
  <si>
    <t>MEJORAMIENTO LABORATORIOS FACULTADES Y CENTROS REGIONALES</t>
  </si>
  <si>
    <t>CONSULTORÍA</t>
  </si>
  <si>
    <t>CR.REC.  SERV. NO PERSONALES</t>
  </si>
  <si>
    <t>CRED. REC. POR SOBRESURLDOS</t>
  </si>
  <si>
    <t>SERVICIO DE TELEFONÍA CELULAR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</si>
  <si>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</si>
  <si>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</si>
  <si>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</si>
  <si>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</si>
  <si>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</si>
  <si>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</si>
  <si>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</si>
  <si>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</si>
  <si>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</si>
  <si>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</si>
  <si>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</si>
  <si>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</si>
  <si>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</si>
  <si>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</si>
  <si>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</si>
  <si>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2. Maquinaria y Equipo.</t>
  </si>
  <si>
    <t xml:space="preserve">          3. Investig. Y Transf. de Tec.</t>
  </si>
  <si>
    <t>013</t>
  </si>
  <si>
    <t>SERVICIOS BÁSICOS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</si>
  <si>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</si>
  <si>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</si>
  <si>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</si>
  <si>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</si>
  <si>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</si>
  <si>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</si>
  <si>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</si>
  <si>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</si>
  <si>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</si>
  <si>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</si>
  <si>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</si>
  <si>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</si>
  <si>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</si>
  <si>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</si>
  <si>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</si>
  <si>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</si>
  <si>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</si>
  <si>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</si>
  <si>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</si>
  <si>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</si>
  <si>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</si>
  <si>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</si>
  <si>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2.1.1  Ministerio de Educación.</t>
  </si>
  <si>
    <t xml:space="preserve">             1.1.1.1 Ministerio de Educación</t>
  </si>
  <si>
    <t>1.95.1.2.1.4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</si>
  <si>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</si>
  <si>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</si>
  <si>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</si>
  <si>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INFORMACIÓN Y PUBLICIDAD</t>
  </si>
  <si>
    <t>CRE.REC.POR CONT. SGURIDAD SOC.</t>
  </si>
  <si>
    <t>CRE.REC.POR OTROS SERVICIOS ESP.</t>
  </si>
  <si>
    <t>HERRAMIENTAS  E INSTRUMENTOS</t>
  </si>
  <si>
    <t>CR. REC.P'OR BECAS DE ESTUDIOS</t>
  </si>
  <si>
    <t>OTROS SERVICIOS BASICOS</t>
  </si>
  <si>
    <t xml:space="preserve">CONSULTORIAS </t>
  </si>
  <si>
    <t>OTRAS BECAS</t>
  </si>
  <si>
    <t>TRANSF. CORRIENTES A INST. PUB.</t>
  </si>
  <si>
    <t>AL GOBIERNO CENTRAL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</si>
  <si>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</si>
  <si>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</si>
  <si>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</si>
  <si>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</si>
  <si>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</si>
  <si>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</si>
  <si>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</si>
  <si>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</si>
  <si>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</si>
  <si>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</si>
  <si>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</si>
  <si>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</si>
  <si>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</si>
  <si>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</si>
  <si>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</si>
  <si>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</si>
  <si>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</si>
  <si>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</si>
  <si>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</si>
  <si>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</si>
  <si>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</si>
  <si>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</si>
  <si>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</si>
  <si>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</si>
  <si>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DEVENGADO ACUMULADO</t>
  </si>
  <si>
    <t>SALDO  A LA FECHA</t>
  </si>
  <si>
    <t>1.95.1.2.1.4.12</t>
  </si>
  <si>
    <t>1.95.2.4.1</t>
  </si>
  <si>
    <t>1.95.2.4.1.2</t>
  </si>
  <si>
    <t>1.95.2.4.1.2.01</t>
  </si>
  <si>
    <t>TRANSPORTE DE PERSONAS Y  B.</t>
  </si>
  <si>
    <t>097</t>
  </si>
  <si>
    <t>CRED.REC.POR INFORMACIÓN Y PUB.</t>
  </si>
  <si>
    <t>CUOTA PATRONAL DEL S. SOCIAL</t>
  </si>
  <si>
    <t>CUOTA PATRONAL DEL S. EDUCATIVO</t>
  </si>
  <si>
    <t>CUOTA PATRONAL DEL R. PROFESIONALES</t>
  </si>
  <si>
    <t>CUOTA PATRONAL F. COMPLEMENTARIO</t>
  </si>
  <si>
    <t xml:space="preserve">        4.  Inversiones Fínancieras</t>
  </si>
  <si>
    <t xml:space="preserve">          4.  Inversiones Directas</t>
  </si>
  <si>
    <t>Fuente: Dirección Nacional de Presupuesto.</t>
  </si>
  <si>
    <t xml:space="preserve">   Fuente: Dirección Nacional de Presupuesto.</t>
  </si>
  <si>
    <t xml:space="preserve">  Fuente: Dirección Nacional de Presupuesto.</t>
  </si>
  <si>
    <t xml:space="preserve">    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</si>
  <si>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</si>
  <si>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</si>
  <si>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</si>
  <si>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    Gastos  de Operación ( 0-1-2-3-4-9 )</t>
  </si>
  <si>
    <t xml:space="preserve">    1. Otros Ingresos de Capital</t>
  </si>
  <si>
    <t xml:space="preserve">     2. Saldo en Caja y Banco</t>
  </si>
  <si>
    <t xml:space="preserve">      1.1  Renta de Activos</t>
  </si>
  <si>
    <t xml:space="preserve">          1.1.1 Ing. por Vtas. de Servicios</t>
  </si>
  <si>
    <t xml:space="preserve">              1.1.1.1 Lab. y C. Especializados.</t>
  </si>
  <si>
    <t xml:space="preserve">              1.1.1.2 Otros Servicios-Autogestión.</t>
  </si>
  <si>
    <t xml:space="preserve">      2. 1  Gobierno Central</t>
  </si>
  <si>
    <t xml:space="preserve">      3.1 Tasas por Servicios</t>
  </si>
  <si>
    <t xml:space="preserve">      3.2. Derechos</t>
  </si>
  <si>
    <t xml:space="preserve">      3.3. Otros  -Biblioteca</t>
  </si>
  <si>
    <t xml:space="preserve">       4.1. Otros Ing. Varios</t>
  </si>
  <si>
    <t xml:space="preserve">      1.1  Transferencias de Capital</t>
  </si>
  <si>
    <t xml:space="preserve">      2.1. Disponible  Libre en Bco.</t>
  </si>
  <si>
    <t xml:space="preserve">          2.1.1  Instituc. Descentralizadas</t>
  </si>
  <si>
    <t xml:space="preserve">             2.1.1.1 Saldo en Caja</t>
  </si>
  <si>
    <t xml:space="preserve">          1.1.1  Gobierno Central</t>
  </si>
  <si>
    <t xml:space="preserve">   SALDO EN CAJA  (CORRIENTE)</t>
  </si>
  <si>
    <t xml:space="preserve">   APORTE LIBRE</t>
  </si>
  <si>
    <t xml:space="preserve">   I.D.A.A.N.</t>
  </si>
  <si>
    <t xml:space="preserve">  FLUJO PRESUPUESTARIO DE INGRESOS Y GASTOS</t>
  </si>
  <si>
    <t xml:space="preserve"> BALANCE PRESUPUESTARIO ACUMULADO DE GASTO</t>
  </si>
  <si>
    <t xml:space="preserve">  EJECUCION PRESUPUESTARIA SEGÚN ESTRUCTURA PROGRAMATICA  </t>
  </si>
  <si>
    <t xml:space="preserve"> EJECUCION PRESUPUESTARIA  DE FUNCIONAMIENTO </t>
  </si>
  <si>
    <t xml:space="preserve">        2. Transferencias al Exterior</t>
  </si>
  <si>
    <t xml:space="preserve">         1.  Al Sector Público.</t>
  </si>
  <si>
    <t xml:space="preserve">           a. Gobierno Central</t>
  </si>
  <si>
    <t xml:space="preserve">           b. Entidades   Descent.ral. </t>
  </si>
  <si>
    <t xml:space="preserve">           c. Empresasa Públicas</t>
  </si>
  <si>
    <t xml:space="preserve">    B.  Transf. Corrientes</t>
  </si>
  <si>
    <t>Fuente: Dirección Nacional de Presupuesto</t>
  </si>
  <si>
    <t>DEVENGADO</t>
  </si>
  <si>
    <t>RECAUDACIÓN PRESUPUESTARIA SEGÚN GRUPO DE INGRESOS</t>
  </si>
  <si>
    <t>COMPROMETIDO</t>
  </si>
  <si>
    <t>FINANCIAMIENTO PRESUPUESTARIO DE INGRESOS Y GASTOS</t>
  </si>
  <si>
    <t xml:space="preserve"> COMPROMISO PRESUPUESTARIO DE INVERSIONES</t>
  </si>
  <si>
    <t xml:space="preserve">COMPROMISO PRESUPUESTARIO DE INVERSIONES </t>
  </si>
  <si>
    <t xml:space="preserve"> OBJETO DE GASTO: AL 30 DE MAYO  DE 2025</t>
  </si>
  <si>
    <t xml:space="preserve">   AL 30 DE MAYO DE 2025 (En Balboas)</t>
  </si>
  <si>
    <t xml:space="preserve">  A NIVEL DE CUENTAS  AL 30 DE MAYO DE 2025 (En Balboas)</t>
  </si>
  <si>
    <t>POR PROGRAMA  AL 30 DE  MAYO DE 2025 (En Balboas)</t>
  </si>
  <si>
    <t xml:space="preserve">                                    ,   </t>
  </si>
  <si>
    <t>AL 30 DE MAYO DE 2025 (En Balboas)</t>
  </si>
  <si>
    <t>RECAUDACIÓN PRESUPUESTARIA SEGÚN OBJETO DE INGRESOS</t>
  </si>
  <si>
    <t>CONTRIBUCIÓN A LA S. S</t>
  </si>
  <si>
    <t>}</t>
  </si>
  <si>
    <t>AL 30 DE MAYO DE 2025 (En Miles de Balboas)</t>
  </si>
  <si>
    <t xml:space="preserve"> NIVEL DE CUENTA AL 30 DE MAYO DE 2025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</si>
</sst>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dd/mmm"/>
    <numFmt numFmtId="171" formatCode="#,##0.0\ ;\(#,##0.0\)"/>
    <numFmt numFmtId="172" formatCode="#,##0\ ;[Red]\-#,##0\ "/>
    <numFmt numFmtId="173" formatCode="#,##0.0_);[Red]\(#,##0.0\)"/>
    <numFmt numFmtId="174" formatCode="#,##0.0\ ;\(#,###\)"/>
  </numFmts>
  <fonts count="64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8"/>
      <color rgb="FFFF0000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0.5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9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223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167" fontId="14" fillId="0" borderId="0" applyFill="0" applyBorder="0" applyAlignment="0" applyProtection="0"/>
    <xf numFmtId="0" fontId="14" fillId="0" borderId="0"/>
  </cellStyleXfs>
  <cellXfs count="740">
    <xf numFmtId="0" fontId="0" fillId="0" borderId="0" xfId="0"/>
    <xf numFmtId="3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2" xfId="0" applyBorder="1"/>
    <xf numFmtId="0" fontId="10" fillId="0" borderId="0" xfId="0" applyFont="1"/>
    <xf numFmtId="3" fontId="2" fillId="0" borderId="0" xfId="0" applyNumberFormat="1" applyFont="1" applyAlignment="1">
      <alignment horizontal="center"/>
    </xf>
    <xf numFmtId="3" fontId="9" fillId="0" borderId="0" xfId="0" applyNumberFormat="1" applyFont="1"/>
    <xf numFmtId="169" fontId="8" fillId="0" borderId="0" xfId="0" applyNumberFormat="1" applyFont="1" applyAlignment="1">
      <alignment horizontal="left"/>
    </xf>
    <xf numFmtId="172" fontId="9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left"/>
    </xf>
    <xf numFmtId="3" fontId="9" fillId="0" borderId="3" xfId="0" applyNumberFormat="1" applyFont="1" applyBorder="1"/>
    <xf numFmtId="172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4" xfId="0" applyNumberFormat="1" applyFont="1" applyBorder="1"/>
    <xf numFmtId="0" fontId="0" fillId="3" borderId="0" xfId="0" applyFill="1"/>
    <xf numFmtId="0" fontId="15" fillId="0" borderId="0" xfId="0" applyFont="1"/>
    <xf numFmtId="3" fontId="12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0" fillId="0" borderId="0" xfId="0" applyNumberFormat="1"/>
    <xf numFmtId="0" fontId="20" fillId="0" borderId="0" xfId="0" applyFont="1"/>
    <xf numFmtId="3" fontId="23" fillId="0" borderId="0" xfId="0" applyNumberFormat="1" applyFont="1"/>
    <xf numFmtId="0" fontId="23" fillId="0" borderId="0" xfId="0" applyFont="1"/>
    <xf numFmtId="0" fontId="25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3" fontId="25" fillId="0" borderId="0" xfId="0" applyNumberFormat="1" applyFont="1"/>
    <xf numFmtId="3" fontId="20" fillId="0" borderId="0" xfId="0" applyNumberFormat="1" applyFont="1"/>
    <xf numFmtId="2" fontId="27" fillId="0" borderId="0" xfId="0" applyNumberFormat="1" applyFont="1"/>
    <xf numFmtId="168" fontId="27" fillId="0" borderId="0" xfId="0" applyNumberFormat="1" applyFont="1"/>
    <xf numFmtId="0" fontId="24" fillId="0" borderId="0" xfId="0" applyFont="1"/>
    <xf numFmtId="3" fontId="21" fillId="0" borderId="0" xfId="0" applyNumberFormat="1" applyFont="1"/>
    <xf numFmtId="0" fontId="21" fillId="0" borderId="0" xfId="0" applyFont="1"/>
    <xf numFmtId="3" fontId="8" fillId="0" borderId="0" xfId="0" applyNumberFormat="1" applyFont="1"/>
    <xf numFmtId="0" fontId="19" fillId="0" borderId="0" xfId="0" applyFont="1"/>
    <xf numFmtId="3" fontId="33" fillId="0" borderId="0" xfId="0" applyNumberFormat="1" applyFont="1" applyAlignment="1">
      <alignment horizontal="left"/>
    </xf>
    <xf numFmtId="49" fontId="33" fillId="0" borderId="0" xfId="0" applyNumberFormat="1" applyFont="1"/>
    <xf numFmtId="4" fontId="0" fillId="0" borderId="0" xfId="0" applyNumberFormat="1"/>
    <xf numFmtId="0" fontId="31" fillId="0" borderId="0" xfId="0" applyFont="1"/>
    <xf numFmtId="4" fontId="31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3" fontId="34" fillId="0" borderId="0" xfId="0" applyNumberFormat="1" applyFont="1"/>
    <xf numFmtId="166" fontId="0" fillId="0" borderId="0" xfId="0" applyNumberFormat="1"/>
    <xf numFmtId="0" fontId="18" fillId="5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26" fillId="0" borderId="0" xfId="0" applyFont="1" applyAlignment="1">
      <alignment horizontal="center"/>
    </xf>
    <xf numFmtId="3" fontId="17" fillId="0" borderId="0" xfId="0" applyNumberFormat="1" applyFont="1"/>
    <xf numFmtId="0" fontId="36" fillId="0" borderId="0" xfId="0" applyFont="1"/>
    <xf numFmtId="0" fontId="0" fillId="0" borderId="0" xfId="0" applyAlignment="1">
      <alignment horizontal="center"/>
    </xf>
    <xf numFmtId="0" fontId="37" fillId="0" borderId="0" xfId="0" applyFont="1"/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" fontId="40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left"/>
    </xf>
    <xf numFmtId="0" fontId="0" fillId="0" borderId="56" xfId="0" applyBorder="1"/>
    <xf numFmtId="3" fontId="6" fillId="0" borderId="0" xfId="0" applyNumberFormat="1" applyFont="1"/>
    <xf numFmtId="0" fontId="44" fillId="0" borderId="0" xfId="0" applyFont="1"/>
    <xf numFmtId="3" fontId="36" fillId="0" borderId="14" xfId="0" applyNumberFormat="1" applyFont="1" applyBorder="1" applyAlignment="1">
      <alignment horizontal="left"/>
    </xf>
    <xf numFmtId="3" fontId="36" fillId="0" borderId="9" xfId="0" applyNumberFormat="1" applyFont="1" applyBorder="1" applyAlignment="1">
      <alignment horizontal="left"/>
    </xf>
    <xf numFmtId="3" fontId="36" fillId="0" borderId="9" xfId="0" applyNumberFormat="1" applyFont="1" applyBorder="1"/>
    <xf numFmtId="3" fontId="45" fillId="0" borderId="14" xfId="0" applyNumberFormat="1" applyFont="1" applyBorder="1" applyAlignment="1">
      <alignment horizontal="left"/>
    </xf>
    <xf numFmtId="3" fontId="45" fillId="0" borderId="9" xfId="0" applyNumberFormat="1" applyFont="1" applyBorder="1" applyAlignment="1">
      <alignment horizontal="left"/>
    </xf>
    <xf numFmtId="3" fontId="45" fillId="0" borderId="9" xfId="0" applyNumberFormat="1" applyFont="1" applyBorder="1"/>
    <xf numFmtId="3" fontId="36" fillId="0" borderId="9" xfId="0" applyNumberFormat="1" applyFont="1" applyBorder="1" applyAlignment="1">
      <alignment horizontal="right"/>
    </xf>
    <xf numFmtId="3" fontId="36" fillId="0" borderId="14" xfId="0" applyNumberFormat="1" applyFont="1" applyBorder="1"/>
    <xf numFmtId="3" fontId="45" fillId="0" borderId="14" xfId="0" applyNumberFormat="1" applyFont="1" applyBorder="1"/>
    <xf numFmtId="3" fontId="45" fillId="0" borderId="14" xfId="0" applyNumberFormat="1" applyFont="1" applyBorder="1" applyAlignment="1">
      <alignment horizontal="left" vertical="center" wrapText="1"/>
    </xf>
    <xf numFmtId="3" fontId="45" fillId="0" borderId="0" xfId="0" applyNumberFormat="1" applyFont="1" applyAlignment="1">
      <alignment horizontal="left"/>
    </xf>
    <xf numFmtId="3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3" fontId="45" fillId="0" borderId="1" xfId="0" applyNumberFormat="1" applyFont="1" applyBorder="1" applyAlignment="1">
      <alignment horizontal="left" vertical="center"/>
    </xf>
    <xf numFmtId="3" fontId="36" fillId="0" borderId="0" xfId="0" applyNumberFormat="1" applyFont="1"/>
    <xf numFmtId="3" fontId="45" fillId="0" borderId="0" xfId="0" applyNumberFormat="1" applyFont="1"/>
    <xf numFmtId="3" fontId="45" fillId="0" borderId="0" xfId="0" applyNumberFormat="1" applyFont="1" applyAlignment="1">
      <alignment vertical="center"/>
    </xf>
    <xf numFmtId="3" fontId="36" fillId="0" borderId="48" xfId="0" applyNumberFormat="1" applyFont="1" applyBorder="1" applyAlignment="1">
      <alignment horizontal="left"/>
    </xf>
    <xf numFmtId="3" fontId="45" fillId="0" borderId="9" xfId="0" applyNumberFormat="1" applyFont="1" applyBorder="1" applyAlignment="1">
      <alignment vertical="center" wrapText="1"/>
    </xf>
    <xf numFmtId="3" fontId="36" fillId="0" borderId="31" xfId="0" applyNumberFormat="1" applyFont="1" applyBorder="1" applyAlignment="1">
      <alignment horizontal="left"/>
    </xf>
    <xf numFmtId="0" fontId="36" fillId="0" borderId="31" xfId="0" applyFont="1" applyBorder="1"/>
    <xf numFmtId="3" fontId="36" fillId="0" borderId="33" xfId="0" applyNumberFormat="1" applyFont="1" applyBorder="1" applyAlignment="1">
      <alignment horizontal="left"/>
    </xf>
    <xf numFmtId="3" fontId="36" fillId="0" borderId="33" xfId="0" applyNumberFormat="1" applyFont="1" applyBorder="1"/>
    <xf numFmtId="3" fontId="45" fillId="0" borderId="29" xfId="0" applyNumberFormat="1" applyFont="1" applyBorder="1" applyAlignment="1">
      <alignment vertical="center"/>
    </xf>
    <xf numFmtId="3" fontId="45" fillId="0" borderId="9" xfId="0" applyNumberFormat="1" applyFont="1" applyBorder="1" applyAlignment="1">
      <alignment vertical="center"/>
    </xf>
    <xf numFmtId="3" fontId="45" fillId="0" borderId="29" xfId="0" applyNumberFormat="1" applyFont="1" applyBorder="1"/>
    <xf numFmtId="3" fontId="36" fillId="0" borderId="23" xfId="0" applyNumberFormat="1" applyFont="1" applyBorder="1"/>
    <xf numFmtId="3" fontId="45" fillId="0" borderId="21" xfId="0" applyNumberFormat="1" applyFont="1" applyBorder="1" applyAlignment="1">
      <alignment vertical="center"/>
    </xf>
    <xf numFmtId="3" fontId="36" fillId="0" borderId="20" xfId="0" applyNumberFormat="1" applyFont="1" applyBorder="1"/>
    <xf numFmtId="3" fontId="45" fillId="0" borderId="20" xfId="0" applyNumberFormat="1" applyFont="1" applyBorder="1" applyAlignment="1">
      <alignment vertical="center"/>
    </xf>
    <xf numFmtId="3" fontId="45" fillId="0" borderId="27" xfId="0" applyNumberFormat="1" applyFont="1" applyBorder="1"/>
    <xf numFmtId="3" fontId="36" fillId="0" borderId="27" xfId="0" applyNumberFormat="1" applyFont="1" applyBorder="1" applyAlignment="1">
      <alignment horizontal="left"/>
    </xf>
    <xf numFmtId="3" fontId="36" fillId="0" borderId="27" xfId="0" applyNumberFormat="1" applyFont="1" applyBorder="1"/>
    <xf numFmtId="0" fontId="36" fillId="0" borderId="27" xfId="0" applyFont="1" applyBorder="1"/>
    <xf numFmtId="4" fontId="36" fillId="0" borderId="27" xfId="0" applyNumberFormat="1" applyFont="1" applyBorder="1"/>
    <xf numFmtId="3" fontId="45" fillId="0" borderId="23" xfId="0" applyNumberFormat="1" applyFont="1" applyBorder="1"/>
    <xf numFmtId="3" fontId="36" fillId="0" borderId="45" xfId="0" applyNumberFormat="1" applyFont="1" applyBorder="1"/>
    <xf numFmtId="3" fontId="10" fillId="0" borderId="25" xfId="0" applyNumberFormat="1" applyFont="1" applyBorder="1" applyAlignment="1">
      <alignment horizontal="left" vertical="center"/>
    </xf>
    <xf numFmtId="3" fontId="45" fillId="0" borderId="10" xfId="0" applyNumberFormat="1" applyFont="1" applyBorder="1" applyAlignment="1">
      <alignment horizontal="left" vertical="center"/>
    </xf>
    <xf numFmtId="3" fontId="45" fillId="0" borderId="10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horizontal="left" vertical="center"/>
    </xf>
    <xf numFmtId="3" fontId="45" fillId="0" borderId="47" xfId="0" applyNumberFormat="1" applyFont="1" applyBorder="1" applyAlignment="1">
      <alignment horizontal="left" vertical="center"/>
    </xf>
    <xf numFmtId="3" fontId="45" fillId="0" borderId="39" xfId="0" applyNumberFormat="1" applyFont="1" applyBorder="1" applyAlignment="1">
      <alignment vertical="center"/>
    </xf>
    <xf numFmtId="3" fontId="45" fillId="0" borderId="41" xfId="0" applyNumberFormat="1" applyFont="1" applyBorder="1" applyAlignment="1">
      <alignment vertical="center"/>
    </xf>
    <xf numFmtId="3" fontId="45" fillId="0" borderId="6" xfId="0" applyNumberFormat="1" applyFont="1" applyBorder="1" applyAlignment="1">
      <alignment horizontal="left" vertical="center"/>
    </xf>
    <xf numFmtId="3" fontId="45" fillId="0" borderId="60" xfId="0" applyNumberFormat="1" applyFont="1" applyBorder="1" applyAlignment="1">
      <alignment horizontal="left" vertical="center"/>
    </xf>
    <xf numFmtId="3" fontId="45" fillId="0" borderId="60" xfId="0" applyNumberFormat="1" applyFont="1" applyBorder="1" applyAlignment="1">
      <alignment vertical="center"/>
    </xf>
    <xf numFmtId="3" fontId="45" fillId="0" borderId="54" xfId="0" applyNumberFormat="1" applyFont="1" applyBorder="1" applyAlignment="1">
      <alignment horizontal="left" vertical="center"/>
    </xf>
    <xf numFmtId="3" fontId="45" fillId="0" borderId="23" xfId="0" applyNumberFormat="1" applyFont="1" applyBorder="1" applyAlignment="1">
      <alignment vertical="center"/>
    </xf>
    <xf numFmtId="3" fontId="36" fillId="0" borderId="30" xfId="0" applyNumberFormat="1" applyFont="1" applyBorder="1"/>
    <xf numFmtId="3" fontId="36" fillId="0" borderId="23" xfId="0" applyNumberFormat="1" applyFont="1" applyBorder="1" applyAlignment="1">
      <alignment horizontal="left"/>
    </xf>
    <xf numFmtId="3" fontId="45" fillId="0" borderId="30" xfId="0" applyNumberFormat="1" applyFont="1" applyBorder="1" applyAlignment="1">
      <alignment vertical="center"/>
    </xf>
    <xf numFmtId="3" fontId="36" fillId="0" borderId="55" xfId="0" applyNumberFormat="1" applyFont="1" applyBorder="1" applyAlignment="1">
      <alignment horizontal="left"/>
    </xf>
    <xf numFmtId="3" fontId="36" fillId="0" borderId="54" xfId="0" applyNumberFormat="1" applyFont="1" applyBorder="1"/>
    <xf numFmtId="3" fontId="45" fillId="0" borderId="55" xfId="0" applyNumberFormat="1" applyFont="1" applyBorder="1" applyAlignment="1">
      <alignment vertical="center"/>
    </xf>
    <xf numFmtId="3" fontId="45" fillId="0" borderId="54" xfId="0" applyNumberFormat="1" applyFont="1" applyBorder="1" applyAlignment="1">
      <alignment vertical="center"/>
    </xf>
    <xf numFmtId="3" fontId="45" fillId="0" borderId="59" xfId="0" applyNumberFormat="1" applyFont="1" applyBorder="1" applyAlignment="1">
      <alignment vertical="center"/>
    </xf>
    <xf numFmtId="3" fontId="45" fillId="0" borderId="61" xfId="0" applyNumberFormat="1" applyFont="1" applyBorder="1" applyAlignment="1">
      <alignment vertical="center"/>
    </xf>
    <xf numFmtId="3" fontId="45" fillId="0" borderId="63" xfId="0" applyNumberFormat="1" applyFont="1" applyBorder="1" applyAlignment="1">
      <alignment vertical="center"/>
    </xf>
    <xf numFmtId="3" fontId="45" fillId="0" borderId="30" xfId="0" applyNumberFormat="1" applyFont="1" applyBorder="1"/>
    <xf numFmtId="3" fontId="45" fillId="0" borderId="63" xfId="0" applyNumberFormat="1" applyFont="1" applyBorder="1" applyAlignment="1">
      <alignment horizontal="left" vertical="center"/>
    </xf>
    <xf numFmtId="3" fontId="45" fillId="0" borderId="23" xfId="0" applyNumberFormat="1" applyFont="1" applyBorder="1" applyAlignment="1">
      <alignment horizontal="left"/>
    </xf>
    <xf numFmtId="3" fontId="10" fillId="0" borderId="68" xfId="0" applyNumberFormat="1" applyFont="1" applyBorder="1" applyAlignment="1">
      <alignment horizontal="left" vertical="center"/>
    </xf>
    <xf numFmtId="3" fontId="10" fillId="0" borderId="68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horizontal="right"/>
    </xf>
    <xf numFmtId="3" fontId="43" fillId="0" borderId="0" xfId="0" applyNumberFormat="1" applyFont="1"/>
    <xf numFmtId="3" fontId="48" fillId="0" borderId="0" xfId="0" applyNumberFormat="1" applyFont="1"/>
    <xf numFmtId="3" fontId="47" fillId="0" borderId="0" xfId="0" applyNumberFormat="1" applyFont="1"/>
    <xf numFmtId="168" fontId="30" fillId="0" borderId="0" xfId="0" applyNumberFormat="1" applyFont="1"/>
    <xf numFmtId="0" fontId="45" fillId="0" borderId="0" xfId="0" applyFont="1"/>
    <xf numFmtId="49" fontId="36" fillId="0" borderId="14" xfId="0" applyNumberFormat="1" applyFont="1" applyBorder="1" applyAlignment="1">
      <alignment horizontal="left"/>
    </xf>
    <xf numFmtId="4" fontId="23" fillId="0" borderId="0" xfId="0" applyNumberFormat="1" applyFont="1"/>
    <xf numFmtId="166" fontId="20" fillId="0" borderId="0" xfId="0" applyNumberFormat="1" applyFont="1"/>
    <xf numFmtId="166" fontId="45" fillId="0" borderId="19" xfId="0" applyNumberFormat="1" applyFont="1" applyBorder="1" applyAlignment="1">
      <alignment horizontal="center" vertical="center"/>
    </xf>
    <xf numFmtId="166" fontId="45" fillId="0" borderId="12" xfId="0" applyNumberFormat="1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166" fontId="45" fillId="0" borderId="16" xfId="0" applyNumberFormat="1" applyFont="1" applyBorder="1" applyAlignment="1">
      <alignment horizontal="center"/>
    </xf>
    <xf numFmtId="166" fontId="45" fillId="0" borderId="40" xfId="0" applyNumberFormat="1" applyFont="1" applyBorder="1" applyAlignment="1">
      <alignment horizontal="center" vertical="center"/>
    </xf>
    <xf numFmtId="166" fontId="45" fillId="0" borderId="5" xfId="0" applyNumberFormat="1" applyFont="1" applyBorder="1" applyAlignment="1">
      <alignment horizontal="center" vertical="center"/>
    </xf>
    <xf numFmtId="166" fontId="36" fillId="0" borderId="5" xfId="0" applyNumberFormat="1" applyFont="1" applyBorder="1" applyAlignment="1">
      <alignment horizontal="center"/>
    </xf>
    <xf numFmtId="166" fontId="45" fillId="0" borderId="5" xfId="0" applyNumberFormat="1" applyFont="1" applyBorder="1" applyAlignment="1">
      <alignment horizontal="center"/>
    </xf>
    <xf numFmtId="166" fontId="45" fillId="0" borderId="7" xfId="0" applyNumberFormat="1" applyFont="1" applyBorder="1" applyAlignment="1">
      <alignment horizontal="center" vertical="center"/>
    </xf>
    <xf numFmtId="166" fontId="10" fillId="0" borderId="69" xfId="0" applyNumberFormat="1" applyFont="1" applyBorder="1" applyAlignment="1">
      <alignment horizontal="center" vertical="center"/>
    </xf>
    <xf numFmtId="3" fontId="7" fillId="0" borderId="0" xfId="0" applyNumberFormat="1" applyFont="1"/>
    <xf numFmtId="4" fontId="2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6" fillId="0" borderId="28" xfId="0" applyNumberFormat="1" applyFont="1" applyBorder="1"/>
    <xf numFmtId="4" fontId="45" fillId="0" borderId="10" xfId="0" applyNumberFormat="1" applyFont="1" applyBorder="1" applyAlignment="1">
      <alignment vertical="center"/>
    </xf>
    <xf numFmtId="4" fontId="45" fillId="0" borderId="9" xfId="0" applyNumberFormat="1" applyFont="1" applyBorder="1"/>
    <xf numFmtId="4" fontId="36" fillId="0" borderId="9" xfId="0" applyNumberFormat="1" applyFont="1" applyBorder="1"/>
    <xf numFmtId="4" fontId="36" fillId="0" borderId="9" xfId="0" applyNumberFormat="1" applyFont="1" applyBorder="1" applyAlignment="1">
      <alignment horizontal="right"/>
    </xf>
    <xf numFmtId="3" fontId="36" fillId="0" borderId="14" xfId="0" applyNumberFormat="1" applyFont="1" applyBorder="1" applyAlignment="1">
      <alignment horizontal="left" vertical="center" wrapText="1"/>
    </xf>
    <xf numFmtId="3" fontId="36" fillId="0" borderId="9" xfId="0" applyNumberFormat="1" applyFont="1" applyBorder="1" applyAlignment="1">
      <alignment vertical="center" wrapText="1"/>
    </xf>
    <xf numFmtId="166" fontId="36" fillId="0" borderId="30" xfId="0" applyNumberFormat="1" applyFont="1" applyBorder="1" applyAlignment="1">
      <alignment horizontal="center"/>
    </xf>
    <xf numFmtId="3" fontId="10" fillId="0" borderId="159" xfId="0" applyNumberFormat="1" applyFont="1" applyBorder="1" applyAlignment="1">
      <alignment vertical="center"/>
    </xf>
    <xf numFmtId="3" fontId="49" fillId="0" borderId="0" xfId="0" applyNumberFormat="1" applyFont="1"/>
    <xf numFmtId="0" fontId="45" fillId="8" borderId="164" xfId="0" applyFont="1" applyFill="1" applyBorder="1" applyAlignment="1">
      <alignment horizontal="center" vertical="center" wrapText="1"/>
    </xf>
    <xf numFmtId="3" fontId="45" fillId="8" borderId="164" xfId="0" applyNumberFormat="1" applyFont="1" applyFill="1" applyBorder="1" applyAlignment="1">
      <alignment horizontal="center" vertical="center" wrapText="1"/>
    </xf>
    <xf numFmtId="3" fontId="50" fillId="0" borderId="0" xfId="0" applyNumberFormat="1" applyFont="1"/>
    <xf numFmtId="3" fontId="42" fillId="4" borderId="0" xfId="0" applyNumberFormat="1" applyFont="1" applyFill="1"/>
    <xf numFmtId="4" fontId="45" fillId="0" borderId="40" xfId="0" applyNumberFormat="1" applyFont="1" applyBorder="1" applyAlignment="1">
      <alignment vertical="center"/>
    </xf>
    <xf numFmtId="4" fontId="45" fillId="0" borderId="23" xfId="0" applyNumberFormat="1" applyFont="1" applyBorder="1" applyAlignment="1">
      <alignment vertical="center"/>
    </xf>
    <xf numFmtId="4" fontId="45" fillId="0" borderId="9" xfId="0" applyNumberFormat="1" applyFont="1" applyBorder="1" applyAlignment="1">
      <alignment vertical="center"/>
    </xf>
    <xf numFmtId="4" fontId="45" fillId="0" borderId="29" xfId="0" applyNumberFormat="1" applyFont="1" applyBorder="1" applyAlignment="1">
      <alignment vertical="center"/>
    </xf>
    <xf numFmtId="3" fontId="10" fillId="0" borderId="0" xfId="0" applyNumberFormat="1" applyFont="1"/>
    <xf numFmtId="3" fontId="51" fillId="0" borderId="0" xfId="0" applyNumberFormat="1" applyFont="1"/>
    <xf numFmtId="3" fontId="52" fillId="0" borderId="0" xfId="0" applyNumberFormat="1" applyFont="1"/>
    <xf numFmtId="0" fontId="30" fillId="0" borderId="0" xfId="0" applyFont="1" applyAlignment="1">
      <alignment horizontal="center"/>
    </xf>
    <xf numFmtId="0" fontId="45" fillId="8" borderId="11" xfId="0" applyFont="1" applyFill="1" applyBorder="1" applyAlignment="1">
      <alignment horizontal="center" vertical="center"/>
    </xf>
    <xf numFmtId="3" fontId="0" fillId="0" borderId="20" xfId="0" applyNumberFormat="1" applyBorder="1"/>
    <xf numFmtId="0" fontId="46" fillId="0" borderId="0" xfId="0" applyFont="1"/>
    <xf numFmtId="0" fontId="45" fillId="8" borderId="107" xfId="0" applyFont="1" applyFill="1" applyBorder="1" applyAlignment="1">
      <alignment horizontal="center" vertical="center" wrapText="1"/>
    </xf>
    <xf numFmtId="0" fontId="45" fillId="8" borderId="154" xfId="0" applyFont="1" applyFill="1" applyBorder="1" applyAlignment="1">
      <alignment horizontal="center" vertical="center" wrapText="1"/>
    </xf>
    <xf numFmtId="0" fontId="45" fillId="8" borderId="111" xfId="0" applyFont="1" applyFill="1" applyBorder="1" applyAlignment="1">
      <alignment horizontal="center" vertical="center" wrapText="1"/>
    </xf>
    <xf numFmtId="0" fontId="45" fillId="8" borderId="112" xfId="0" applyFont="1" applyFill="1" applyBorder="1" applyAlignment="1">
      <alignment horizontal="center" vertical="center" wrapText="1"/>
    </xf>
    <xf numFmtId="0" fontId="45" fillId="8" borderId="110" xfId="0" applyFont="1" applyFill="1" applyBorder="1" applyAlignment="1">
      <alignment horizontal="center" vertical="center" wrapText="1"/>
    </xf>
    <xf numFmtId="0" fontId="45" fillId="8" borderId="155" xfId="0" applyFont="1" applyFill="1" applyBorder="1" applyAlignment="1">
      <alignment horizontal="center" vertical="center" wrapText="1"/>
    </xf>
    <xf numFmtId="0" fontId="45" fillId="8" borderId="108" xfId="0" applyFont="1" applyFill="1" applyBorder="1" applyAlignment="1">
      <alignment horizontal="center" vertical="center" wrapText="1"/>
    </xf>
    <xf numFmtId="0" fontId="10" fillId="0" borderId="90" xfId="0" applyFont="1" applyBorder="1"/>
    <xf numFmtId="3" fontId="0" fillId="0" borderId="21" xfId="0" applyNumberFormat="1" applyBorder="1"/>
    <xf numFmtId="3" fontId="0" fillId="0" borderId="90" xfId="0" applyNumberFormat="1" applyBorder="1"/>
    <xf numFmtId="0" fontId="0" fillId="0" borderId="21" xfId="0" applyBorder="1"/>
    <xf numFmtId="0" fontId="47" fillId="0" borderId="90" xfId="0" applyFont="1" applyBorder="1"/>
    <xf numFmtId="3" fontId="47" fillId="0" borderId="90" xfId="0" applyNumberFormat="1" applyFont="1" applyBorder="1"/>
    <xf numFmtId="3" fontId="47" fillId="2" borderId="20" xfId="0" applyNumberFormat="1" applyFont="1" applyFill="1" applyBorder="1"/>
    <xf numFmtId="165" fontId="47" fillId="2" borderId="20" xfId="0" applyNumberFormat="1" applyFont="1" applyFill="1" applyBorder="1"/>
    <xf numFmtId="166" fontId="47" fillId="0" borderId="21" xfId="0" applyNumberFormat="1" applyFont="1" applyBorder="1" applyAlignment="1">
      <alignment horizontal="center"/>
    </xf>
    <xf numFmtId="3" fontId="47" fillId="0" borderId="20" xfId="0" applyNumberFormat="1" applyFont="1" applyBorder="1"/>
    <xf numFmtId="165" fontId="47" fillId="0" borderId="20" xfId="0" applyNumberFormat="1" applyFont="1" applyBorder="1"/>
    <xf numFmtId="0" fontId="47" fillId="0" borderId="21" xfId="0" applyFont="1" applyBorder="1" applyAlignment="1">
      <alignment horizontal="center"/>
    </xf>
    <xf numFmtId="0" fontId="47" fillId="0" borderId="90" xfId="0" applyFont="1" applyBorder="1" applyAlignment="1">
      <alignment horizontal="left"/>
    </xf>
    <xf numFmtId="3" fontId="47" fillId="0" borderId="90" xfId="0" applyNumberFormat="1" applyFont="1" applyBorder="1" applyAlignment="1">
      <alignment horizontal="right"/>
    </xf>
    <xf numFmtId="0" fontId="53" fillId="0" borderId="90" xfId="0" applyFont="1" applyBorder="1" applyAlignment="1">
      <alignment horizontal="left"/>
    </xf>
    <xf numFmtId="3" fontId="53" fillId="0" borderId="90" xfId="0" applyNumberFormat="1" applyFont="1" applyBorder="1" applyAlignment="1">
      <alignment horizontal="left"/>
    </xf>
    <xf numFmtId="0" fontId="53" fillId="0" borderId="20" xfId="0" applyFont="1" applyBorder="1"/>
    <xf numFmtId="3" fontId="53" fillId="0" borderId="20" xfId="0" applyNumberFormat="1" applyFont="1" applyBorder="1"/>
    <xf numFmtId="165" fontId="53" fillId="2" borderId="20" xfId="0" applyNumberFormat="1" applyFont="1" applyFill="1" applyBorder="1"/>
    <xf numFmtId="166" fontId="53" fillId="0" borderId="21" xfId="0" applyNumberFormat="1" applyFont="1" applyBorder="1" applyAlignment="1">
      <alignment horizontal="center"/>
    </xf>
    <xf numFmtId="0" fontId="53" fillId="0" borderId="90" xfId="0" applyFont="1" applyBorder="1"/>
    <xf numFmtId="3" fontId="53" fillId="0" borderId="90" xfId="0" applyNumberFormat="1" applyFont="1" applyBorder="1"/>
    <xf numFmtId="167" fontId="47" fillId="0" borderId="90" xfId="2" applyFont="1" applyFill="1" applyBorder="1" applyAlignment="1" applyProtection="1"/>
    <xf numFmtId="3" fontId="47" fillId="0" borderId="90" xfId="2" applyNumberFormat="1" applyFont="1" applyFill="1" applyBorder="1" applyAlignment="1" applyProtection="1"/>
    <xf numFmtId="3" fontId="47" fillId="0" borderId="20" xfId="0" applyNumberFormat="1" applyFont="1" applyBorder="1" applyAlignment="1">
      <alignment horizontal="right"/>
    </xf>
    <xf numFmtId="3" fontId="53" fillId="0" borderId="20" xfId="0" applyNumberFormat="1" applyFont="1" applyBorder="1" applyAlignment="1">
      <alignment horizontal="right"/>
    </xf>
    <xf numFmtId="0" fontId="47" fillId="0" borderId="122" xfId="0" applyFont="1" applyBorder="1" applyAlignment="1">
      <alignment horizontal="left"/>
    </xf>
    <xf numFmtId="3" fontId="53" fillId="0" borderId="103" xfId="0" applyNumberFormat="1" applyFont="1" applyBorder="1"/>
    <xf numFmtId="166" fontId="53" fillId="0" borderId="104" xfId="0" applyNumberFormat="1" applyFont="1" applyBorder="1" applyAlignment="1">
      <alignment horizontal="center"/>
    </xf>
    <xf numFmtId="37" fontId="53" fillId="0" borderId="20" xfId="0" applyNumberFormat="1" applyFont="1" applyBorder="1"/>
    <xf numFmtId="0" fontId="53" fillId="0" borderId="91" xfId="0" applyFont="1" applyBorder="1"/>
    <xf numFmtId="0" fontId="53" fillId="0" borderId="178" xfId="0" applyFont="1" applyBorder="1"/>
    <xf numFmtId="0" fontId="53" fillId="0" borderId="103" xfId="0" applyFont="1" applyBorder="1"/>
    <xf numFmtId="37" fontId="53" fillId="0" borderId="103" xfId="0" applyNumberFormat="1" applyFont="1" applyBorder="1"/>
    <xf numFmtId="0" fontId="53" fillId="0" borderId="104" xfId="0" applyFont="1" applyBorder="1"/>
    <xf numFmtId="0" fontId="53" fillId="0" borderId="88" xfId="0" applyFont="1" applyBorder="1"/>
    <xf numFmtId="0" fontId="53" fillId="0" borderId="0" xfId="0" applyFont="1"/>
    <xf numFmtId="3" fontId="53" fillId="0" borderId="88" xfId="0" applyNumberFormat="1" applyFont="1" applyBorder="1"/>
    <xf numFmtId="37" fontId="53" fillId="0" borderId="88" xfId="0" applyNumberFormat="1" applyFont="1" applyBorder="1"/>
    <xf numFmtId="0" fontId="45" fillId="0" borderId="0" xfId="0" applyFont="1" applyAlignment="1">
      <alignment horizontal="left"/>
    </xf>
    <xf numFmtId="37" fontId="0" fillId="0" borderId="0" xfId="0" applyNumberFormat="1"/>
    <xf numFmtId="0" fontId="45" fillId="8" borderId="167" xfId="0" applyFont="1" applyFill="1" applyBorder="1" applyAlignment="1">
      <alignment horizontal="center" vertical="center"/>
    </xf>
    <xf numFmtId="0" fontId="45" fillId="8" borderId="103" xfId="0" applyFont="1" applyFill="1" applyBorder="1" applyAlignment="1">
      <alignment horizontal="center" vertical="center"/>
    </xf>
    <xf numFmtId="0" fontId="45" fillId="8" borderId="95" xfId="0" applyFont="1" applyFill="1" applyBorder="1" applyAlignment="1">
      <alignment horizontal="center" vertical="center" wrapText="1"/>
    </xf>
    <xf numFmtId="0" fontId="0" fillId="0" borderId="90" xfId="0" applyBorder="1"/>
    <xf numFmtId="0" fontId="0" fillId="0" borderId="121" xfId="0" applyBorder="1"/>
    <xf numFmtId="0" fontId="10" fillId="0" borderId="20" xfId="0" applyFont="1" applyBorder="1" applyAlignment="1">
      <alignment horizontal="center"/>
    </xf>
    <xf numFmtId="170" fontId="10" fillId="0" borderId="21" xfId="0" applyNumberFormat="1" applyFont="1" applyBorder="1" applyAlignment="1">
      <alignment horizontal="center"/>
    </xf>
    <xf numFmtId="3" fontId="47" fillId="4" borderId="20" xfId="0" applyNumberFormat="1" applyFont="1" applyFill="1" applyBorder="1"/>
    <xf numFmtId="168" fontId="47" fillId="4" borderId="21" xfId="0" applyNumberFormat="1" applyFont="1" applyFill="1" applyBorder="1"/>
    <xf numFmtId="168" fontId="47" fillId="0" borderId="21" xfId="0" applyNumberFormat="1" applyFont="1" applyBorder="1"/>
    <xf numFmtId="0" fontId="47" fillId="4" borderId="90" xfId="0" applyFont="1" applyFill="1" applyBorder="1" applyAlignment="1">
      <alignment horizontal="left"/>
    </xf>
    <xf numFmtId="3" fontId="47" fillId="4" borderId="90" xfId="0" applyNumberFormat="1" applyFont="1" applyFill="1" applyBorder="1"/>
    <xf numFmtId="0" fontId="44" fillId="4" borderId="90" xfId="0" applyFont="1" applyFill="1" applyBorder="1" applyAlignment="1">
      <alignment horizontal="left"/>
    </xf>
    <xf numFmtId="3" fontId="44" fillId="4" borderId="20" xfId="0" applyNumberFormat="1" applyFont="1" applyFill="1" applyBorder="1"/>
    <xf numFmtId="168" fontId="44" fillId="4" borderId="21" xfId="0" applyNumberFormat="1" applyFont="1" applyFill="1" applyBorder="1"/>
    <xf numFmtId="0" fontId="53" fillId="4" borderId="90" xfId="0" applyFont="1" applyFill="1" applyBorder="1"/>
    <xf numFmtId="3" fontId="53" fillId="4" borderId="20" xfId="0" applyNumberFormat="1" applyFont="1" applyFill="1" applyBorder="1"/>
    <xf numFmtId="168" fontId="53" fillId="4" borderId="21" xfId="0" applyNumberFormat="1" applyFont="1" applyFill="1" applyBorder="1"/>
    <xf numFmtId="0" fontId="53" fillId="4" borderId="90" xfId="0" applyFont="1" applyFill="1" applyBorder="1" applyAlignment="1">
      <alignment horizontal="left"/>
    </xf>
    <xf numFmtId="0" fontId="53" fillId="4" borderId="20" xfId="0" applyFont="1" applyFill="1" applyBorder="1" applyAlignment="1">
      <alignment horizontal="left"/>
    </xf>
    <xf numFmtId="0" fontId="47" fillId="4" borderId="20" xfId="0" applyFont="1" applyFill="1" applyBorder="1" applyAlignment="1">
      <alignment horizontal="left"/>
    </xf>
    <xf numFmtId="3" fontId="47" fillId="4" borderId="20" xfId="0" applyNumberFormat="1" applyFont="1" applyFill="1" applyBorder="1" applyAlignment="1">
      <alignment horizontal="right"/>
    </xf>
    <xf numFmtId="165" fontId="47" fillId="4" borderId="20" xfId="0" applyNumberFormat="1" applyFont="1" applyFill="1" applyBorder="1" applyAlignment="1">
      <alignment horizontal="right"/>
    </xf>
    <xf numFmtId="3" fontId="47" fillId="4" borderId="90" xfId="0" applyNumberFormat="1" applyFont="1" applyFill="1" applyBorder="1" applyAlignment="1">
      <alignment horizontal="right"/>
    </xf>
    <xf numFmtId="0" fontId="54" fillId="4" borderId="90" xfId="0" applyFont="1" applyFill="1" applyBorder="1" applyAlignment="1">
      <alignment horizontal="left"/>
    </xf>
    <xf numFmtId="0" fontId="54" fillId="4" borderId="20" xfId="0" applyFont="1" applyFill="1" applyBorder="1" applyAlignment="1">
      <alignment horizontal="left"/>
    </xf>
    <xf numFmtId="3" fontId="44" fillId="6" borderId="20" xfId="0" applyNumberFormat="1" applyFont="1" applyFill="1" applyBorder="1"/>
    <xf numFmtId="0" fontId="47" fillId="4" borderId="122" xfId="0" applyFont="1" applyFill="1" applyBorder="1" applyAlignment="1">
      <alignment horizontal="left"/>
    </xf>
    <xf numFmtId="0" fontId="47" fillId="4" borderId="178" xfId="0" applyFont="1" applyFill="1" applyBorder="1" applyAlignment="1">
      <alignment horizontal="left"/>
    </xf>
    <xf numFmtId="0" fontId="47" fillId="4" borderId="93" xfId="0" applyFont="1" applyFill="1" applyBorder="1" applyAlignment="1">
      <alignment horizontal="left"/>
    </xf>
    <xf numFmtId="165" fontId="47" fillId="4" borderId="93" xfId="0" applyNumberFormat="1" applyFont="1" applyFill="1" applyBorder="1"/>
    <xf numFmtId="174" fontId="47" fillId="4" borderId="93" xfId="0" applyNumberFormat="1" applyFont="1" applyFill="1" applyBorder="1" applyAlignment="1">
      <alignment horizontal="right"/>
    </xf>
    <xf numFmtId="168" fontId="44" fillId="4" borderId="77" xfId="0" applyNumberFormat="1" applyFont="1" applyFill="1" applyBorder="1"/>
    <xf numFmtId="0" fontId="45" fillId="4" borderId="0" xfId="0" applyFont="1" applyFill="1"/>
    <xf numFmtId="0" fontId="10" fillId="4" borderId="0" xfId="0" applyFont="1" applyFill="1"/>
    <xf numFmtId="0" fontId="30" fillId="0" borderId="0" xfId="0" applyFont="1"/>
    <xf numFmtId="0" fontId="45" fillId="8" borderId="100" xfId="0" applyFont="1" applyFill="1" applyBorder="1" applyAlignment="1">
      <alignment horizontal="center"/>
    </xf>
    <xf numFmtId="0" fontId="45" fillId="8" borderId="188" xfId="0" applyFont="1" applyFill="1" applyBorder="1" applyAlignment="1">
      <alignment horizontal="center" vertical="center" wrapText="1"/>
    </xf>
    <xf numFmtId="0" fontId="45" fillId="8" borderId="93" xfId="0" applyFont="1" applyFill="1" applyBorder="1" applyAlignment="1">
      <alignment horizontal="center" vertical="center" wrapText="1"/>
    </xf>
    <xf numFmtId="0" fontId="45" fillId="8" borderId="120" xfId="0" applyFont="1" applyFill="1" applyBorder="1" applyAlignment="1">
      <alignment horizontal="center"/>
    </xf>
    <xf numFmtId="0" fontId="55" fillId="5" borderId="90" xfId="0" applyFont="1" applyFill="1" applyBorder="1" applyAlignment="1">
      <alignment horizontal="center" vertical="center" wrapText="1"/>
    </xf>
    <xf numFmtId="0" fontId="55" fillId="5" borderId="20" xfId="0" applyFont="1" applyFill="1" applyBorder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5" fillId="4" borderId="20" xfId="0" applyFont="1" applyFill="1" applyBorder="1"/>
    <xf numFmtId="0" fontId="55" fillId="4" borderId="20" xfId="0" applyFont="1" applyFill="1" applyBorder="1" applyAlignment="1">
      <alignment horizontal="center"/>
    </xf>
    <xf numFmtId="0" fontId="55" fillId="4" borderId="21" xfId="0" applyFont="1" applyFill="1" applyBorder="1" applyAlignment="1">
      <alignment horizontal="center" vertical="center" wrapText="1"/>
    </xf>
    <xf numFmtId="0" fontId="46" fillId="0" borderId="90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20" xfId="0" applyFont="1" applyBorder="1"/>
    <xf numFmtId="0" fontId="44" fillId="0" borderId="21" xfId="0" applyFont="1" applyBorder="1" applyAlignment="1">
      <alignment horizontal="center"/>
    </xf>
    <xf numFmtId="0" fontId="47" fillId="0" borderId="20" xfId="0" applyFont="1" applyBorder="1"/>
    <xf numFmtId="168" fontId="47" fillId="0" borderId="20" xfId="0" applyNumberFormat="1" applyFont="1" applyBorder="1"/>
    <xf numFmtId="171" fontId="47" fillId="0" borderId="20" xfId="0" applyNumberFormat="1" applyFont="1" applyBorder="1"/>
    <xf numFmtId="0" fontId="44" fillId="0" borderId="90" xfId="0" applyFont="1" applyBorder="1"/>
    <xf numFmtId="168" fontId="44" fillId="0" borderId="20" xfId="0" applyNumberFormat="1" applyFont="1" applyBorder="1"/>
    <xf numFmtId="166" fontId="44" fillId="0" borderId="21" xfId="0" applyNumberFormat="1" applyFont="1" applyBorder="1" applyAlignment="1">
      <alignment horizontal="center"/>
    </xf>
    <xf numFmtId="168" fontId="53" fillId="0" borderId="20" xfId="0" applyNumberFormat="1" applyFont="1" applyBorder="1"/>
    <xf numFmtId="171" fontId="53" fillId="0" borderId="20" xfId="0" applyNumberFormat="1" applyFont="1" applyBorder="1"/>
    <xf numFmtId="171" fontId="44" fillId="0" borderId="20" xfId="0" applyNumberFormat="1" applyFont="1" applyBorder="1"/>
    <xf numFmtId="0" fontId="53" fillId="0" borderId="20" xfId="0" applyFont="1" applyBorder="1" applyAlignment="1">
      <alignment horizontal="center"/>
    </xf>
    <xf numFmtId="0" fontId="46" fillId="0" borderId="122" xfId="0" applyFont="1" applyBorder="1" applyAlignment="1">
      <alignment horizontal="center"/>
    </xf>
    <xf numFmtId="0" fontId="46" fillId="0" borderId="188" xfId="0" applyFont="1" applyBorder="1" applyAlignment="1">
      <alignment horizontal="center"/>
    </xf>
    <xf numFmtId="0" fontId="53" fillId="0" borderId="93" xfId="0" applyFont="1" applyBorder="1" applyAlignment="1">
      <alignment horizontal="center"/>
    </xf>
    <xf numFmtId="173" fontId="53" fillId="0" borderId="93" xfId="0" applyNumberFormat="1" applyFont="1" applyBorder="1"/>
    <xf numFmtId="168" fontId="53" fillId="0" borderId="93" xfId="0" applyNumberFormat="1" applyFont="1" applyBorder="1"/>
    <xf numFmtId="171" fontId="46" fillId="0" borderId="93" xfId="0" applyNumberFormat="1" applyFont="1" applyBorder="1"/>
    <xf numFmtId="166" fontId="53" fillId="0" borderId="77" xfId="0" applyNumberFormat="1" applyFont="1" applyBorder="1" applyAlignment="1">
      <alignment horizontal="center"/>
    </xf>
    <xf numFmtId="0" fontId="10" fillId="0" borderId="123" xfId="0" applyFont="1" applyBorder="1"/>
    <xf numFmtId="2" fontId="10" fillId="0" borderId="123" xfId="0" applyNumberFormat="1" applyFont="1" applyBorder="1"/>
    <xf numFmtId="168" fontId="10" fillId="0" borderId="0" xfId="0" applyNumberFormat="1" applyFont="1"/>
    <xf numFmtId="0" fontId="0" fillId="0" borderId="123" xfId="0" applyBorder="1" applyAlignment="1">
      <alignment horizontal="center"/>
    </xf>
    <xf numFmtId="0" fontId="47" fillId="0" borderId="14" xfId="0" applyFont="1" applyBorder="1"/>
    <xf numFmtId="3" fontId="47" fillId="0" borderId="14" xfId="0" applyNumberFormat="1" applyFont="1" applyBorder="1"/>
    <xf numFmtId="3" fontId="47" fillId="0" borderId="9" xfId="0" applyNumberFormat="1" applyFont="1" applyBorder="1"/>
    <xf numFmtId="168" fontId="47" fillId="0" borderId="12" xfId="0" applyNumberFormat="1" applyFont="1" applyBorder="1" applyAlignment="1">
      <alignment horizontal="center"/>
    </xf>
    <xf numFmtId="0" fontId="47" fillId="0" borderId="9" xfId="0" applyFont="1" applyBorder="1"/>
    <xf numFmtId="3" fontId="46" fillId="0" borderId="9" xfId="0" applyNumberFormat="1" applyFont="1" applyBorder="1"/>
    <xf numFmtId="168" fontId="46" fillId="0" borderId="12" xfId="0" applyNumberFormat="1" applyFont="1" applyBorder="1" applyAlignment="1">
      <alignment horizontal="center"/>
    </xf>
    <xf numFmtId="0" fontId="53" fillId="0" borderId="14" xfId="0" applyFont="1" applyBorder="1"/>
    <xf numFmtId="3" fontId="53" fillId="0" borderId="9" xfId="0" applyNumberFormat="1" applyFont="1" applyBorder="1"/>
    <xf numFmtId="168" fontId="53" fillId="0" borderId="12" xfId="0" applyNumberFormat="1" applyFont="1" applyBorder="1" applyAlignment="1">
      <alignment horizontal="center"/>
    </xf>
    <xf numFmtId="0" fontId="47" fillId="0" borderId="14" xfId="0" applyFont="1" applyBorder="1" applyAlignment="1">
      <alignment horizontal="center" vertical="center"/>
    </xf>
    <xf numFmtId="3" fontId="47" fillId="0" borderId="9" xfId="0" applyNumberFormat="1" applyFont="1" applyBorder="1" applyAlignment="1">
      <alignment vertical="center"/>
    </xf>
    <xf numFmtId="168" fontId="47" fillId="0" borderId="12" xfId="0" applyNumberFormat="1" applyFont="1" applyBorder="1" applyAlignment="1">
      <alignment horizontal="center" vertical="center"/>
    </xf>
    <xf numFmtId="0" fontId="46" fillId="0" borderId="14" xfId="0" applyFont="1" applyBorder="1"/>
    <xf numFmtId="3" fontId="47" fillId="0" borderId="9" xfId="0" applyNumberFormat="1" applyFont="1" applyBorder="1" applyAlignment="1">
      <alignment horizontal="center"/>
    </xf>
    <xf numFmtId="0" fontId="44" fillId="0" borderId="14" xfId="0" applyFont="1" applyBorder="1"/>
    <xf numFmtId="0" fontId="54" fillId="0" borderId="9" xfId="0" applyFont="1" applyBorder="1"/>
    <xf numFmtId="3" fontId="44" fillId="0" borderId="9" xfId="0" applyNumberFormat="1" applyFont="1" applyBorder="1"/>
    <xf numFmtId="168" fontId="44" fillId="0" borderId="12" xfId="0" applyNumberFormat="1" applyFont="1" applyBorder="1" applyAlignment="1">
      <alignment horizontal="center"/>
    </xf>
    <xf numFmtId="0" fontId="30" fillId="0" borderId="124" xfId="0" applyFont="1" applyBorder="1"/>
    <xf numFmtId="0" fontId="30" fillId="0" borderId="125" xfId="0" applyFont="1" applyBorder="1"/>
    <xf numFmtId="3" fontId="3" fillId="0" borderId="125" xfId="0" applyNumberFormat="1" applyFont="1" applyBorder="1"/>
    <xf numFmtId="3" fontId="2" fillId="0" borderId="125" xfId="0" applyNumberFormat="1" applyFont="1" applyBorder="1"/>
    <xf numFmtId="168" fontId="3" fillId="0" borderId="126" xfId="0" applyNumberFormat="1" applyFont="1" applyBorder="1" applyAlignment="1">
      <alignment horizontal="center"/>
    </xf>
    <xf numFmtId="0" fontId="0" fillId="0" borderId="127" xfId="0" applyBorder="1" applyAlignment="1">
      <alignment horizontal="center"/>
    </xf>
    <xf numFmtId="0" fontId="45" fillId="8" borderId="131" xfId="0" applyFont="1" applyFill="1" applyBorder="1" applyAlignment="1">
      <alignment horizontal="center" vertical="center"/>
    </xf>
    <xf numFmtId="3" fontId="10" fillId="0" borderId="133" xfId="0" applyNumberFormat="1" applyFont="1" applyBorder="1" applyAlignment="1">
      <alignment horizontal="left" vertical="center"/>
    </xf>
    <xf numFmtId="3" fontId="10" fillId="0" borderId="129" xfId="0" applyNumberFormat="1" applyFont="1" applyBorder="1" applyAlignment="1">
      <alignment horizontal="left" vertical="center"/>
    </xf>
    <xf numFmtId="3" fontId="10" fillId="0" borderId="129" xfId="0" applyNumberFormat="1" applyFont="1" applyBorder="1" applyAlignment="1">
      <alignment vertical="center"/>
    </xf>
    <xf numFmtId="168" fontId="10" fillId="0" borderId="134" xfId="0" applyNumberFormat="1" applyFont="1" applyBorder="1" applyAlignment="1">
      <alignment vertical="center"/>
    </xf>
    <xf numFmtId="3" fontId="10" fillId="0" borderId="54" xfId="0" applyNumberFormat="1" applyFont="1" applyBorder="1" applyAlignment="1">
      <alignment horizontal="left"/>
    </xf>
    <xf numFmtId="3" fontId="10" fillId="0" borderId="23" xfId="0" applyNumberFormat="1" applyFont="1" applyBorder="1" applyAlignment="1">
      <alignment horizontal="left"/>
    </xf>
    <xf numFmtId="3" fontId="10" fillId="0" borderId="23" xfId="0" applyNumberFormat="1" applyFont="1" applyBorder="1"/>
    <xf numFmtId="168" fontId="10" fillId="0" borderId="30" xfId="0" applyNumberFormat="1" applyFont="1" applyBorder="1"/>
    <xf numFmtId="3" fontId="0" fillId="0" borderId="54" xfId="0" applyNumberFormat="1" applyBorder="1" applyAlignment="1">
      <alignment horizontal="left"/>
    </xf>
    <xf numFmtId="3" fontId="0" fillId="0" borderId="23" xfId="0" applyNumberFormat="1" applyBorder="1" applyAlignment="1">
      <alignment horizontal="left"/>
    </xf>
    <xf numFmtId="3" fontId="0" fillId="0" borderId="23" xfId="0" applyNumberFormat="1" applyBorder="1"/>
    <xf numFmtId="168" fontId="0" fillId="0" borderId="30" xfId="0" applyNumberFormat="1" applyBorder="1"/>
    <xf numFmtId="0" fontId="0" fillId="0" borderId="159" xfId="0" applyBorder="1"/>
    <xf numFmtId="3" fontId="10" fillId="0" borderId="135" xfId="0" applyNumberFormat="1" applyFont="1" applyBorder="1" applyAlignment="1">
      <alignment horizontal="left" vertical="center"/>
    </xf>
    <xf numFmtId="3" fontId="10" fillId="0" borderId="50" xfId="0" applyNumberFormat="1" applyFont="1" applyBorder="1" applyAlignment="1">
      <alignment horizontal="left" vertical="center"/>
    </xf>
    <xf numFmtId="3" fontId="10" fillId="0" borderId="50" xfId="0" applyNumberFormat="1" applyFont="1" applyBorder="1" applyAlignment="1">
      <alignment vertical="center"/>
    </xf>
    <xf numFmtId="3" fontId="10" fillId="0" borderId="160" xfId="0" applyNumberFormat="1" applyFont="1" applyBorder="1" applyAlignment="1">
      <alignment vertical="center"/>
    </xf>
    <xf numFmtId="166" fontId="10" fillId="0" borderId="51" xfId="0" applyNumberFormat="1" applyFont="1" applyBorder="1" applyAlignment="1">
      <alignment vertical="center"/>
    </xf>
    <xf numFmtId="166" fontId="0" fillId="0" borderId="30" xfId="0" applyNumberFormat="1" applyBorder="1"/>
    <xf numFmtId="3" fontId="0" fillId="0" borderId="54" xfId="0" applyNumberFormat="1" applyBorder="1"/>
    <xf numFmtId="3" fontId="0" fillId="0" borderId="54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vertical="center" wrapText="1"/>
    </xf>
    <xf numFmtId="0" fontId="0" fillId="0" borderId="0" xfId="0" applyAlignment="1">
      <alignment horizontal="left"/>
    </xf>
    <xf numFmtId="166" fontId="10" fillId="0" borderId="130" xfId="0" applyNumberFormat="1" applyFont="1" applyBorder="1" applyAlignment="1">
      <alignment vertical="center"/>
    </xf>
    <xf numFmtId="3" fontId="10" fillId="0" borderId="58" xfId="0" applyNumberFormat="1" applyFont="1" applyBorder="1" applyAlignment="1">
      <alignment horizontal="left" vertical="center"/>
    </xf>
    <xf numFmtId="3" fontId="10" fillId="0" borderId="63" xfId="0" applyNumberFormat="1" applyFont="1" applyBorder="1" applyAlignment="1">
      <alignment vertical="center"/>
    </xf>
    <xf numFmtId="166" fontId="10" fillId="0" borderId="61" xfId="0" applyNumberFormat="1" applyFont="1" applyBorder="1" applyAlignment="1">
      <alignment vertical="center"/>
    </xf>
    <xf numFmtId="3" fontId="0" fillId="0" borderId="136" xfId="0" applyNumberFormat="1" applyBorder="1"/>
    <xf numFmtId="0" fontId="0" fillId="0" borderId="54" xfId="0" applyBorder="1"/>
    <xf numFmtId="0" fontId="0" fillId="0" borderId="131" xfId="0" applyBorder="1"/>
    <xf numFmtId="0" fontId="0" fillId="0" borderId="23" xfId="0" applyBorder="1"/>
    <xf numFmtId="0" fontId="0" fillId="0" borderId="30" xfId="0" applyBorder="1"/>
    <xf numFmtId="3" fontId="10" fillId="0" borderId="63" xfId="0" applyNumberFormat="1" applyFont="1" applyBorder="1" applyAlignment="1">
      <alignment horizontal="left" vertical="center"/>
    </xf>
    <xf numFmtId="3" fontId="0" fillId="0" borderId="44" xfId="0" applyNumberFormat="1" applyBorder="1" applyAlignment="1">
      <alignment horizontal="left"/>
    </xf>
    <xf numFmtId="3" fontId="47" fillId="0" borderId="38" xfId="0" applyNumberFormat="1" applyFont="1" applyBorder="1" applyAlignment="1">
      <alignment horizontal="left" vertical="center"/>
    </xf>
    <xf numFmtId="3" fontId="47" fillId="0" borderId="38" xfId="0" applyNumberFormat="1" applyFont="1" applyBorder="1" applyAlignment="1">
      <alignment vertical="center"/>
    </xf>
    <xf numFmtId="166" fontId="47" fillId="0" borderId="52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47" fillId="0" borderId="0" xfId="0" applyNumberFormat="1" applyFont="1" applyAlignment="1">
      <alignment horizontal="left" vertical="center"/>
    </xf>
    <xf numFmtId="3" fontId="47" fillId="0" borderId="0" xfId="0" applyNumberFormat="1" applyFont="1" applyAlignment="1">
      <alignment vertical="center"/>
    </xf>
    <xf numFmtId="166" fontId="47" fillId="0" borderId="0" xfId="0" applyNumberFormat="1" applyFont="1" applyAlignment="1">
      <alignment vertical="center"/>
    </xf>
    <xf numFmtId="0" fontId="45" fillId="8" borderId="1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5" fillId="0" borderId="14" xfId="0" applyFont="1" applyBorder="1"/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56" fillId="0" borderId="9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7" fillId="0" borderId="14" xfId="0" applyFont="1" applyBorder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36" fillId="0" borderId="9" xfId="0" applyFont="1" applyBorder="1"/>
    <xf numFmtId="3" fontId="0" fillId="0" borderId="9" xfId="0" applyNumberFormat="1" applyBorder="1"/>
    <xf numFmtId="166" fontId="0" fillId="0" borderId="12" xfId="0" applyNumberFormat="1" applyBorder="1"/>
    <xf numFmtId="0" fontId="0" fillId="0" borderId="14" xfId="0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36" fillId="0" borderId="9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49" fontId="10" fillId="0" borderId="14" xfId="0" applyNumberFormat="1" applyFont="1" applyBorder="1" applyAlignment="1">
      <alignment horizontal="right"/>
    </xf>
    <xf numFmtId="49" fontId="57" fillId="0" borderId="14" xfId="0" applyNumberFormat="1" applyFont="1" applyBorder="1" applyAlignment="1">
      <alignment horizontal="center"/>
    </xf>
    <xf numFmtId="49" fontId="10" fillId="0" borderId="73" xfId="0" applyNumberFormat="1" applyFont="1" applyBorder="1" applyAlignment="1">
      <alignment horizontal="right"/>
    </xf>
    <xf numFmtId="0" fontId="36" fillId="0" borderId="74" xfId="0" applyFont="1" applyBorder="1"/>
    <xf numFmtId="3" fontId="0" fillId="0" borderId="74" xfId="0" applyNumberFormat="1" applyBorder="1"/>
    <xf numFmtId="3" fontId="0" fillId="0" borderId="76" xfId="0" applyNumberFormat="1" applyBorder="1"/>
    <xf numFmtId="0" fontId="0" fillId="0" borderId="75" xfId="0" applyBorder="1"/>
    <xf numFmtId="49" fontId="10" fillId="0" borderId="0" xfId="0" applyNumberFormat="1" applyFont="1" applyAlignment="1">
      <alignment horizontal="right"/>
    </xf>
    <xf numFmtId="3" fontId="3" fillId="0" borderId="0" xfId="0" applyNumberFormat="1" applyFont="1"/>
    <xf numFmtId="49" fontId="58" fillId="0" borderId="0" xfId="0" applyNumberFormat="1" applyFont="1"/>
    <xf numFmtId="3" fontId="2" fillId="0" borderId="0" xfId="0" applyNumberFormat="1" applyFont="1"/>
    <xf numFmtId="37" fontId="2" fillId="0" borderId="0" xfId="0" applyNumberFormat="1" applyFont="1" applyAlignment="1">
      <alignment horizontal="right"/>
    </xf>
    <xf numFmtId="0" fontId="3" fillId="0" borderId="0" xfId="0" applyFont="1"/>
    <xf numFmtId="0" fontId="59" fillId="0" borderId="0" xfId="0" applyFont="1"/>
    <xf numFmtId="0" fontId="10" fillId="7" borderId="46" xfId="0" applyFont="1" applyFill="1" applyBorder="1" applyAlignment="1">
      <alignment horizontal="center" vertical="center" wrapText="1"/>
    </xf>
    <xf numFmtId="0" fontId="10" fillId="7" borderId="189" xfId="0" applyFont="1" applyFill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3" fontId="30" fillId="0" borderId="80" xfId="0" applyNumberFormat="1" applyFont="1" applyBorder="1"/>
    <xf numFmtId="3" fontId="30" fillId="0" borderId="82" xfId="0" applyNumberFormat="1" applyFont="1" applyBorder="1"/>
    <xf numFmtId="3" fontId="30" fillId="0" borderId="46" xfId="0" applyNumberFormat="1" applyFont="1" applyBorder="1"/>
    <xf numFmtId="166" fontId="30" fillId="0" borderId="81" xfId="0" applyNumberFormat="1" applyFont="1" applyBorder="1"/>
    <xf numFmtId="3" fontId="59" fillId="0" borderId="9" xfId="0" applyNumberFormat="1" applyFont="1" applyBorder="1"/>
    <xf numFmtId="3" fontId="59" fillId="0" borderId="31" xfId="0" applyNumberFormat="1" applyFont="1" applyBorder="1"/>
    <xf numFmtId="3" fontId="59" fillId="0" borderId="0" xfId="0" applyNumberFormat="1" applyFont="1"/>
    <xf numFmtId="166" fontId="59" fillId="0" borderId="26" xfId="0" applyNumberFormat="1" applyFont="1" applyBorder="1"/>
    <xf numFmtId="0" fontId="0" fillId="0" borderId="14" xfId="0" applyBorder="1" applyAlignment="1">
      <alignment horizontal="left" vertical="center" wrapText="1"/>
    </xf>
    <xf numFmtId="3" fontId="59" fillId="0" borderId="9" xfId="0" applyNumberFormat="1" applyFont="1" applyBorder="1" applyAlignment="1">
      <alignment vertical="center"/>
    </xf>
    <xf numFmtId="3" fontId="59" fillId="0" borderId="31" xfId="0" applyNumberFormat="1" applyFont="1" applyBorder="1" applyAlignment="1">
      <alignment vertical="center"/>
    </xf>
    <xf numFmtId="3" fontId="59" fillId="0" borderId="0" xfId="0" applyNumberFormat="1" applyFont="1" applyAlignment="1">
      <alignment vertical="center"/>
    </xf>
    <xf numFmtId="166" fontId="59" fillId="0" borderId="26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66" fontId="59" fillId="0" borderId="78" xfId="0" applyNumberFormat="1" applyFont="1" applyBorder="1"/>
    <xf numFmtId="166" fontId="59" fillId="0" borderId="78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3" fontId="30" fillId="4" borderId="84" xfId="0" applyNumberFormat="1" applyFont="1" applyFill="1" applyBorder="1"/>
    <xf numFmtId="3" fontId="30" fillId="4" borderId="82" xfId="0" applyNumberFormat="1" applyFont="1" applyFill="1" applyBorder="1"/>
    <xf numFmtId="0" fontId="0" fillId="0" borderId="14" xfId="0" applyBorder="1" applyAlignment="1">
      <alignment wrapText="1"/>
    </xf>
    <xf numFmtId="3" fontId="59" fillId="4" borderId="9" xfId="0" applyNumberFormat="1" applyFont="1" applyFill="1" applyBorder="1"/>
    <xf numFmtId="3" fontId="59" fillId="4" borderId="31" xfId="0" applyNumberFormat="1" applyFont="1" applyFill="1" applyBorder="1"/>
    <xf numFmtId="3" fontId="59" fillId="4" borderId="0" xfId="0" applyNumberFormat="1" applyFont="1" applyFill="1"/>
    <xf numFmtId="0" fontId="0" fillId="0" borderId="14" xfId="0" applyBorder="1" applyAlignment="1">
      <alignment horizontal="left" vertical="center"/>
    </xf>
    <xf numFmtId="3" fontId="59" fillId="0" borderId="166" xfId="0" applyNumberFormat="1" applyFont="1" applyBorder="1"/>
    <xf numFmtId="0" fontId="0" fillId="0" borderId="14" xfId="0" applyBorder="1" applyAlignment="1">
      <alignment vertical="center"/>
    </xf>
    <xf numFmtId="0" fontId="0" fillId="0" borderId="56" xfId="0" applyBorder="1" applyAlignment="1">
      <alignment horizontal="left" vertical="center" wrapText="1"/>
    </xf>
    <xf numFmtId="3" fontId="59" fillId="4" borderId="57" xfId="0" applyNumberFormat="1" applyFont="1" applyFill="1" applyBorder="1"/>
    <xf numFmtId="3" fontId="59" fillId="0" borderId="156" xfId="0" applyNumberFormat="1" applyFont="1" applyBorder="1"/>
    <xf numFmtId="3" fontId="59" fillId="0" borderId="42" xfId="0" applyNumberFormat="1" applyFont="1" applyBorder="1"/>
    <xf numFmtId="0" fontId="10" fillId="0" borderId="85" xfId="0" applyFont="1" applyBorder="1" applyAlignment="1">
      <alignment horizontal="center" vertical="center"/>
    </xf>
    <xf numFmtId="3" fontId="30" fillId="0" borderId="89" xfId="0" applyNumberFormat="1" applyFont="1" applyBorder="1"/>
    <xf numFmtId="3" fontId="30" fillId="0" borderId="148" xfId="0" applyNumberFormat="1" applyFont="1" applyBorder="1"/>
    <xf numFmtId="0" fontId="45" fillId="0" borderId="0" xfId="0" applyFont="1" applyAlignment="1">
      <alignment horizontal="left" vertical="center" wrapText="1"/>
    </xf>
    <xf numFmtId="0" fontId="55" fillId="0" borderId="0" xfId="0" applyFont="1"/>
    <xf numFmtId="0" fontId="10" fillId="7" borderId="20" xfId="0" applyFont="1" applyFill="1" applyBorder="1" applyAlignment="1">
      <alignment horizontal="center" vertical="center"/>
    </xf>
    <xf numFmtId="3" fontId="46" fillId="0" borderId="138" xfId="0" applyNumberFormat="1" applyFont="1" applyBorder="1" applyAlignment="1">
      <alignment horizontal="left"/>
    </xf>
    <xf numFmtId="3" fontId="46" fillId="0" borderId="137" xfId="0" applyNumberFormat="1" applyFont="1" applyBorder="1" applyAlignment="1">
      <alignment horizontal="left"/>
    </xf>
    <xf numFmtId="3" fontId="46" fillId="0" borderId="137" xfId="0" applyNumberFormat="1" applyFont="1" applyBorder="1"/>
    <xf numFmtId="3" fontId="46" fillId="0" borderId="167" xfId="0" applyNumberFormat="1" applyFont="1" applyBorder="1"/>
    <xf numFmtId="3" fontId="46" fillId="0" borderId="137" xfId="0" applyNumberFormat="1" applyFont="1" applyBorder="1" applyAlignment="1">
      <alignment horizontal="center"/>
    </xf>
    <xf numFmtId="166" fontId="46" fillId="0" borderId="139" xfId="0" applyNumberFormat="1" applyFont="1" applyBorder="1"/>
    <xf numFmtId="3" fontId="46" fillId="0" borderId="90" xfId="0" applyNumberFormat="1" applyFont="1" applyBorder="1" applyAlignment="1">
      <alignment horizontal="left"/>
    </xf>
    <xf numFmtId="3" fontId="46" fillId="0" borderId="20" xfId="0" applyNumberFormat="1" applyFont="1" applyBorder="1" applyAlignment="1">
      <alignment horizontal="left"/>
    </xf>
    <xf numFmtId="3" fontId="46" fillId="0" borderId="20" xfId="0" applyNumberFormat="1" applyFont="1" applyBorder="1"/>
    <xf numFmtId="3" fontId="60" fillId="0" borderId="20" xfId="0" applyNumberFormat="1" applyFont="1" applyBorder="1"/>
    <xf numFmtId="3" fontId="60" fillId="0" borderId="20" xfId="0" applyNumberFormat="1" applyFont="1" applyBorder="1" applyAlignment="1">
      <alignment horizontal="center"/>
    </xf>
    <xf numFmtId="166" fontId="60" fillId="0" borderId="21" xfId="0" applyNumberFormat="1" applyFont="1" applyBorder="1"/>
    <xf numFmtId="49" fontId="60" fillId="0" borderId="90" xfId="0" applyNumberFormat="1" applyFont="1" applyBorder="1" applyAlignment="1">
      <alignment horizontal="left"/>
    </xf>
    <xf numFmtId="3" fontId="60" fillId="0" borderId="20" xfId="0" applyNumberFormat="1" applyFont="1" applyBorder="1" applyAlignment="1">
      <alignment horizontal="left"/>
    </xf>
    <xf numFmtId="49" fontId="61" fillId="0" borderId="90" xfId="0" applyNumberFormat="1" applyFont="1" applyBorder="1" applyAlignment="1">
      <alignment horizontal="left"/>
    </xf>
    <xf numFmtId="3" fontId="61" fillId="0" borderId="20" xfId="0" applyNumberFormat="1" applyFont="1" applyBorder="1"/>
    <xf numFmtId="3" fontId="62" fillId="0" borderId="20" xfId="0" applyNumberFormat="1" applyFont="1" applyBorder="1"/>
    <xf numFmtId="3" fontId="61" fillId="0" borderId="20" xfId="0" applyNumberFormat="1" applyFont="1" applyBorder="1" applyAlignment="1">
      <alignment horizontal="center"/>
    </xf>
    <xf numFmtId="166" fontId="61" fillId="0" borderId="21" xfId="0" applyNumberFormat="1" applyFont="1" applyBorder="1"/>
    <xf numFmtId="3" fontId="46" fillId="0" borderId="97" xfId="0" applyNumberFormat="1" applyFont="1" applyBorder="1" applyAlignment="1">
      <alignment horizontal="left"/>
    </xf>
    <xf numFmtId="3" fontId="46" fillId="0" borderId="98" xfId="0" applyNumberFormat="1" applyFont="1" applyBorder="1" applyAlignment="1">
      <alignment horizontal="left"/>
    </xf>
    <xf numFmtId="3" fontId="46" fillId="0" borderId="98" xfId="0" applyNumberFormat="1" applyFont="1" applyBorder="1"/>
    <xf numFmtId="3" fontId="46" fillId="0" borderId="98" xfId="0" applyNumberFormat="1" applyFont="1" applyBorder="1" applyAlignment="1">
      <alignment horizontal="center"/>
    </xf>
    <xf numFmtId="166" fontId="46" fillId="0" borderId="99" xfId="0" applyNumberFormat="1" applyFont="1" applyBorder="1"/>
    <xf numFmtId="3" fontId="60" fillId="0" borderId="90" xfId="0" applyNumberFormat="1" applyFont="1" applyBorder="1" applyAlignment="1">
      <alignment horizontal="left"/>
    </xf>
    <xf numFmtId="3" fontId="60" fillId="0" borderId="90" xfId="0" applyNumberFormat="1" applyFont="1" applyBorder="1"/>
    <xf numFmtId="3" fontId="62" fillId="0" borderId="90" xfId="0" applyNumberFormat="1" applyFont="1" applyBorder="1"/>
    <xf numFmtId="3" fontId="60" fillId="0" borderId="20" xfId="0" applyNumberFormat="1" applyFont="1" applyBorder="1" applyAlignment="1">
      <alignment vertical="center"/>
    </xf>
    <xf numFmtId="3" fontId="62" fillId="0" borderId="90" xfId="0" applyNumberFormat="1" applyFont="1" applyBorder="1" applyAlignment="1">
      <alignment horizontal="left"/>
    </xf>
    <xf numFmtId="3" fontId="46" fillId="0" borderId="140" xfId="0" applyNumberFormat="1" applyFont="1" applyBorder="1" applyAlignment="1">
      <alignment horizontal="left"/>
    </xf>
    <xf numFmtId="3" fontId="46" fillId="0" borderId="141" xfId="0" applyNumberFormat="1" applyFont="1" applyBorder="1" applyAlignment="1">
      <alignment horizontal="left"/>
    </xf>
    <xf numFmtId="3" fontId="46" fillId="0" borderId="141" xfId="0" applyNumberFormat="1" applyFont="1" applyBorder="1"/>
    <xf numFmtId="3" fontId="46" fillId="0" borderId="141" xfId="0" applyNumberFormat="1" applyFont="1" applyBorder="1" applyAlignment="1">
      <alignment horizontal="center"/>
    </xf>
    <xf numFmtId="166" fontId="46" fillId="0" borderId="142" xfId="0" applyNumberFormat="1" applyFont="1" applyBorder="1"/>
    <xf numFmtId="3" fontId="61" fillId="0" borderId="90" xfId="0" applyNumberFormat="1" applyFont="1" applyBorder="1" applyAlignment="1">
      <alignment horizontal="left"/>
    </xf>
    <xf numFmtId="3" fontId="61" fillId="0" borderId="138" xfId="0" applyNumberFormat="1" applyFont="1" applyBorder="1" applyAlignment="1">
      <alignment horizontal="left"/>
    </xf>
    <xf numFmtId="3" fontId="46" fillId="0" borderId="137" xfId="0" applyNumberFormat="1" applyFont="1" applyBorder="1" applyAlignment="1">
      <alignment horizontal="center" vertical="center"/>
    </xf>
    <xf numFmtId="3" fontId="46" fillId="0" borderId="137" xfId="0" applyNumberFormat="1" applyFont="1" applyBorder="1" applyAlignment="1">
      <alignment vertical="center"/>
    </xf>
    <xf numFmtId="166" fontId="46" fillId="0" borderId="139" xfId="0" applyNumberFormat="1" applyFont="1" applyBorder="1" applyAlignment="1">
      <alignment vertical="center"/>
    </xf>
    <xf numFmtId="169" fontId="36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/>
    </xf>
    <xf numFmtId="172" fontId="45" fillId="0" borderId="0" xfId="0" applyNumberFormat="1" applyFont="1"/>
    <xf numFmtId="166" fontId="63" fillId="0" borderId="0" xfId="0" applyNumberFormat="1" applyFont="1" applyAlignment="1">
      <alignment horizontal="right"/>
    </xf>
    <xf numFmtId="4" fontId="45" fillId="0" borderId="0" xfId="0" applyNumberFormat="1" applyFont="1"/>
    <xf numFmtId="0" fontId="60" fillId="0" borderId="0" xfId="0" applyFont="1"/>
    <xf numFmtId="0" fontId="0" fillId="0" borderId="72" xfId="0" applyBorder="1"/>
    <xf numFmtId="0" fontId="45" fillId="8" borderId="36" xfId="0" applyFont="1" applyFill="1" applyBorder="1" applyAlignment="1">
      <alignment horizontal="center" vertical="center" wrapText="1"/>
    </xf>
    <xf numFmtId="0" fontId="45" fillId="8" borderId="36" xfId="0" applyFont="1" applyFill="1" applyBorder="1" applyAlignment="1">
      <alignment horizontal="center" vertical="center"/>
    </xf>
    <xf numFmtId="0" fontId="45" fillId="8" borderId="3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/>
    </xf>
    <xf numFmtId="0" fontId="45" fillId="0" borderId="31" xfId="0" applyFont="1" applyBorder="1"/>
    <xf numFmtId="0" fontId="45" fillId="0" borderId="31" xfId="0" applyFont="1" applyBorder="1" applyAlignment="1">
      <alignment horizontal="left"/>
    </xf>
    <xf numFmtId="0" fontId="45" fillId="0" borderId="31" xfId="0" applyFont="1" applyBorder="1" applyAlignment="1">
      <alignment horizontal="center"/>
    </xf>
    <xf numFmtId="0" fontId="0" fillId="0" borderId="53" xfId="0" applyBorder="1"/>
    <xf numFmtId="0" fontId="47" fillId="0" borderId="42" xfId="0" applyFont="1" applyBorder="1" applyAlignment="1">
      <alignment horizontal="center"/>
    </xf>
    <xf numFmtId="0" fontId="47" fillId="0" borderId="31" xfId="0" applyFont="1" applyBorder="1"/>
    <xf numFmtId="3" fontId="47" fillId="0" borderId="31" xfId="0" applyNumberFormat="1" applyFont="1" applyBorder="1"/>
    <xf numFmtId="165" fontId="47" fillId="0" borderId="31" xfId="0" applyNumberFormat="1" applyFont="1" applyBorder="1"/>
    <xf numFmtId="166" fontId="47" fillId="0" borderId="32" xfId="0" applyNumberFormat="1" applyFont="1" applyBorder="1"/>
    <xf numFmtId="0" fontId="44" fillId="0" borderId="42" xfId="0" applyFont="1" applyBorder="1" applyAlignment="1">
      <alignment horizontal="left"/>
    </xf>
    <xf numFmtId="0" fontId="44" fillId="0" borderId="31" xfId="0" applyFont="1" applyBorder="1"/>
    <xf numFmtId="3" fontId="44" fillId="0" borderId="31" xfId="0" applyNumberFormat="1" applyFont="1" applyBorder="1"/>
    <xf numFmtId="165" fontId="44" fillId="0" borderId="31" xfId="0" applyNumberFormat="1" applyFont="1" applyBorder="1"/>
    <xf numFmtId="166" fontId="44" fillId="0" borderId="32" xfId="0" applyNumberFormat="1" applyFont="1" applyBorder="1"/>
    <xf numFmtId="0" fontId="53" fillId="0" borderId="42" xfId="0" applyFont="1" applyBorder="1" applyAlignment="1">
      <alignment horizontal="left"/>
    </xf>
    <xf numFmtId="0" fontId="53" fillId="0" borderId="31" xfId="0" applyFont="1" applyBorder="1" applyAlignment="1">
      <alignment horizontal="center"/>
    </xf>
    <xf numFmtId="3" fontId="53" fillId="0" borderId="31" xfId="0" applyNumberFormat="1" applyFont="1" applyBorder="1"/>
    <xf numFmtId="165" fontId="53" fillId="0" borderId="31" xfId="0" applyNumberFormat="1" applyFont="1" applyBorder="1" applyAlignment="1">
      <alignment horizontal="right"/>
    </xf>
    <xf numFmtId="166" fontId="53" fillId="0" borderId="32" xfId="0" applyNumberFormat="1" applyFont="1" applyBorder="1"/>
    <xf numFmtId="0" fontId="53" fillId="0" borderId="42" xfId="0" applyFont="1" applyBorder="1"/>
    <xf numFmtId="165" fontId="53" fillId="0" borderId="31" xfId="0" applyNumberFormat="1" applyFont="1" applyBorder="1"/>
    <xf numFmtId="0" fontId="44" fillId="0" borderId="42" xfId="0" applyFont="1" applyBorder="1"/>
    <xf numFmtId="0" fontId="44" fillId="0" borderId="31" xfId="0" applyFont="1" applyBorder="1" applyAlignment="1">
      <alignment horizontal="center"/>
    </xf>
    <xf numFmtId="165" fontId="44" fillId="0" borderId="31" xfId="0" applyNumberFormat="1" applyFont="1" applyBorder="1" applyAlignment="1">
      <alignment horizontal="right"/>
    </xf>
    <xf numFmtId="0" fontId="47" fillId="0" borderId="31" xfId="0" applyFont="1" applyBorder="1" applyAlignment="1">
      <alignment horizontal="center"/>
    </xf>
    <xf numFmtId="3" fontId="47" fillId="0" borderId="31" xfId="0" applyNumberFormat="1" applyFont="1" applyBorder="1" applyAlignment="1">
      <alignment horizontal="right"/>
    </xf>
    <xf numFmtId="165" fontId="47" fillId="0" borderId="31" xfId="0" applyNumberFormat="1" applyFont="1" applyBorder="1" applyAlignment="1">
      <alignment horizontal="right"/>
    </xf>
    <xf numFmtId="0" fontId="47" fillId="0" borderId="42" xfId="0" applyFont="1" applyBorder="1" applyAlignment="1">
      <alignment horizontal="center" vertical="center" wrapText="1"/>
    </xf>
    <xf numFmtId="3" fontId="44" fillId="4" borderId="31" xfId="0" applyNumberFormat="1" applyFont="1" applyFill="1" applyBorder="1"/>
    <xf numFmtId="37" fontId="44" fillId="0" borderId="31" xfId="0" applyNumberFormat="1" applyFont="1" applyBorder="1"/>
    <xf numFmtId="0" fontId="44" fillId="0" borderId="117" xfId="0" applyFont="1" applyBorder="1"/>
    <xf numFmtId="0" fontId="44" fillId="0" borderId="33" xfId="0" applyFont="1" applyBorder="1" applyAlignment="1">
      <alignment horizontal="center"/>
    </xf>
    <xf numFmtId="3" fontId="53" fillId="0" borderId="33" xfId="0" applyNumberFormat="1" applyFont="1" applyBorder="1"/>
    <xf numFmtId="3" fontId="44" fillId="0" borderId="33" xfId="0" applyNumberFormat="1" applyFont="1" applyBorder="1"/>
    <xf numFmtId="37" fontId="44" fillId="0" borderId="33" xfId="0" applyNumberFormat="1" applyFont="1" applyBorder="1"/>
    <xf numFmtId="166" fontId="44" fillId="0" borderId="34" xfId="0" applyNumberFormat="1" applyFont="1" applyBorder="1"/>
    <xf numFmtId="3" fontId="53" fillId="0" borderId="43" xfId="0" applyNumberFormat="1" applyFont="1" applyBorder="1"/>
    <xf numFmtId="3" fontId="53" fillId="0" borderId="0" xfId="0" applyNumberFormat="1" applyFont="1"/>
    <xf numFmtId="0" fontId="45" fillId="8" borderId="93" xfId="0" applyFont="1" applyFill="1" applyBorder="1" applyAlignment="1">
      <alignment horizontal="center" vertical="center"/>
    </xf>
    <xf numFmtId="0" fontId="45" fillId="8" borderId="8" xfId="0" applyFont="1" applyFill="1" applyBorder="1" applyAlignment="1">
      <alignment horizontal="center" vertical="center" wrapText="1"/>
    </xf>
    <xf numFmtId="0" fontId="45" fillId="8" borderId="8" xfId="0" applyFont="1" applyFill="1" applyBorder="1" applyAlignment="1">
      <alignment horizontal="center" vertical="center"/>
    </xf>
    <xf numFmtId="0" fontId="45" fillId="8" borderId="206" xfId="0" applyFont="1" applyFill="1" applyBorder="1" applyAlignment="1">
      <alignment horizontal="center" vertical="center"/>
    </xf>
    <xf numFmtId="0" fontId="45" fillId="8" borderId="209" xfId="0" applyFont="1" applyFill="1" applyBorder="1" applyAlignment="1">
      <alignment horizontal="center" vertical="center"/>
    </xf>
    <xf numFmtId="0" fontId="45" fillId="8" borderId="199" xfId="0" applyFont="1" applyFill="1" applyBorder="1" applyAlignment="1">
      <alignment horizontal="center" vertical="center"/>
    </xf>
    <xf numFmtId="0" fontId="45" fillId="8" borderId="210" xfId="0" applyFont="1" applyFill="1" applyBorder="1" applyAlignment="1">
      <alignment horizontal="center" vertical="center"/>
    </xf>
    <xf numFmtId="0" fontId="45" fillId="8" borderId="200" xfId="0" applyFont="1" applyFill="1" applyBorder="1" applyAlignment="1">
      <alignment horizontal="center" vertical="center" wrapText="1"/>
    </xf>
    <xf numFmtId="0" fontId="10" fillId="7" borderId="93" xfId="0" applyFont="1" applyFill="1" applyBorder="1" applyAlignment="1">
      <alignment horizontal="center" vertical="center"/>
    </xf>
    <xf numFmtId="49" fontId="45" fillId="0" borderId="14" xfId="0" applyNumberFormat="1" applyFont="1" applyBorder="1" applyAlignment="1">
      <alignment horizontal="left"/>
    </xf>
    <xf numFmtId="174" fontId="36" fillId="0" borderId="9" xfId="0" applyNumberFormat="1" applyFont="1" applyBorder="1"/>
    <xf numFmtId="4" fontId="45" fillId="0" borderId="60" xfId="0" applyNumberFormat="1" applyFont="1" applyBorder="1" applyAlignment="1">
      <alignment vertical="center"/>
    </xf>
    <xf numFmtId="4" fontId="36" fillId="0" borderId="33" xfId="0" applyNumberFormat="1" applyFont="1" applyBorder="1"/>
    <xf numFmtId="4" fontId="45" fillId="0" borderId="63" xfId="0" applyNumberFormat="1" applyFont="1" applyBorder="1" applyAlignment="1">
      <alignment vertical="center"/>
    </xf>
    <xf numFmtId="4" fontId="45" fillId="0" borderId="23" xfId="0" applyNumberFormat="1" applyFont="1" applyBorder="1"/>
    <xf numFmtId="4" fontId="36" fillId="0" borderId="23" xfId="0" applyNumberFormat="1" applyFont="1" applyBorder="1"/>
    <xf numFmtId="4" fontId="36" fillId="0" borderId="0" xfId="0" applyNumberFormat="1" applyFont="1"/>
    <xf numFmtId="4" fontId="10" fillId="0" borderId="68" xfId="0" applyNumberFormat="1" applyFont="1" applyBorder="1" applyAlignment="1">
      <alignment vertical="center"/>
    </xf>
    <xf numFmtId="4" fontId="45" fillId="0" borderId="146" xfId="0" applyNumberFormat="1" applyFont="1" applyBorder="1" applyAlignment="1">
      <alignment vertical="center"/>
    </xf>
    <xf numFmtId="4" fontId="36" fillId="0" borderId="12" xfId="0" applyNumberFormat="1" applyFont="1" applyBorder="1"/>
    <xf numFmtId="4" fontId="45" fillId="0" borderId="39" xfId="0" applyNumberFormat="1" applyFont="1" applyBorder="1" applyAlignment="1">
      <alignment vertical="center"/>
    </xf>
    <xf numFmtId="4" fontId="45" fillId="0" borderId="29" xfId="0" applyNumberFormat="1" applyFont="1" applyBorder="1"/>
    <xf numFmtId="4" fontId="45" fillId="0" borderId="21" xfId="0" applyNumberFormat="1" applyFont="1" applyBorder="1" applyAlignment="1">
      <alignment vertical="center"/>
    </xf>
    <xf numFmtId="4" fontId="45" fillId="0" borderId="147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vertical="center"/>
    </xf>
    <xf numFmtId="3" fontId="0" fillId="0" borderId="22" xfId="0" applyNumberFormat="1" applyBorder="1"/>
    <xf numFmtId="3" fontId="0" fillId="0" borderId="9" xfId="0" applyNumberFormat="1" applyBorder="1" applyAlignment="1">
      <alignment horizontal="center"/>
    </xf>
    <xf numFmtId="4" fontId="47" fillId="2" borderId="20" xfId="0" applyNumberFormat="1" applyFont="1" applyFill="1" applyBorder="1"/>
    <xf numFmtId="4" fontId="47" fillId="0" borderId="20" xfId="0" applyNumberFormat="1" applyFont="1" applyBorder="1"/>
    <xf numFmtId="4" fontId="53" fillId="0" borderId="20" xfId="0" applyNumberFormat="1" applyFont="1" applyBorder="1"/>
    <xf numFmtId="4" fontId="53" fillId="0" borderId="20" xfId="0" applyNumberFormat="1" applyFont="1" applyBorder="1" applyAlignment="1">
      <alignment horizontal="right"/>
    </xf>
    <xf numFmtId="4" fontId="6" fillId="0" borderId="0" xfId="0" applyNumberFormat="1" applyFont="1"/>
    <xf numFmtId="4" fontId="10" fillId="0" borderId="9" xfId="0" applyNumberFormat="1" applyFont="1" applyBorder="1" applyAlignment="1">
      <alignment vertical="center"/>
    </xf>
    <xf numFmtId="0" fontId="0" fillId="0" borderId="195" xfId="0" applyBorder="1"/>
    <xf numFmtId="3" fontId="45" fillId="8" borderId="197" xfId="0" applyNumberFormat="1" applyFont="1" applyFill="1" applyBorder="1" applyAlignment="1">
      <alignment horizontal="center" vertical="center" wrapText="1"/>
    </xf>
    <xf numFmtId="3" fontId="45" fillId="8" borderId="152" xfId="0" applyNumberFormat="1" applyFont="1" applyFill="1" applyBorder="1" applyAlignment="1">
      <alignment horizontal="center" vertical="center" wrapText="1"/>
    </xf>
    <xf numFmtId="3" fontId="45" fillId="8" borderId="213" xfId="0" applyNumberFormat="1" applyFont="1" applyFill="1" applyBorder="1" applyAlignment="1">
      <alignment horizontal="center" vertical="center" wrapText="1"/>
    </xf>
    <xf numFmtId="3" fontId="45" fillId="8" borderId="131" xfId="0" applyNumberFormat="1" applyFont="1" applyFill="1" applyBorder="1" applyAlignment="1">
      <alignment horizontal="center" vertical="center"/>
    </xf>
    <xf numFmtId="0" fontId="10" fillId="7" borderId="220" xfId="0" applyFont="1" applyFill="1" applyBorder="1" applyAlignment="1">
      <alignment horizontal="center" vertical="center"/>
    </xf>
    <xf numFmtId="0" fontId="10" fillId="7" borderId="221" xfId="0" applyFont="1" applyFill="1" applyBorder="1" applyAlignment="1">
      <alignment horizontal="center" vertical="center" wrapText="1"/>
    </xf>
    <xf numFmtId="4" fontId="36" fillId="0" borderId="29" xfId="0" applyNumberFormat="1" applyFont="1" applyBorder="1"/>
    <xf numFmtId="4" fontId="36" fillId="0" borderId="30" xfId="0" applyNumberFormat="1" applyFont="1" applyBorder="1"/>
    <xf numFmtId="4" fontId="45" fillId="0" borderId="24" xfId="0" applyNumberFormat="1" applyFont="1" applyBorder="1" applyAlignment="1">
      <alignment vertical="center"/>
    </xf>
    <xf numFmtId="4" fontId="36" fillId="0" borderId="21" xfId="0" applyNumberFormat="1" applyFont="1" applyBorder="1"/>
    <xf numFmtId="4" fontId="45" fillId="0" borderId="27" xfId="0" applyNumberFormat="1" applyFont="1" applyBorder="1"/>
    <xf numFmtId="4" fontId="45" fillId="0" borderId="62" xfId="0" applyNumberFormat="1" applyFont="1" applyBorder="1" applyAlignment="1">
      <alignment vertical="center"/>
    </xf>
    <xf numFmtId="4" fontId="45" fillId="0" borderId="26" xfId="0" applyNumberFormat="1" applyFont="1" applyBorder="1"/>
    <xf numFmtId="4" fontId="36" fillId="0" borderId="26" xfId="0" applyNumberFormat="1" applyFont="1" applyBorder="1"/>
    <xf numFmtId="4" fontId="36" fillId="0" borderId="28" xfId="0" applyNumberFormat="1" applyFont="1" applyBorder="1"/>
    <xf numFmtId="4" fontId="10" fillId="0" borderId="69" xfId="0" applyNumberFormat="1" applyFont="1" applyBorder="1" applyAlignment="1">
      <alignment vertical="center"/>
    </xf>
    <xf numFmtId="4" fontId="10" fillId="0" borderId="0" xfId="0" applyNumberFormat="1" applyFont="1"/>
    <xf numFmtId="4" fontId="10" fillId="0" borderId="9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center" vertical="center"/>
    </xf>
    <xf numFmtId="4" fontId="0" fillId="0" borderId="9" xfId="0" applyNumberFormat="1" applyBorder="1"/>
    <xf numFmtId="3" fontId="10" fillId="7" borderId="93" xfId="0" applyNumberFormat="1" applyFont="1" applyFill="1" applyBorder="1" applyAlignment="1">
      <alignment horizontal="center" vertical="center"/>
    </xf>
    <xf numFmtId="3" fontId="10" fillId="7" borderId="178" xfId="0" applyNumberFormat="1" applyFont="1" applyFill="1" applyBorder="1" applyAlignment="1">
      <alignment horizontal="center" vertical="center" wrapText="1"/>
    </xf>
    <xf numFmtId="3" fontId="10" fillId="7" borderId="93" xfId="0" applyNumberFormat="1" applyFont="1" applyFill="1" applyBorder="1" applyAlignment="1">
      <alignment horizontal="center" vertical="center" wrapText="1"/>
    </xf>
    <xf numFmtId="4" fontId="30" fillId="0" borderId="82" xfId="0" applyNumberFormat="1" applyFont="1" applyBorder="1"/>
    <xf numFmtId="3" fontId="0" fillId="0" borderId="195" xfId="0" applyNumberFormat="1" applyBorder="1"/>
    <xf numFmtId="0" fontId="0" fillId="0" borderId="218" xfId="0" applyBorder="1"/>
    <xf numFmtId="0" fontId="0" fillId="0" borderId="220" xfId="0" applyBorder="1"/>
    <xf numFmtId="3" fontId="0" fillId="0" borderId="220" xfId="0" applyNumberFormat="1" applyBorder="1"/>
    <xf numFmtId="0" fontId="45" fillId="0" borderId="0" xfId="0" applyFont="1" applyAlignment="1">
      <alignment horizontal="left"/>
    </xf>
    <xf numFmtId="0" fontId="45" fillId="8" borderId="144" xfId="0" applyFont="1" applyFill="1" applyBorder="1" applyAlignment="1">
      <alignment horizontal="center" vertical="center"/>
    </xf>
    <xf numFmtId="0" fontId="45" fillId="8" borderId="145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5" fillId="8" borderId="106" xfId="0" applyFont="1" applyFill="1" applyBorder="1" applyAlignment="1">
      <alignment horizontal="center" vertical="center" wrapText="1"/>
    </xf>
    <xf numFmtId="0" fontId="45" fillId="8" borderId="107" xfId="0" applyFont="1" applyFill="1" applyBorder="1" applyAlignment="1">
      <alignment horizontal="center" vertical="center" wrapText="1"/>
    </xf>
    <xf numFmtId="0" fontId="45" fillId="8" borderId="102" xfId="0" applyFont="1" applyFill="1" applyBorder="1" applyAlignment="1">
      <alignment horizontal="center" vertical="center"/>
    </xf>
    <xf numFmtId="0" fontId="45" fillId="8" borderId="105" xfId="0" applyFont="1" applyFill="1" applyBorder="1" applyAlignment="1">
      <alignment horizontal="center" vertical="center"/>
    </xf>
    <xf numFmtId="0" fontId="45" fillId="8" borderId="179" xfId="0" applyFont="1" applyFill="1" applyBorder="1" applyAlignment="1">
      <alignment horizontal="center" vertical="center"/>
    </xf>
    <xf numFmtId="0" fontId="45" fillId="8" borderId="177" xfId="0" applyFont="1" applyFill="1" applyBorder="1" applyAlignment="1">
      <alignment horizontal="center" vertical="center"/>
    </xf>
    <xf numFmtId="0" fontId="45" fillId="8" borderId="180" xfId="0" applyFont="1" applyFill="1" applyBorder="1" applyAlignment="1">
      <alignment horizontal="center" vertical="center"/>
    </xf>
    <xf numFmtId="0" fontId="46" fillId="0" borderId="42" xfId="0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5" fillId="8" borderId="113" xfId="0" applyFont="1" applyFill="1" applyBorder="1" applyAlignment="1">
      <alignment horizontal="center" vertical="center" wrapText="1"/>
    </xf>
    <xf numFmtId="0" fontId="45" fillId="8" borderId="116" xfId="0" applyFont="1" applyFill="1" applyBorder="1" applyAlignment="1">
      <alignment horizontal="center" vertical="center" wrapText="1"/>
    </xf>
    <xf numFmtId="0" fontId="45" fillId="8" borderId="114" xfId="0" applyFont="1" applyFill="1" applyBorder="1" applyAlignment="1">
      <alignment horizontal="center" vertical="center" wrapText="1"/>
    </xf>
    <xf numFmtId="0" fontId="45" fillId="8" borderId="36" xfId="0" applyFont="1" applyFill="1" applyBorder="1" applyAlignment="1">
      <alignment horizontal="center" vertical="center" wrapText="1"/>
    </xf>
    <xf numFmtId="0" fontId="45" fillId="8" borderId="115" xfId="0" applyFont="1" applyFill="1" applyBorder="1" applyAlignment="1">
      <alignment horizontal="center"/>
    </xf>
    <xf numFmtId="0" fontId="45" fillId="8" borderId="35" xfId="0" applyFont="1" applyFill="1" applyBorder="1" applyAlignment="1">
      <alignment horizontal="center"/>
    </xf>
    <xf numFmtId="0" fontId="45" fillId="8" borderId="181" xfId="0" applyFont="1" applyFill="1" applyBorder="1" applyAlignment="1">
      <alignment horizontal="center"/>
    </xf>
    <xf numFmtId="0" fontId="45" fillId="8" borderId="182" xfId="0" applyFont="1" applyFill="1" applyBorder="1" applyAlignment="1">
      <alignment horizontal="center"/>
    </xf>
    <xf numFmtId="0" fontId="45" fillId="8" borderId="183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5" fillId="8" borderId="118" xfId="0" applyFont="1" applyFill="1" applyBorder="1" applyAlignment="1">
      <alignment horizontal="center" vertical="center"/>
    </xf>
    <xf numFmtId="0" fontId="45" fillId="8" borderId="119" xfId="0" applyFont="1" applyFill="1" applyBorder="1" applyAlignment="1">
      <alignment horizontal="center" vertical="center"/>
    </xf>
    <xf numFmtId="0" fontId="45" fillId="8" borderId="101" xfId="0" applyFont="1" applyFill="1" applyBorder="1" applyAlignment="1">
      <alignment horizontal="center" vertical="center" wrapText="1"/>
    </xf>
    <xf numFmtId="0" fontId="45" fillId="8" borderId="96" xfId="0" applyFont="1" applyFill="1" applyBorder="1" applyAlignment="1">
      <alignment horizontal="center" vertical="center" wrapText="1"/>
    </xf>
    <xf numFmtId="0" fontId="45" fillId="8" borderId="185" xfId="0" applyFont="1" applyFill="1" applyBorder="1" applyAlignment="1">
      <alignment horizontal="center" vertical="center"/>
    </xf>
    <xf numFmtId="0" fontId="45" fillId="8" borderId="186" xfId="0" applyFont="1" applyFill="1" applyBorder="1" applyAlignment="1">
      <alignment horizontal="center" vertical="center"/>
    </xf>
    <xf numFmtId="0" fontId="45" fillId="8" borderId="187" xfId="0" applyFont="1" applyFill="1" applyBorder="1" applyAlignment="1">
      <alignment horizontal="center" vertical="center"/>
    </xf>
    <xf numFmtId="0" fontId="45" fillId="8" borderId="100" xfId="0" applyFont="1" applyFill="1" applyBorder="1" applyAlignment="1">
      <alignment horizontal="center" vertical="center" wrapText="1"/>
    </xf>
    <xf numFmtId="0" fontId="45" fillId="8" borderId="184" xfId="0" applyFont="1" applyFill="1" applyBorder="1" applyAlignment="1">
      <alignment horizontal="center" vertical="center" wrapText="1"/>
    </xf>
    <xf numFmtId="0" fontId="45" fillId="8" borderId="94" xfId="0" applyFont="1" applyFill="1" applyBorder="1" applyAlignment="1">
      <alignment horizontal="center" vertical="center" wrapText="1"/>
    </xf>
    <xf numFmtId="0" fontId="45" fillId="8" borderId="205" xfId="0" applyFont="1" applyFill="1" applyBorder="1" applyAlignment="1">
      <alignment horizontal="center" vertical="center" wrapText="1"/>
    </xf>
    <xf numFmtId="0" fontId="45" fillId="8" borderId="77" xfId="0" applyFont="1" applyFill="1" applyBorder="1" applyAlignment="1">
      <alignment horizontal="center" vertical="center" wrapText="1"/>
    </xf>
    <xf numFmtId="0" fontId="45" fillId="8" borderId="185" xfId="0" applyFont="1" applyFill="1" applyBorder="1" applyAlignment="1">
      <alignment horizontal="center" vertical="center" wrapText="1"/>
    </xf>
    <xf numFmtId="0" fontId="45" fillId="8" borderId="186" xfId="0" applyFont="1" applyFill="1" applyBorder="1" applyAlignment="1">
      <alignment horizontal="center" vertical="center" wrapText="1"/>
    </xf>
    <xf numFmtId="0" fontId="45" fillId="8" borderId="18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5" fillId="8" borderId="70" xfId="0" applyFont="1" applyFill="1" applyBorder="1" applyAlignment="1">
      <alignment horizontal="center" vertical="center" wrapText="1"/>
    </xf>
    <xf numFmtId="0" fontId="45" fillId="8" borderId="163" xfId="0" applyFont="1" applyFill="1" applyBorder="1" applyAlignment="1">
      <alignment horizontal="center" vertical="center" wrapText="1"/>
    </xf>
    <xf numFmtId="0" fontId="45" fillId="8" borderId="71" xfId="0" applyFont="1" applyFill="1" applyBorder="1" applyAlignment="1">
      <alignment horizontal="center" vertical="center" wrapText="1"/>
    </xf>
    <xf numFmtId="0" fontId="45" fillId="8" borderId="13" xfId="0" applyFont="1" applyFill="1" applyBorder="1" applyAlignment="1">
      <alignment horizontal="center" vertical="center" wrapText="1"/>
    </xf>
    <xf numFmtId="0" fontId="45" fillId="8" borderId="18" xfId="0" applyFont="1" applyFill="1" applyBorder="1" applyAlignment="1">
      <alignment horizontal="center" vertical="center" wrapText="1"/>
    </xf>
    <xf numFmtId="0" fontId="45" fillId="8" borderId="207" xfId="0" applyFont="1" applyFill="1" applyBorder="1" applyAlignment="1">
      <alignment horizontal="center" vertical="center"/>
    </xf>
    <xf numFmtId="0" fontId="45" fillId="8" borderId="182" xfId="0" applyFont="1" applyFill="1" applyBorder="1" applyAlignment="1">
      <alignment horizontal="center" vertical="center"/>
    </xf>
    <xf numFmtId="0" fontId="45" fillId="8" borderId="208" xfId="0" applyFont="1" applyFill="1" applyBorder="1" applyAlignment="1">
      <alignment horizontal="center" vertical="center"/>
    </xf>
    <xf numFmtId="169" fontId="45" fillId="8" borderId="66" xfId="0" applyNumberFormat="1" applyFont="1" applyFill="1" applyBorder="1" applyAlignment="1">
      <alignment horizontal="center" vertical="center" wrapText="1"/>
    </xf>
    <xf numFmtId="169" fontId="45" fillId="8" borderId="158" xfId="0" applyNumberFormat="1" applyFont="1" applyFill="1" applyBorder="1" applyAlignment="1">
      <alignment horizontal="center" vertical="center" wrapText="1"/>
    </xf>
    <xf numFmtId="3" fontId="45" fillId="8" borderId="66" xfId="0" applyNumberFormat="1" applyFont="1" applyFill="1" applyBorder="1" applyAlignment="1">
      <alignment horizontal="center" vertical="center" wrapText="1"/>
    </xf>
    <xf numFmtId="3" fontId="45" fillId="8" borderId="158" xfId="0" applyNumberFormat="1" applyFont="1" applyFill="1" applyBorder="1" applyAlignment="1">
      <alignment horizontal="center" vertical="center" wrapText="1"/>
    </xf>
    <xf numFmtId="3" fontId="45" fillId="8" borderId="157" xfId="0" applyNumberFormat="1" applyFont="1" applyFill="1" applyBorder="1" applyAlignment="1">
      <alignment horizontal="center" vertical="center" wrapText="1"/>
    </xf>
    <xf numFmtId="3" fontId="45" fillId="8" borderId="161" xfId="0" applyNumberFormat="1" applyFont="1" applyFill="1" applyBorder="1" applyAlignment="1">
      <alignment horizontal="center" vertical="center" wrapText="1"/>
    </xf>
    <xf numFmtId="49" fontId="45" fillId="8" borderId="67" xfId="0" applyNumberFormat="1" applyFont="1" applyFill="1" applyBorder="1" applyAlignment="1">
      <alignment horizontal="center" vertical="center" wrapText="1"/>
    </xf>
    <xf numFmtId="49" fontId="45" fillId="8" borderId="162" xfId="0" applyNumberFormat="1" applyFont="1" applyFill="1" applyBorder="1" applyAlignment="1">
      <alignment horizontal="center" vertical="center" wrapText="1"/>
    </xf>
    <xf numFmtId="49" fontId="45" fillId="8" borderId="165" xfId="0" applyNumberFormat="1" applyFont="1" applyFill="1" applyBorder="1" applyAlignment="1">
      <alignment horizontal="center" vertical="center" wrapText="1"/>
    </xf>
    <xf numFmtId="0" fontId="45" fillId="8" borderId="64" xfId="0" applyFont="1" applyFill="1" applyBorder="1" applyAlignment="1">
      <alignment horizontal="center" vertical="center"/>
    </xf>
    <xf numFmtId="0" fontId="45" fillId="8" borderId="9" xfId="0" applyFont="1" applyFill="1" applyBorder="1" applyAlignment="1">
      <alignment horizontal="center" vertical="center"/>
    </xf>
    <xf numFmtId="0" fontId="45" fillId="8" borderId="11" xfId="0" applyFont="1" applyFill="1" applyBorder="1" applyAlignment="1">
      <alignment horizontal="center" vertical="center"/>
    </xf>
    <xf numFmtId="0" fontId="45" fillId="8" borderId="65" xfId="0" applyFont="1" applyFill="1" applyBorder="1" applyAlignment="1">
      <alignment horizontal="center" vertical="center"/>
    </xf>
    <xf numFmtId="0" fontId="45" fillId="8" borderId="14" xfId="0" applyFont="1" applyFill="1" applyBorder="1" applyAlignment="1">
      <alignment horizontal="center" vertical="center"/>
    </xf>
    <xf numFmtId="0" fontId="45" fillId="8" borderId="163" xfId="0" applyFont="1" applyFill="1" applyBorder="1" applyAlignment="1">
      <alignment horizontal="center" vertical="center"/>
    </xf>
    <xf numFmtId="3" fontId="45" fillId="8" borderId="64" xfId="0" applyNumberFormat="1" applyFont="1" applyFill="1" applyBorder="1" applyAlignment="1">
      <alignment horizontal="center" vertical="center" wrapText="1"/>
    </xf>
    <xf numFmtId="3" fontId="45" fillId="8" borderId="9" xfId="0" applyNumberFormat="1" applyFont="1" applyFill="1" applyBorder="1" applyAlignment="1">
      <alignment horizontal="center" vertical="center" wrapText="1"/>
    </xf>
    <xf numFmtId="3" fontId="45" fillId="8" borderId="11" xfId="0" applyNumberFormat="1" applyFont="1" applyFill="1" applyBorder="1" applyAlignment="1">
      <alignment horizontal="center" vertical="center" wrapText="1"/>
    </xf>
    <xf numFmtId="3" fontId="45" fillId="8" borderId="170" xfId="0" applyNumberFormat="1" applyFont="1" applyFill="1" applyBorder="1" applyAlignment="1">
      <alignment horizontal="center" vertical="center" wrapText="1"/>
    </xf>
    <xf numFmtId="3" fontId="45" fillId="8" borderId="65" xfId="0" applyNumberFormat="1" applyFont="1" applyFill="1" applyBorder="1" applyAlignment="1">
      <alignment horizontal="center" vertical="center" wrapText="1"/>
    </xf>
    <xf numFmtId="3" fontId="45" fillId="8" borderId="12" xfId="0" applyNumberFormat="1" applyFont="1" applyFill="1" applyBorder="1" applyAlignment="1">
      <alignment horizontal="center" vertical="center" wrapText="1"/>
    </xf>
    <xf numFmtId="3" fontId="45" fillId="8" borderId="14" xfId="0" applyNumberFormat="1" applyFont="1" applyFill="1" applyBorder="1" applyAlignment="1">
      <alignment horizontal="center" vertical="center" wrapText="1"/>
    </xf>
    <xf numFmtId="3" fontId="45" fillId="8" borderId="17" xfId="0" applyNumberFormat="1" applyFont="1" applyFill="1" applyBorder="1" applyAlignment="1">
      <alignment horizontal="center" vertical="center" wrapText="1"/>
    </xf>
    <xf numFmtId="3" fontId="45" fillId="8" borderId="163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36" fillId="0" borderId="151" xfId="0" applyFont="1" applyBorder="1" applyAlignment="1">
      <alignment horizontal="center"/>
    </xf>
    <xf numFmtId="49" fontId="45" fillId="8" borderId="132" xfId="0" applyNumberFormat="1" applyFont="1" applyFill="1" applyBorder="1" applyAlignment="1">
      <alignment horizontal="center" vertical="center" wrapText="1"/>
    </xf>
    <xf numFmtId="49" fontId="45" fillId="8" borderId="30" xfId="0" applyNumberFormat="1" applyFont="1" applyFill="1" applyBorder="1" applyAlignment="1">
      <alignment horizontal="center" vertical="center" wrapText="1"/>
    </xf>
    <xf numFmtId="49" fontId="45" fillId="8" borderId="149" xfId="0" applyNumberFormat="1" applyFont="1" applyFill="1" applyBorder="1" applyAlignment="1">
      <alignment horizontal="center" vertical="center" wrapText="1"/>
    </xf>
    <xf numFmtId="0" fontId="45" fillId="8" borderId="128" xfId="0" applyFont="1" applyFill="1" applyBorder="1" applyAlignment="1">
      <alignment horizontal="center" vertical="center"/>
    </xf>
    <xf numFmtId="0" fontId="45" fillId="8" borderId="54" xfId="0" applyFont="1" applyFill="1" applyBorder="1" applyAlignment="1">
      <alignment horizontal="center" vertical="center"/>
    </xf>
    <xf numFmtId="0" fontId="45" fillId="8" borderId="150" xfId="0" applyFont="1" applyFill="1" applyBorder="1" applyAlignment="1">
      <alignment horizontal="center" vertical="center"/>
    </xf>
    <xf numFmtId="0" fontId="45" fillId="8" borderId="136" xfId="0" applyFont="1" applyFill="1" applyBorder="1" applyAlignment="1">
      <alignment horizontal="center" vertical="center"/>
    </xf>
    <xf numFmtId="0" fontId="45" fillId="8" borderId="23" xfId="0" applyFont="1" applyFill="1" applyBorder="1" applyAlignment="1">
      <alignment horizontal="center" vertical="center"/>
    </xf>
    <xf numFmtId="0" fontId="45" fillId="8" borderId="152" xfId="0" applyFont="1" applyFill="1" applyBorder="1" applyAlignment="1">
      <alignment horizontal="center" vertical="center"/>
    </xf>
    <xf numFmtId="3" fontId="45" fillId="8" borderId="171" xfId="0" applyNumberFormat="1" applyFont="1" applyFill="1" applyBorder="1" applyAlignment="1">
      <alignment horizontal="center" vertical="center" wrapText="1"/>
    </xf>
    <xf numFmtId="3" fontId="45" fillId="8" borderId="172" xfId="0" applyNumberFormat="1" applyFont="1" applyFill="1" applyBorder="1" applyAlignment="1">
      <alignment horizontal="center" vertical="center" wrapText="1"/>
    </xf>
    <xf numFmtId="3" fontId="45" fillId="8" borderId="30" xfId="0" applyNumberFormat="1" applyFont="1" applyFill="1" applyBorder="1" applyAlignment="1">
      <alignment horizontal="center" vertical="center" wrapText="1"/>
    </xf>
    <xf numFmtId="3" fontId="45" fillId="8" borderId="54" xfId="0" applyNumberFormat="1" applyFont="1" applyFill="1" applyBorder="1" applyAlignment="1">
      <alignment horizontal="center" vertical="center" wrapText="1"/>
    </xf>
    <xf numFmtId="3" fontId="45" fillId="8" borderId="173" xfId="0" applyNumberFormat="1" applyFont="1" applyFill="1" applyBorder="1" applyAlignment="1">
      <alignment horizontal="center" vertical="center" wrapText="1"/>
    </xf>
    <xf numFmtId="3" fontId="45" fillId="8" borderId="174" xfId="0" applyNumberFormat="1" applyFont="1" applyFill="1" applyBorder="1" applyAlignment="1">
      <alignment horizontal="center" vertical="center" wrapText="1"/>
    </xf>
    <xf numFmtId="169" fontId="45" fillId="8" borderId="214" xfId="0" applyNumberFormat="1" applyFont="1" applyFill="1" applyBorder="1" applyAlignment="1">
      <alignment horizontal="center" vertical="center" wrapText="1"/>
    </xf>
    <xf numFmtId="169" fontId="45" fillId="8" borderId="215" xfId="0" applyNumberFormat="1" applyFont="1" applyFill="1" applyBorder="1" applyAlignment="1">
      <alignment horizontal="center" vertical="center" wrapText="1"/>
    </xf>
    <xf numFmtId="169" fontId="45" fillId="8" borderId="216" xfId="0" applyNumberFormat="1" applyFont="1" applyFill="1" applyBorder="1" applyAlignment="1">
      <alignment horizontal="center" vertical="center" wrapText="1"/>
    </xf>
    <xf numFmtId="169" fontId="45" fillId="8" borderId="217" xfId="0" applyNumberFormat="1" applyFont="1" applyFill="1" applyBorder="1" applyAlignment="1">
      <alignment horizontal="center" vertical="center" wrapText="1"/>
    </xf>
    <xf numFmtId="169" fontId="45" fillId="8" borderId="218" xfId="0" applyNumberFormat="1" applyFont="1" applyFill="1" applyBorder="1" applyAlignment="1">
      <alignment horizontal="center" vertical="center" wrapText="1"/>
    </xf>
    <xf numFmtId="169" fontId="45" fillId="8" borderId="219" xfId="0" applyNumberFormat="1" applyFont="1" applyFill="1" applyBorder="1" applyAlignment="1">
      <alignment horizontal="center" vertical="center" wrapText="1"/>
    </xf>
    <xf numFmtId="0" fontId="45" fillId="8" borderId="196" xfId="0" applyFont="1" applyFill="1" applyBorder="1" applyAlignment="1">
      <alignment horizontal="center" vertical="center" wrapText="1"/>
    </xf>
    <xf numFmtId="0" fontId="45" fillId="8" borderId="200" xfId="0" applyFont="1" applyFill="1" applyBorder="1" applyAlignment="1">
      <alignment horizontal="center" vertical="center" wrapText="1"/>
    </xf>
    <xf numFmtId="0" fontId="45" fillId="8" borderId="204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45" fillId="8" borderId="87" xfId="0" applyFont="1" applyFill="1" applyBorder="1" applyAlignment="1">
      <alignment horizontal="center" vertical="center" wrapText="1"/>
    </xf>
    <xf numFmtId="0" fontId="45" fillId="8" borderId="1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5" fillId="8" borderId="168" xfId="0" applyFont="1" applyFill="1" applyBorder="1" applyAlignment="1">
      <alignment horizontal="center" vertical="center" wrapText="1"/>
    </xf>
    <xf numFmtId="0" fontId="45" fillId="8" borderId="86" xfId="0" applyFont="1" applyFill="1" applyBorder="1" applyAlignment="1">
      <alignment horizontal="center" vertical="center" wrapText="1"/>
    </xf>
    <xf numFmtId="0" fontId="45" fillId="8" borderId="201" xfId="0" applyFont="1" applyFill="1" applyBorder="1" applyAlignment="1">
      <alignment horizontal="center" vertical="center"/>
    </xf>
    <xf numFmtId="0" fontId="45" fillId="8" borderId="202" xfId="0" applyFont="1" applyFill="1" applyBorder="1" applyAlignment="1">
      <alignment horizontal="center" vertical="center"/>
    </xf>
    <xf numFmtId="0" fontId="45" fillId="8" borderId="203" xfId="0" applyFont="1" applyFill="1" applyBorder="1" applyAlignment="1">
      <alignment horizontal="center" vertical="center"/>
    </xf>
    <xf numFmtId="0" fontId="10" fillId="7" borderId="191" xfId="0" applyFont="1" applyFill="1" applyBorder="1" applyAlignment="1">
      <alignment horizontal="center" vertical="center" wrapText="1"/>
    </xf>
    <xf numFmtId="0" fontId="10" fillId="7" borderId="192" xfId="0" applyFont="1" applyFill="1" applyBorder="1" applyAlignment="1">
      <alignment horizontal="center" vertical="center" wrapText="1"/>
    </xf>
    <xf numFmtId="0" fontId="10" fillId="7" borderId="193" xfId="0" applyFont="1" applyFill="1" applyBorder="1" applyAlignment="1">
      <alignment horizontal="center" vertical="center" wrapText="1"/>
    </xf>
    <xf numFmtId="0" fontId="10" fillId="7" borderId="194" xfId="0" applyFont="1" applyFill="1" applyBorder="1" applyAlignment="1">
      <alignment horizontal="center" vertical="center" wrapText="1"/>
    </xf>
    <xf numFmtId="0" fontId="10" fillId="7" borderId="169" xfId="0" applyFont="1" applyFill="1" applyBorder="1" applyAlignment="1">
      <alignment horizontal="center" vertical="center"/>
    </xf>
    <xf numFmtId="0" fontId="10" fillId="7" borderId="153" xfId="0" applyFont="1" applyFill="1" applyBorder="1" applyAlignment="1">
      <alignment horizontal="center" vertical="center"/>
    </xf>
    <xf numFmtId="0" fontId="10" fillId="7" borderId="222" xfId="0" applyFont="1" applyFill="1" applyBorder="1" applyAlignment="1">
      <alignment horizontal="center" vertical="center"/>
    </xf>
    <xf numFmtId="0" fontId="10" fillId="7" borderId="202" xfId="0" applyFont="1" applyFill="1" applyBorder="1" applyAlignment="1">
      <alignment horizontal="center" vertical="center"/>
    </xf>
    <xf numFmtId="0" fontId="10" fillId="7" borderId="190" xfId="0" applyFont="1" applyFill="1" applyBorder="1" applyAlignment="1">
      <alignment horizontal="center" vertical="center"/>
    </xf>
    <xf numFmtId="0" fontId="10" fillId="7" borderId="175" xfId="0" applyFont="1" applyFill="1" applyBorder="1" applyAlignment="1">
      <alignment horizontal="center" vertical="center" wrapText="1"/>
    </xf>
    <xf numFmtId="0" fontId="10" fillId="7" borderId="88" xfId="0" applyFont="1" applyFill="1" applyBorder="1" applyAlignment="1">
      <alignment horizontal="center" vertical="center" wrapText="1"/>
    </xf>
    <xf numFmtId="0" fontId="10" fillId="7" borderId="176" xfId="0" applyFont="1" applyFill="1" applyBorder="1" applyAlignment="1">
      <alignment horizontal="center" vertical="center" wrapText="1"/>
    </xf>
    <xf numFmtId="0" fontId="10" fillId="7" borderId="77" xfId="0" applyFont="1" applyFill="1" applyBorder="1" applyAlignment="1">
      <alignment horizontal="center" vertical="center" wrapText="1"/>
    </xf>
    <xf numFmtId="0" fontId="10" fillId="7" borderId="143" xfId="0" applyFont="1" applyFill="1" applyBorder="1" applyAlignment="1">
      <alignment horizontal="center" vertical="center" wrapText="1"/>
    </xf>
    <xf numFmtId="0" fontId="10" fillId="7" borderId="12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left"/>
    </xf>
    <xf numFmtId="0" fontId="10" fillId="7" borderId="198" xfId="0" applyFont="1" applyFill="1" applyBorder="1" applyAlignment="1">
      <alignment horizontal="center" vertical="center" wrapText="1"/>
    </xf>
    <xf numFmtId="0" fontId="10" fillId="7" borderId="10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92" xfId="0" applyFont="1" applyFill="1" applyBorder="1" applyAlignment="1">
      <alignment horizontal="center" vertical="center" wrapText="1"/>
    </xf>
    <xf numFmtId="0" fontId="10" fillId="7" borderId="90" xfId="0" applyFont="1" applyFill="1" applyBorder="1" applyAlignment="1">
      <alignment horizontal="center" vertical="center" wrapText="1"/>
    </xf>
    <xf numFmtId="169" fontId="45" fillId="0" borderId="0" xfId="0" applyNumberFormat="1" applyFont="1" applyAlignment="1">
      <alignment horizontal="left"/>
    </xf>
    <xf numFmtId="0" fontId="10" fillId="7" borderId="211" xfId="0" applyFont="1" applyFill="1" applyBorder="1" applyAlignment="1">
      <alignment horizontal="center"/>
    </xf>
    <xf numFmtId="0" fontId="10" fillId="7" borderId="202" xfId="0" applyFont="1" applyFill="1" applyBorder="1" applyAlignment="1">
      <alignment horizontal="center"/>
    </xf>
    <xf numFmtId="0" fontId="10" fillId="7" borderId="212" xfId="0" applyFont="1" applyFill="1" applyBorder="1" applyAlignment="1">
      <alignment horizontal="center"/>
    </xf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to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-9"/>
      <sheetName val="C-10"/>
      <sheetName val="Ing.corr-k"/>
      <sheetName val="CA1"/>
      <sheetName val="CA2"/>
      <sheetName val="C-A3"/>
      <sheetName val="C-A4"/>
      <sheetName val="C-A5"/>
      <sheetName val="C-A6"/>
      <sheetName val="C-A6C"/>
      <sheetName val="C-A7"/>
      <sheetName val="C-A8A"/>
      <sheetName val="INVxOBJETO"/>
      <sheetName val="TRASLADO"/>
      <sheetName val="PTO LEY 2020-2021"/>
      <sheetName val="POR GRUPO"/>
      <sheetName val="Hoja4"/>
      <sheetName val="Hoja5"/>
      <sheetName val="Hoja1"/>
      <sheetName val="Hoja2"/>
      <sheetName val="C-A8"/>
      <sheetName val="Hoja6"/>
      <sheetName val="C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B11" t="str">
            <v xml:space="preserve"> I  Ingresos Corrientes</v>
          </cell>
          <cell r="C11">
            <v>141094806</v>
          </cell>
          <cell r="D11">
            <v>141094806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6" tint="0.39997558519241921"/>
  </sheetPr>
  <dimension ref="A1:N127"/>
  <sheetViews>
    <sheetView showGridLines="0" showZeros="0" tabSelected="1" topLeftCell="A202" workbookViewId="0">
      <pane ySplit="1830" topLeftCell="A5" activePane="bottomLeft"/>
      <selection activeCell="K204" sqref="K204"/>
      <selection pane="bottomLeft" activeCell="Q21" sqref="Q21"/>
    </sheetView>
  </sheetViews>
  <sheetFormatPr baseColWidth="10" defaultColWidth="11" defaultRowHeight="12.75" x14ac:dyDescent="0.2"/>
  <cols>
    <col min="1" max="1" width="14.85546875" style="3" customWidth="1"/>
    <col min="2" max="2" width="41.140625" style="25" customWidth="1"/>
    <col min="3" max="4" width="12.85546875" style="25" customWidth="1"/>
    <col min="5" max="5" width="11.42578125" style="25" customWidth="1"/>
    <col min="6" max="6" width="12.85546875" style="25" customWidth="1"/>
    <col min="7" max="7" width="11.5703125" style="25" customWidth="1"/>
    <col min="8" max="8" width="13" style="25" customWidth="1"/>
    <col min="9" max="9" width="12.85546875" style="3" customWidth="1"/>
    <col min="10" max="10" width="0.85546875" style="3" hidden="1" customWidth="1"/>
    <col min="11" max="12" width="11" style="3"/>
    <col min="13" max="13" width="15" style="3" customWidth="1"/>
    <col min="14" max="16384" width="11" style="3"/>
  </cols>
  <sheetData>
    <row r="1" spans="1:14" ht="21.75" customHeight="1" x14ac:dyDescent="0.25">
      <c r="A1"/>
      <c r="B1" s="609" t="s">
        <v>386</v>
      </c>
      <c r="C1" s="609"/>
      <c r="D1" s="609"/>
      <c r="E1" s="609"/>
      <c r="F1" s="609"/>
      <c r="G1" s="609"/>
      <c r="H1" s="609"/>
      <c r="I1" s="609"/>
      <c r="J1" s="31"/>
      <c r="K1" s="31"/>
      <c r="L1" s="31"/>
      <c r="M1" s="31"/>
    </row>
    <row r="2" spans="1:14" ht="18" customHeight="1" x14ac:dyDescent="0.25">
      <c r="A2"/>
      <c r="B2" s="609" t="s">
        <v>387</v>
      </c>
      <c r="C2" s="609"/>
      <c r="D2" s="609"/>
      <c r="E2" s="609"/>
      <c r="F2" s="609"/>
      <c r="G2" s="609"/>
      <c r="H2" s="609"/>
      <c r="I2" s="609"/>
      <c r="J2" s="31"/>
      <c r="K2" s="31"/>
      <c r="L2" s="31"/>
      <c r="M2" s="31"/>
    </row>
    <row r="3" spans="1:14" ht="15" x14ac:dyDescent="0.25">
      <c r="A3"/>
      <c r="B3" s="610" t="s">
        <v>545</v>
      </c>
      <c r="C3" s="610"/>
      <c r="D3" s="610"/>
      <c r="E3" s="610"/>
      <c r="F3" s="610"/>
      <c r="G3" s="610"/>
      <c r="H3" s="610"/>
      <c r="I3" s="610"/>
    </row>
    <row r="4" spans="1:14" ht="20.25" customHeight="1" x14ac:dyDescent="0.25">
      <c r="A4"/>
      <c r="B4" s="610" t="s">
        <v>555</v>
      </c>
      <c r="C4" s="610"/>
      <c r="D4" s="610"/>
      <c r="E4" s="610"/>
      <c r="F4" s="610"/>
      <c r="G4" s="610"/>
      <c r="H4" s="610"/>
      <c r="I4" s="610"/>
    </row>
    <row r="5" spans="1:14" ht="9.75" customHeight="1" x14ac:dyDescent="0.25">
      <c r="A5"/>
      <c r="B5" s="187"/>
      <c r="C5" s="187"/>
      <c r="D5" s="187"/>
      <c r="E5" s="187"/>
      <c r="F5" s="187"/>
      <c r="G5" s="187"/>
      <c r="H5"/>
      <c r="I5" t="s">
        <v>6</v>
      </c>
    </row>
    <row r="6" spans="1:14" ht="24" customHeight="1" x14ac:dyDescent="0.2">
      <c r="A6" s="607" t="s">
        <v>429</v>
      </c>
      <c r="B6" s="611" t="s">
        <v>0</v>
      </c>
      <c r="C6" s="615" t="s">
        <v>31</v>
      </c>
      <c r="D6" s="616"/>
      <c r="E6" s="617"/>
      <c r="F6" s="613" t="s">
        <v>35</v>
      </c>
      <c r="G6" s="613"/>
      <c r="H6" s="614" t="s">
        <v>1</v>
      </c>
      <c r="I6" s="614"/>
    </row>
    <row r="7" spans="1:14" ht="25.5" customHeight="1" x14ac:dyDescent="0.2">
      <c r="A7" s="608"/>
      <c r="B7" s="612"/>
      <c r="C7" s="188" t="s">
        <v>87</v>
      </c>
      <c r="D7" s="189" t="s">
        <v>12</v>
      </c>
      <c r="E7" s="190" t="s">
        <v>2</v>
      </c>
      <c r="F7" s="191" t="s">
        <v>36</v>
      </c>
      <c r="G7" s="192" t="s">
        <v>3</v>
      </c>
      <c r="H7" s="193" t="s">
        <v>4</v>
      </c>
      <c r="I7" s="194" t="s">
        <v>374</v>
      </c>
    </row>
    <row r="8" spans="1:14" ht="8.25" customHeight="1" x14ac:dyDescent="0.2">
      <c r="A8" s="72"/>
      <c r="B8" s="195" t="s">
        <v>6</v>
      </c>
      <c r="C8" s="195"/>
      <c r="D8" s="186"/>
      <c r="E8" s="196"/>
      <c r="F8" s="186"/>
      <c r="G8" s="186"/>
      <c r="H8" s="197"/>
      <c r="I8" s="198"/>
    </row>
    <row r="9" spans="1:14" ht="21.75" customHeight="1" x14ac:dyDescent="0.2">
      <c r="A9" s="72"/>
      <c r="B9" s="199" t="s">
        <v>7</v>
      </c>
      <c r="C9" s="200">
        <f>+C11+C34</f>
        <v>198000000</v>
      </c>
      <c r="D9" s="201">
        <f>+D11+D34</f>
        <v>198000000</v>
      </c>
      <c r="E9" s="201">
        <f>+E11+E34</f>
        <v>88255630</v>
      </c>
      <c r="F9" s="571">
        <f>+F11+F34</f>
        <v>885086.32</v>
      </c>
      <c r="G9" s="201">
        <v>32657807.939999998</v>
      </c>
      <c r="H9" s="202">
        <f>+G9-E9</f>
        <v>-55597822.060000002</v>
      </c>
      <c r="I9" s="203">
        <f>+G9/E9*100</f>
        <v>37.003653976522514</v>
      </c>
      <c r="J9" s="73">
        <v>31772721.619999997</v>
      </c>
      <c r="L9" s="73"/>
      <c r="N9" s="3" t="s">
        <v>6</v>
      </c>
    </row>
    <row r="10" spans="1:14" ht="9.9499999999999993" customHeight="1" x14ac:dyDescent="0.2">
      <c r="A10" s="72"/>
      <c r="B10" s="199"/>
      <c r="C10" s="200"/>
      <c r="D10" s="204"/>
      <c r="E10" s="204"/>
      <c r="F10" s="572"/>
      <c r="G10" s="204"/>
      <c r="H10" s="205"/>
      <c r="I10" s="206"/>
      <c r="N10" s="3" t="s">
        <v>6</v>
      </c>
    </row>
    <row r="11" spans="1:14" ht="21" customHeight="1" x14ac:dyDescent="0.2">
      <c r="A11" s="207" t="s">
        <v>449</v>
      </c>
      <c r="B11" s="207" t="s">
        <v>8</v>
      </c>
      <c r="C11" s="208">
        <f t="shared" ref="C11:G11" si="0">+C13</f>
        <v>141094806</v>
      </c>
      <c r="D11" s="204">
        <f t="shared" si="0"/>
        <v>141094806</v>
      </c>
      <c r="E11" s="204">
        <f t="shared" si="0"/>
        <v>59899824</v>
      </c>
      <c r="F11" s="572">
        <f>+F13</f>
        <v>885086.32</v>
      </c>
      <c r="G11" s="204">
        <v>20577450.939999998</v>
      </c>
      <c r="H11" s="202">
        <f t="shared" ref="H11:H45" si="1">+G11-E11</f>
        <v>-39322373.060000002</v>
      </c>
      <c r="I11" s="203">
        <f>+G11/E11*100</f>
        <v>34.353107514973665</v>
      </c>
      <c r="J11" s="3">
        <v>19692364.619999997</v>
      </c>
      <c r="M11" s="575"/>
    </row>
    <row r="12" spans="1:14" ht="9.9499999999999993" customHeight="1" x14ac:dyDescent="0.2">
      <c r="A12" s="72"/>
      <c r="B12" s="209"/>
      <c r="C12" s="210"/>
      <c r="D12" s="211"/>
      <c r="E12" s="212" t="s">
        <v>6</v>
      </c>
      <c r="F12" s="573"/>
      <c r="G12" s="212"/>
      <c r="H12" s="213"/>
      <c r="I12" s="214" t="s">
        <v>6</v>
      </c>
      <c r="M12" s="575"/>
    </row>
    <row r="13" spans="1:14" ht="21" customHeight="1" x14ac:dyDescent="0.2">
      <c r="A13" s="207" t="s">
        <v>431</v>
      </c>
      <c r="B13" s="199" t="s">
        <v>450</v>
      </c>
      <c r="C13" s="200">
        <f>+C15+C21+C26+C31</f>
        <v>141094806</v>
      </c>
      <c r="D13" s="204">
        <f>+D15+D21+D26+D31</f>
        <v>141094806</v>
      </c>
      <c r="E13" s="204">
        <f>+E15+E21+E26+E31</f>
        <v>59899824</v>
      </c>
      <c r="F13" s="572">
        <f>+F15+F21+F26+F31</f>
        <v>885086.32</v>
      </c>
      <c r="G13" s="204">
        <v>20577450.939999998</v>
      </c>
      <c r="H13" s="202">
        <f t="shared" si="1"/>
        <v>-39322373.060000002</v>
      </c>
      <c r="I13" s="203">
        <f>+G13/E13*100</f>
        <v>34.353107514973665</v>
      </c>
      <c r="J13" s="160">
        <v>19692364.619999997</v>
      </c>
      <c r="K13" s="4"/>
      <c r="L13" s="575" t="s">
        <v>6</v>
      </c>
      <c r="M13" s="575"/>
    </row>
    <row r="14" spans="1:14" ht="9.9499999999999993" customHeight="1" x14ac:dyDescent="0.2">
      <c r="A14" s="207"/>
      <c r="B14" s="215"/>
      <c r="C14" s="216"/>
      <c r="D14" s="212"/>
      <c r="E14" s="212"/>
      <c r="F14" s="573"/>
      <c r="G14" s="212" t="s">
        <v>6</v>
      </c>
      <c r="H14" s="213" t="s">
        <v>6</v>
      </c>
      <c r="I14" s="214" t="s">
        <v>6</v>
      </c>
      <c r="J14" s="4" t="s">
        <v>6</v>
      </c>
      <c r="K14" s="4"/>
      <c r="M14" s="575"/>
    </row>
    <row r="15" spans="1:14" ht="21" customHeight="1" x14ac:dyDescent="0.2">
      <c r="A15" s="207" t="s">
        <v>430</v>
      </c>
      <c r="B15" s="199" t="s">
        <v>516</v>
      </c>
      <c r="C15" s="200">
        <f>+C17</f>
        <v>5476492</v>
      </c>
      <c r="D15" s="204">
        <f>SUM(D18:D19)</f>
        <v>5476492</v>
      </c>
      <c r="E15" s="204">
        <f>E17</f>
        <v>2202262</v>
      </c>
      <c r="F15" s="572">
        <f>SUM(F18:F19)</f>
        <v>199263.9</v>
      </c>
      <c r="G15" s="204">
        <v>808342.86</v>
      </c>
      <c r="H15" s="202">
        <f t="shared" si="1"/>
        <v>-1393919.1400000001</v>
      </c>
      <c r="I15" s="203">
        <f>+G15/E15*100</f>
        <v>36.705117738034801</v>
      </c>
      <c r="J15" s="4">
        <v>609078.96</v>
      </c>
      <c r="K15" s="4"/>
      <c r="M15" s="575"/>
    </row>
    <row r="16" spans="1:14" ht="11.45" customHeight="1" x14ac:dyDescent="0.2">
      <c r="A16" s="207"/>
      <c r="B16" s="199"/>
      <c r="C16" s="200"/>
      <c r="D16" s="212"/>
      <c r="E16" s="204"/>
      <c r="F16" s="572"/>
      <c r="G16" s="204"/>
      <c r="H16" s="202"/>
      <c r="I16" s="203"/>
      <c r="J16" s="4"/>
      <c r="K16" s="4"/>
    </row>
    <row r="17" spans="1:14" ht="19.149999999999999" customHeight="1" x14ac:dyDescent="0.2">
      <c r="A17" s="207" t="s">
        <v>453</v>
      </c>
      <c r="B17" s="217" t="s">
        <v>517</v>
      </c>
      <c r="C17" s="218">
        <f>+C18+C19</f>
        <v>5476492</v>
      </c>
      <c r="D17" s="204">
        <f>+D18+D19</f>
        <v>5476492</v>
      </c>
      <c r="E17" s="204">
        <f>SUM(E18:E19)</f>
        <v>2202262</v>
      </c>
      <c r="F17" s="572">
        <f>SUM(F18:F19)</f>
        <v>199263.9</v>
      </c>
      <c r="G17" s="219">
        <v>808342.86</v>
      </c>
      <c r="H17" s="202">
        <f t="shared" si="1"/>
        <v>-1393919.1400000001</v>
      </c>
      <c r="I17" s="214">
        <f>+G17/E17*100</f>
        <v>36.705117738034801</v>
      </c>
      <c r="J17" s="3">
        <v>609078.96</v>
      </c>
    </row>
    <row r="18" spans="1:14" ht="24.95" customHeight="1" x14ac:dyDescent="0.2">
      <c r="A18" s="209" t="s">
        <v>493</v>
      </c>
      <c r="B18" s="215" t="s">
        <v>518</v>
      </c>
      <c r="C18" s="216">
        <v>700000</v>
      </c>
      <c r="D18" s="212">
        <v>700000</v>
      </c>
      <c r="E18" s="212">
        <f>58333+58333+58333+58333+58333</f>
        <v>291665</v>
      </c>
      <c r="F18" s="574">
        <v>3262.83</v>
      </c>
      <c r="G18" s="220">
        <v>368432.03</v>
      </c>
      <c r="H18" s="213">
        <f t="shared" si="1"/>
        <v>76767.030000000028</v>
      </c>
      <c r="I18" s="214">
        <f>+G18/E18*100</f>
        <v>126.32027497299984</v>
      </c>
      <c r="J18" s="3">
        <v>365169.2</v>
      </c>
      <c r="M18" s="575"/>
      <c r="N18" s="3" t="s">
        <v>6</v>
      </c>
    </row>
    <row r="19" spans="1:14" ht="24.95" customHeight="1" x14ac:dyDescent="0.2">
      <c r="A19" s="209" t="s">
        <v>432</v>
      </c>
      <c r="B19" s="215" t="s">
        <v>519</v>
      </c>
      <c r="C19" s="216">
        <v>4776492</v>
      </c>
      <c r="D19" s="212">
        <v>4776492</v>
      </c>
      <c r="E19" s="212">
        <f>318433+318433+318433+477649+477649</f>
        <v>1910597</v>
      </c>
      <c r="F19" s="574">
        <v>196001.07</v>
      </c>
      <c r="G19" s="220">
        <v>439910.83</v>
      </c>
      <c r="H19" s="213">
        <f t="shared" si="1"/>
        <v>-1470686.17</v>
      </c>
      <c r="I19" s="214">
        <f>+G19/E19*100</f>
        <v>23.024783876453277</v>
      </c>
      <c r="J19" s="3">
        <v>243909.76000000001</v>
      </c>
    </row>
    <row r="20" spans="1:14" ht="9.9499999999999993" customHeight="1" x14ac:dyDescent="0.2">
      <c r="A20" s="207"/>
      <c r="B20" s="215" t="s">
        <v>6</v>
      </c>
      <c r="C20" s="216"/>
      <c r="D20" s="212" t="s">
        <v>6</v>
      </c>
      <c r="E20" s="212"/>
      <c r="F20" s="573"/>
      <c r="G20" s="212"/>
      <c r="H20" s="213"/>
      <c r="I20" s="214" t="s">
        <v>6</v>
      </c>
    </row>
    <row r="21" spans="1:14" ht="24.95" customHeight="1" x14ac:dyDescent="0.2">
      <c r="A21" s="207" t="s">
        <v>433</v>
      </c>
      <c r="B21" s="199" t="s">
        <v>434</v>
      </c>
      <c r="C21" s="200">
        <f>+C23</f>
        <v>127866634</v>
      </c>
      <c r="D21" s="204">
        <f>SUM(D23:D23)</f>
        <v>127866634</v>
      </c>
      <c r="E21" s="204">
        <f>SUM(E23)</f>
        <v>54583388</v>
      </c>
      <c r="F21" s="572">
        <f>F23</f>
        <v>0</v>
      </c>
      <c r="G21" s="219">
        <v>15458982</v>
      </c>
      <c r="H21" s="202">
        <f>+G21-E21</f>
        <v>-39124406</v>
      </c>
      <c r="I21" s="203">
        <f>+G21/E21*100</f>
        <v>28.321770718959407</v>
      </c>
      <c r="J21" s="3">
        <v>15458982</v>
      </c>
      <c r="M21" s="575"/>
    </row>
    <row r="22" spans="1:14" ht="5.25" customHeight="1" x14ac:dyDescent="0.2">
      <c r="A22" s="207"/>
      <c r="B22" s="215"/>
      <c r="C22" s="216"/>
      <c r="D22" s="212"/>
      <c r="E22" s="212"/>
      <c r="F22" s="573"/>
      <c r="G22" s="220">
        <v>0</v>
      </c>
      <c r="H22" s="213">
        <f t="shared" si="1"/>
        <v>0</v>
      </c>
      <c r="I22" s="214" t="s">
        <v>6</v>
      </c>
      <c r="J22" s="3">
        <v>0</v>
      </c>
    </row>
    <row r="23" spans="1:14" ht="24.75" customHeight="1" x14ac:dyDescent="0.2">
      <c r="A23" s="207" t="s">
        <v>435</v>
      </c>
      <c r="B23" s="199" t="s">
        <v>520</v>
      </c>
      <c r="C23" s="200">
        <f>+C25</f>
        <v>127866634</v>
      </c>
      <c r="D23" s="204">
        <f>+D25</f>
        <v>127866634</v>
      </c>
      <c r="E23" s="204">
        <f>E25</f>
        <v>54583388</v>
      </c>
      <c r="F23" s="572">
        <f>F25</f>
        <v>0</v>
      </c>
      <c r="G23" s="219">
        <v>15458982</v>
      </c>
      <c r="H23" s="202">
        <f t="shared" si="1"/>
        <v>-39124406</v>
      </c>
      <c r="I23" s="203">
        <f>+G23/E23*100</f>
        <v>28.321770718959407</v>
      </c>
      <c r="J23" s="3">
        <v>15458982</v>
      </c>
    </row>
    <row r="24" spans="1:14" ht="10.15" customHeight="1" x14ac:dyDescent="0.2">
      <c r="A24" s="207"/>
      <c r="B24" s="215"/>
      <c r="C24" s="216"/>
      <c r="D24" s="212"/>
      <c r="E24" s="212"/>
      <c r="F24" s="573"/>
      <c r="G24" s="220">
        <v>0</v>
      </c>
      <c r="H24" s="213">
        <f t="shared" si="1"/>
        <v>0</v>
      </c>
      <c r="I24" s="214" t="s">
        <v>6</v>
      </c>
      <c r="J24" s="3">
        <v>0</v>
      </c>
    </row>
    <row r="25" spans="1:14" ht="22.15" customHeight="1" x14ac:dyDescent="0.2">
      <c r="A25" s="209" t="s">
        <v>436</v>
      </c>
      <c r="B25" s="215" t="s">
        <v>451</v>
      </c>
      <c r="C25" s="216">
        <v>127866634</v>
      </c>
      <c r="D25" s="212">
        <v>127866634</v>
      </c>
      <c r="E25" s="212">
        <f>13488927+12100174+10105532+9486893+9401862</f>
        <v>54583388</v>
      </c>
      <c r="F25" s="573"/>
      <c r="G25" s="220">
        <v>15458982</v>
      </c>
      <c r="H25" s="213">
        <f>G25-E25</f>
        <v>-39124406</v>
      </c>
      <c r="I25" s="214">
        <f>+G25/E25*100</f>
        <v>28.321770718959407</v>
      </c>
      <c r="J25" s="3">
        <v>15458982</v>
      </c>
    </row>
    <row r="26" spans="1:14" ht="24.95" customHeight="1" x14ac:dyDescent="0.2">
      <c r="A26" s="207" t="s">
        <v>437</v>
      </c>
      <c r="B26" s="199" t="s">
        <v>9</v>
      </c>
      <c r="C26" s="200">
        <f>+C27+C28+C29</f>
        <v>5251680</v>
      </c>
      <c r="D26" s="204">
        <f>SUM(D27:D29)</f>
        <v>5251680</v>
      </c>
      <c r="E26" s="204">
        <f>SUM(E27:E29)</f>
        <v>2114173</v>
      </c>
      <c r="F26" s="572">
        <f>F27+F28+F29</f>
        <v>479425.94</v>
      </c>
      <c r="G26" s="204">
        <v>3896172.24</v>
      </c>
      <c r="H26" s="202">
        <f t="shared" si="1"/>
        <v>1781999.2400000002</v>
      </c>
      <c r="I26" s="203">
        <f>+G26/E26*100</f>
        <v>184.28824131232403</v>
      </c>
      <c r="J26" s="3">
        <v>3416746.3000000003</v>
      </c>
    </row>
    <row r="27" spans="1:14" ht="24.95" customHeight="1" x14ac:dyDescent="0.2">
      <c r="A27" s="209" t="s">
        <v>438</v>
      </c>
      <c r="B27" s="215" t="s">
        <v>521</v>
      </c>
      <c r="C27" s="216">
        <v>410082</v>
      </c>
      <c r="D27" s="212">
        <v>410082</v>
      </c>
      <c r="E27" s="212">
        <f>34173+34173+34173+34173+34173</f>
        <v>170865</v>
      </c>
      <c r="F27" s="573">
        <v>41909.99</v>
      </c>
      <c r="G27" s="212">
        <v>381428.86999999994</v>
      </c>
      <c r="H27" s="213">
        <f>+G27-E27</f>
        <v>210563.86999999994</v>
      </c>
      <c r="I27" s="214">
        <f>+G27/E27*100</f>
        <v>223.23405612618146</v>
      </c>
      <c r="J27" s="3">
        <v>339518.87999999995</v>
      </c>
    </row>
    <row r="28" spans="1:14" ht="24.95" customHeight="1" x14ac:dyDescent="0.2">
      <c r="A28" s="209" t="s">
        <v>440</v>
      </c>
      <c r="B28" s="215" t="s">
        <v>522</v>
      </c>
      <c r="C28" s="216">
        <v>4774884</v>
      </c>
      <c r="D28" s="212">
        <v>4774884</v>
      </c>
      <c r="E28" s="212">
        <f>318326+318326+318326+477488+477488</f>
        <v>1909954</v>
      </c>
      <c r="F28" s="573">
        <v>433995.34</v>
      </c>
      <c r="G28" s="212">
        <v>3458108.9</v>
      </c>
      <c r="H28" s="213">
        <f t="shared" si="1"/>
        <v>1548154.9</v>
      </c>
      <c r="I28" s="214">
        <f>+G28/E28*100</f>
        <v>181.05718252900331</v>
      </c>
      <c r="J28" s="3">
        <f>3024111.61+1.95</f>
        <v>3024113.56</v>
      </c>
    </row>
    <row r="29" spans="1:14" ht="24.95" customHeight="1" x14ac:dyDescent="0.2">
      <c r="A29" s="209" t="s">
        <v>439</v>
      </c>
      <c r="B29" s="215" t="s">
        <v>523</v>
      </c>
      <c r="C29" s="216">
        <v>66714</v>
      </c>
      <c r="D29" s="212">
        <v>66714</v>
      </c>
      <c r="E29" s="212">
        <f>11118+5559+5559+5559+5559</f>
        <v>33354</v>
      </c>
      <c r="F29" s="573">
        <v>3520.61</v>
      </c>
      <c r="G29" s="212">
        <v>56634.42</v>
      </c>
      <c r="H29" s="213">
        <f t="shared" si="1"/>
        <v>23280.42</v>
      </c>
      <c r="I29" s="214">
        <f>+G29/E29*100</f>
        <v>169.79798524914554</v>
      </c>
      <c r="J29" s="3">
        <v>53113.81</v>
      </c>
    </row>
    <row r="30" spans="1:14" ht="9.9499999999999993" customHeight="1" x14ac:dyDescent="0.2">
      <c r="A30" s="207" t="s">
        <v>6</v>
      </c>
      <c r="B30" s="215"/>
      <c r="C30" s="216"/>
      <c r="D30" s="212"/>
      <c r="E30" s="212"/>
      <c r="F30" s="573"/>
      <c r="G30" s="212">
        <v>0</v>
      </c>
      <c r="H30" s="213">
        <f>+G30-E30</f>
        <v>0</v>
      </c>
      <c r="I30" s="214" t="s">
        <v>6</v>
      </c>
      <c r="J30" s="3">
        <v>0</v>
      </c>
    </row>
    <row r="31" spans="1:14" ht="24.95" customHeight="1" x14ac:dyDescent="0.2">
      <c r="A31" s="207" t="s">
        <v>441</v>
      </c>
      <c r="B31" s="199" t="s">
        <v>10</v>
      </c>
      <c r="C31" s="200">
        <f>+C32</f>
        <v>2500000</v>
      </c>
      <c r="D31" s="204">
        <f>SUM(D32)</f>
        <v>2500000</v>
      </c>
      <c r="E31" s="204">
        <f>SUM(E32)</f>
        <v>1000001</v>
      </c>
      <c r="F31" s="572">
        <f>F32</f>
        <v>206396.48</v>
      </c>
      <c r="G31" s="204">
        <v>413953.83999999997</v>
      </c>
      <c r="H31" s="202">
        <f t="shared" si="1"/>
        <v>-586047.16</v>
      </c>
      <c r="I31" s="203">
        <f>+G31/E31*100</f>
        <v>41.395342604657394</v>
      </c>
      <c r="J31" s="3">
        <v>207557.36</v>
      </c>
    </row>
    <row r="32" spans="1:14" ht="24.95" customHeight="1" x14ac:dyDescent="0.2">
      <c r="A32" s="207" t="s">
        <v>442</v>
      </c>
      <c r="B32" s="215" t="s">
        <v>524</v>
      </c>
      <c r="C32" s="216">
        <v>2500000</v>
      </c>
      <c r="D32" s="212">
        <v>2500000</v>
      </c>
      <c r="E32" s="212">
        <f>166667+166667+166667+250000+250000</f>
        <v>1000001</v>
      </c>
      <c r="F32" s="573">
        <v>206396.48</v>
      </c>
      <c r="G32" s="212">
        <v>413953.83999999997</v>
      </c>
      <c r="H32" s="213">
        <f t="shared" si="1"/>
        <v>-586047.16</v>
      </c>
      <c r="I32" s="214">
        <f>+G32/E32*100</f>
        <v>41.395342604657394</v>
      </c>
      <c r="J32" s="3">
        <v>207557.36</v>
      </c>
    </row>
    <row r="33" spans="1:10" ht="9.9499999999999993" customHeight="1" x14ac:dyDescent="0.2">
      <c r="A33" s="207"/>
      <c r="B33" s="215"/>
      <c r="C33" s="216"/>
      <c r="D33" s="212"/>
      <c r="E33" s="212"/>
      <c r="F33" s="573"/>
      <c r="G33" s="212">
        <v>0</v>
      </c>
      <c r="H33" s="213"/>
      <c r="I33" s="214"/>
      <c r="J33" s="3">
        <v>0</v>
      </c>
    </row>
    <row r="34" spans="1:10" ht="24.95" customHeight="1" x14ac:dyDescent="0.2">
      <c r="A34" s="207" t="s">
        <v>443</v>
      </c>
      <c r="B34" s="199" t="s">
        <v>11</v>
      </c>
      <c r="C34" s="200">
        <f>+C36+C40</f>
        <v>56905194</v>
      </c>
      <c r="D34" s="204">
        <f>+D40+D36</f>
        <v>56905194</v>
      </c>
      <c r="E34" s="204">
        <f>+E40+E36</f>
        <v>28355806</v>
      </c>
      <c r="F34" s="572">
        <f>+F40+F36</f>
        <v>0</v>
      </c>
      <c r="G34" s="204">
        <v>12080357</v>
      </c>
      <c r="H34" s="202">
        <f>G34-E34</f>
        <v>-16275449</v>
      </c>
      <c r="I34" s="203">
        <f>+G34/E34*100</f>
        <v>42.602763610387235</v>
      </c>
      <c r="J34" s="73">
        <v>12080357</v>
      </c>
    </row>
    <row r="35" spans="1:10" ht="9.9499999999999993" customHeight="1" x14ac:dyDescent="0.2">
      <c r="A35" s="207"/>
      <c r="B35" s="215"/>
      <c r="C35" s="216"/>
      <c r="D35" s="212"/>
      <c r="E35" s="212"/>
      <c r="F35" s="573"/>
      <c r="G35" s="212"/>
      <c r="H35" s="213"/>
      <c r="I35" s="214"/>
    </row>
    <row r="36" spans="1:10" ht="18" customHeight="1" x14ac:dyDescent="0.2">
      <c r="A36" s="207" t="s">
        <v>444</v>
      </c>
      <c r="B36" s="199" t="s">
        <v>514</v>
      </c>
      <c r="C36" s="200">
        <f>+C37</f>
        <v>54805194</v>
      </c>
      <c r="D36" s="204">
        <f>D37</f>
        <v>54805194</v>
      </c>
      <c r="E36" s="204">
        <f t="shared" ref="E36:E38" si="2">E37</f>
        <v>27305806</v>
      </c>
      <c r="F36" s="572">
        <f t="shared" ref="F36:G38" si="3">F37</f>
        <v>0</v>
      </c>
      <c r="G36" s="204">
        <v>11030357</v>
      </c>
      <c r="H36" s="202">
        <f>H37</f>
        <v>-16275449</v>
      </c>
      <c r="I36" s="203">
        <f>I37</f>
        <v>40.395646991705718</v>
      </c>
      <c r="J36" s="3">
        <v>11030357</v>
      </c>
    </row>
    <row r="37" spans="1:10" ht="18" customHeight="1" x14ac:dyDescent="0.2">
      <c r="A37" s="209" t="s">
        <v>445</v>
      </c>
      <c r="B37" s="215" t="s">
        <v>525</v>
      </c>
      <c r="C37" s="216">
        <f>+C38</f>
        <v>54805194</v>
      </c>
      <c r="D37" s="212">
        <f>D38</f>
        <v>54805194</v>
      </c>
      <c r="E37" s="212">
        <f t="shared" si="2"/>
        <v>27305806</v>
      </c>
      <c r="F37" s="573"/>
      <c r="G37" s="212">
        <v>11030357</v>
      </c>
      <c r="H37" s="213">
        <f>H38</f>
        <v>-16275449</v>
      </c>
      <c r="I37" s="214">
        <f>G37/E37*100</f>
        <v>40.395646991705718</v>
      </c>
      <c r="J37" s="3">
        <v>11030357</v>
      </c>
    </row>
    <row r="38" spans="1:10" ht="18" customHeight="1" x14ac:dyDescent="0.2">
      <c r="A38" s="209" t="s">
        <v>446</v>
      </c>
      <c r="B38" s="215" t="s">
        <v>529</v>
      </c>
      <c r="C38" s="216">
        <f>+C39</f>
        <v>54805194</v>
      </c>
      <c r="D38" s="212">
        <f>D39</f>
        <v>54805194</v>
      </c>
      <c r="E38" s="212">
        <f t="shared" si="2"/>
        <v>27305806</v>
      </c>
      <c r="F38" s="573"/>
      <c r="G38" s="212">
        <v>11030357</v>
      </c>
      <c r="H38" s="213">
        <f>H39</f>
        <v>-16275449</v>
      </c>
      <c r="I38" s="214">
        <f>G38/E38*100</f>
        <v>40.395646991705718</v>
      </c>
      <c r="J38" s="3">
        <v>11030357</v>
      </c>
    </row>
    <row r="39" spans="1:10" ht="18" customHeight="1" x14ac:dyDescent="0.2">
      <c r="A39" s="209" t="s">
        <v>447</v>
      </c>
      <c r="B39" s="215" t="s">
        <v>452</v>
      </c>
      <c r="C39" s="216">
        <v>54805194</v>
      </c>
      <c r="D39" s="212">
        <v>54805194</v>
      </c>
      <c r="E39" s="212">
        <f>10825352+115494+89511+16187291+88158</f>
        <v>27305806</v>
      </c>
      <c r="F39" s="573"/>
      <c r="G39" s="212">
        <v>11030357</v>
      </c>
      <c r="H39" s="213">
        <f>G39-E39</f>
        <v>-16275449</v>
      </c>
      <c r="I39" s="214">
        <f>G39/E39*100</f>
        <v>40.395646991705718</v>
      </c>
      <c r="J39" s="3">
        <v>11030357</v>
      </c>
    </row>
    <row r="40" spans="1:10" ht="24.95" customHeight="1" x14ac:dyDescent="0.2">
      <c r="A40" s="207" t="s">
        <v>448</v>
      </c>
      <c r="B40" s="199" t="s">
        <v>515</v>
      </c>
      <c r="C40" s="200">
        <f>+C41</f>
        <v>2100000</v>
      </c>
      <c r="D40" s="204">
        <f>SUM(D41)</f>
        <v>2100000</v>
      </c>
      <c r="E40" s="204">
        <f t="shared" ref="E40:E42" si="4">E41</f>
        <v>1050000</v>
      </c>
      <c r="F40" s="572">
        <f>F41</f>
        <v>0</v>
      </c>
      <c r="G40" s="204">
        <v>1050000</v>
      </c>
      <c r="H40" s="202">
        <f t="shared" si="1"/>
        <v>0</v>
      </c>
      <c r="I40" s="203">
        <f>+G40/E40*100</f>
        <v>100</v>
      </c>
      <c r="J40" s="3">
        <v>1050000</v>
      </c>
    </row>
    <row r="41" spans="1:10" ht="24.95" customHeight="1" x14ac:dyDescent="0.2">
      <c r="A41" s="209" t="s">
        <v>494</v>
      </c>
      <c r="B41" s="215" t="s">
        <v>526</v>
      </c>
      <c r="C41" s="216">
        <f>+C42</f>
        <v>2100000</v>
      </c>
      <c r="D41" s="212">
        <f>+D42</f>
        <v>2100000</v>
      </c>
      <c r="E41" s="212">
        <f>+E42</f>
        <v>1050000</v>
      </c>
      <c r="F41" s="573"/>
      <c r="G41" s="212">
        <v>1050000</v>
      </c>
      <c r="H41" s="213">
        <f t="shared" si="1"/>
        <v>0</v>
      </c>
      <c r="I41" s="214">
        <f>+G41/E41*100</f>
        <v>100</v>
      </c>
      <c r="J41" s="3">
        <v>1050000</v>
      </c>
    </row>
    <row r="42" spans="1:10" ht="17.45" customHeight="1" x14ac:dyDescent="0.2">
      <c r="A42" s="209" t="s">
        <v>495</v>
      </c>
      <c r="B42" s="215" t="s">
        <v>527</v>
      </c>
      <c r="C42" s="216">
        <f>+C43</f>
        <v>2100000</v>
      </c>
      <c r="D42" s="212">
        <f>D43</f>
        <v>2100000</v>
      </c>
      <c r="E42" s="212">
        <f t="shared" si="4"/>
        <v>1050000</v>
      </c>
      <c r="F42" s="573"/>
      <c r="G42" s="212">
        <v>1050000</v>
      </c>
      <c r="H42" s="213">
        <f t="shared" si="1"/>
        <v>0</v>
      </c>
      <c r="I42" s="214">
        <f>G42/E42*100</f>
        <v>100</v>
      </c>
      <c r="J42" s="3">
        <v>1050000</v>
      </c>
    </row>
    <row r="43" spans="1:10" ht="17.45" customHeight="1" x14ac:dyDescent="0.2">
      <c r="A43" s="209" t="s">
        <v>496</v>
      </c>
      <c r="B43" s="215" t="s">
        <v>528</v>
      </c>
      <c r="C43" s="216">
        <v>2100000</v>
      </c>
      <c r="D43" s="212">
        <v>2100000</v>
      </c>
      <c r="E43" s="212">
        <f>420000+630000</f>
        <v>1050000</v>
      </c>
      <c r="F43" s="573"/>
      <c r="G43" s="212">
        <v>1050000</v>
      </c>
      <c r="H43" s="213">
        <f t="shared" si="1"/>
        <v>0</v>
      </c>
      <c r="I43" s="214">
        <f>G43/E43*100</f>
        <v>100</v>
      </c>
      <c r="J43" s="3">
        <v>1050000</v>
      </c>
    </row>
    <row r="44" spans="1:10" ht="16.899999999999999" customHeight="1" x14ac:dyDescent="0.2">
      <c r="A44" s="221"/>
      <c r="B44" s="215"/>
      <c r="C44" s="222"/>
      <c r="D44" s="222"/>
      <c r="E44" s="212"/>
      <c r="F44" s="573"/>
      <c r="G44" s="212"/>
      <c r="H44" s="213"/>
      <c r="I44" s="223"/>
    </row>
    <row r="45" spans="1:10" ht="24.6" hidden="1" customHeight="1" x14ac:dyDescent="0.2">
      <c r="A45" s="207"/>
      <c r="B45" s="199" t="s">
        <v>375</v>
      </c>
      <c r="C45" s="199"/>
      <c r="D45" s="204">
        <f>SUM(D47)</f>
        <v>5210534</v>
      </c>
      <c r="E45" s="204">
        <f>SUM(E47)</f>
        <v>4639377</v>
      </c>
      <c r="F45" s="204">
        <f>SUM(F47:F47)</f>
        <v>1797741</v>
      </c>
      <c r="G45" s="204" t="e">
        <f>#REF!+F45</f>
        <v>#REF!</v>
      </c>
      <c r="H45" s="202" t="e">
        <f t="shared" si="1"/>
        <v>#REF!</v>
      </c>
      <c r="I45" s="203" t="e">
        <f>+G45/E45*100</f>
        <v>#REF!</v>
      </c>
      <c r="J45" s="3">
        <v>4639377</v>
      </c>
    </row>
    <row r="46" spans="1:10" ht="9.6" hidden="1" customHeight="1" x14ac:dyDescent="0.2">
      <c r="A46" s="207"/>
      <c r="B46" s="215"/>
      <c r="C46" s="215"/>
      <c r="D46" s="212"/>
      <c r="E46" s="212"/>
      <c r="F46" s="212"/>
      <c r="G46" s="220">
        <f>F46</f>
        <v>0</v>
      </c>
      <c r="H46" s="213" t="s">
        <v>6</v>
      </c>
      <c r="I46" s="214" t="s">
        <v>6</v>
      </c>
      <c r="J46" s="3">
        <v>0</v>
      </c>
    </row>
    <row r="47" spans="1:10" ht="24.6" hidden="1" customHeight="1" x14ac:dyDescent="0.2">
      <c r="A47" s="207"/>
      <c r="B47" s="215" t="s">
        <v>37</v>
      </c>
      <c r="C47" s="215"/>
      <c r="D47" s="212">
        <v>5210534</v>
      </c>
      <c r="E47" s="212">
        <v>4639377</v>
      </c>
      <c r="F47" s="224">
        <f>1779848+17893</f>
        <v>1797741</v>
      </c>
      <c r="G47" s="220" t="e">
        <f>F47+#REF!</f>
        <v>#REF!</v>
      </c>
      <c r="H47" s="213" t="e">
        <f>+G47-E47</f>
        <v>#REF!</v>
      </c>
      <c r="I47" s="214" t="e">
        <f>+G47/E47*100</f>
        <v>#REF!</v>
      </c>
      <c r="J47" s="3">
        <v>4639377</v>
      </c>
    </row>
    <row r="48" spans="1:10" ht="7.15" hidden="1" customHeight="1" x14ac:dyDescent="0.2">
      <c r="A48" s="72"/>
      <c r="B48" s="225"/>
      <c r="C48" s="226"/>
      <c r="D48" s="227"/>
      <c r="E48" s="222" t="s">
        <v>6</v>
      </c>
      <c r="F48" s="228" t="s">
        <v>6</v>
      </c>
      <c r="G48" s="222" t="s">
        <v>6</v>
      </c>
      <c r="H48" s="222" t="s">
        <v>6</v>
      </c>
      <c r="I48" s="229"/>
      <c r="J48" s="3" t="s">
        <v>6</v>
      </c>
    </row>
    <row r="49" spans="1:9" ht="9" customHeight="1" x14ac:dyDescent="0.2">
      <c r="A49"/>
      <c r="B49" s="230" t="s">
        <v>6</v>
      </c>
      <c r="C49" s="231"/>
      <c r="D49" s="231"/>
      <c r="E49" s="232"/>
      <c r="F49" s="232"/>
      <c r="G49" s="232"/>
      <c r="H49" s="233"/>
      <c r="I49" s="231"/>
    </row>
    <row r="50" spans="1:9" x14ac:dyDescent="0.2">
      <c r="A50" s="606" t="s">
        <v>543</v>
      </c>
      <c r="B50" s="606"/>
      <c r="C50" s="59"/>
      <c r="D50" s="1"/>
      <c r="E50" s="1"/>
      <c r="F50" s="1"/>
      <c r="G50" s="1"/>
      <c r="H50" s="235"/>
      <c r="I50"/>
    </row>
    <row r="51" spans="1:9" ht="15.75" x14ac:dyDescent="0.25">
      <c r="B51" s="40" t="s">
        <v>6</v>
      </c>
      <c r="C51" s="40"/>
      <c r="D51" s="32"/>
      <c r="E51" s="31"/>
      <c r="F51" s="31"/>
      <c r="G51" s="31"/>
      <c r="H51" s="31"/>
      <c r="I51" s="4"/>
    </row>
    <row r="52" spans="1:9" ht="15.75" x14ac:dyDescent="0.25">
      <c r="B52" s="38" t="s">
        <v>6</v>
      </c>
      <c r="C52" s="38"/>
      <c r="D52" s="39" t="s">
        <v>6</v>
      </c>
      <c r="E52" s="31"/>
      <c r="F52" s="31"/>
      <c r="G52" s="31"/>
      <c r="H52" s="31"/>
      <c r="I52" s="4"/>
    </row>
    <row r="53" spans="1:9" ht="15.75" x14ac:dyDescent="0.25">
      <c r="B53" s="38" t="s">
        <v>6</v>
      </c>
      <c r="C53" s="38"/>
      <c r="D53" s="35"/>
      <c r="E53" s="31"/>
      <c r="F53" s="31"/>
      <c r="G53" s="31"/>
      <c r="H53" s="31"/>
      <c r="I53" s="4"/>
    </row>
    <row r="54" spans="1:9" ht="15.75" x14ac:dyDescent="0.25">
      <c r="B54" s="40" t="s">
        <v>6</v>
      </c>
      <c r="C54" s="40"/>
      <c r="D54" s="31"/>
      <c r="E54" s="31"/>
      <c r="F54" s="31"/>
      <c r="G54" s="31"/>
      <c r="H54" s="31"/>
      <c r="I54" s="4"/>
    </row>
    <row r="55" spans="1:9" ht="15.75" x14ac:dyDescent="0.25">
      <c r="B55" s="40" t="s">
        <v>6</v>
      </c>
      <c r="C55" s="40"/>
      <c r="D55" s="31"/>
      <c r="E55" s="31"/>
      <c r="F55" s="31"/>
      <c r="G55" s="31"/>
      <c r="H55" s="31"/>
      <c r="I55" s="4"/>
    </row>
    <row r="56" spans="1:9" ht="15.75" x14ac:dyDescent="0.25">
      <c r="B56" s="40" t="s">
        <v>6</v>
      </c>
      <c r="C56" s="40"/>
      <c r="D56" s="31"/>
      <c r="E56" s="31"/>
      <c r="F56" s="31"/>
      <c r="G56" s="31"/>
      <c r="H56" s="31"/>
      <c r="I56" s="4"/>
    </row>
    <row r="57" spans="1:9" ht="15.75" x14ac:dyDescent="0.25">
      <c r="B57" s="40" t="s">
        <v>6</v>
      </c>
      <c r="C57" s="40"/>
      <c r="D57" s="31"/>
      <c r="E57" s="31"/>
      <c r="F57" s="31"/>
      <c r="G57" s="31"/>
      <c r="H57" s="31"/>
      <c r="I57" s="4"/>
    </row>
    <row r="58" spans="1:9" x14ac:dyDescent="0.2">
      <c r="D58" s="29"/>
      <c r="E58" s="29"/>
      <c r="F58" s="29"/>
      <c r="G58" s="29"/>
      <c r="H58" s="29"/>
      <c r="I58" s="4"/>
    </row>
    <row r="127" spans="5:5" x14ac:dyDescent="0.2">
      <c r="E127" s="25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3" type="noConversion"/>
  <pageMargins left="0.19685039370078741" right="0.19685039370078741" top="0.74803149606299213" bottom="0.98425196850393704" header="0.51181102362204722" footer="0.51181102362204722"/>
  <pageSetup scale="73" firstPageNumber="0" orientation="portrait" r:id="rId1"/>
  <headerFooter alignWithMargins="0">
    <oddFooter xml:space="preserve">&amp;R&amp;"Arial,Negrita" </oddFooter>
  </headerFooter>
  <ignoredErrors>
    <ignoredError sqref="E15:F15 E21 E41 H25 E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6" tint="0.39997558519241921"/>
    <pageSetUpPr fitToPage="1"/>
  </sheetPr>
  <dimension ref="A1:Y70"/>
  <sheetViews>
    <sheetView showGridLines="0" showZeros="0" zoomScaleNormal="100" workbookViewId="0">
      <selection activeCell="H15" sqref="H15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5.85546875" customWidth="1"/>
    <col min="4" max="4" width="12.5703125" customWidth="1"/>
    <col min="5" max="5" width="13.5703125" hidden="1" customWidth="1"/>
    <col min="6" max="6" width="11.5703125" customWidth="1"/>
    <col min="7" max="7" width="12.5703125" customWidth="1"/>
    <col min="8" max="8" width="12.28515625" customWidth="1"/>
    <col min="9" max="9" width="12.5703125" customWidth="1"/>
    <col min="10" max="10" width="9.85546875" customWidth="1"/>
    <col min="11" max="11" width="14.7109375" hidden="1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 x14ac:dyDescent="0.25">
      <c r="A1" s="609" t="s">
        <v>386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25" ht="15.75" x14ac:dyDescent="0.25">
      <c r="A2" s="609" t="s">
        <v>387</v>
      </c>
      <c r="B2" s="609"/>
      <c r="C2" s="609"/>
      <c r="D2" s="609"/>
      <c r="E2" s="609"/>
      <c r="F2" s="609"/>
      <c r="G2" s="609"/>
      <c r="H2" s="609"/>
      <c r="I2" s="609"/>
      <c r="J2" s="609"/>
    </row>
    <row r="3" spans="1:25" ht="15" x14ac:dyDescent="0.25">
      <c r="A3" s="618" t="s">
        <v>556</v>
      </c>
      <c r="B3" s="619"/>
      <c r="C3" s="619"/>
      <c r="D3" s="619"/>
      <c r="E3" s="619"/>
      <c r="F3" s="619"/>
      <c r="G3" s="619"/>
      <c r="H3" s="619"/>
      <c r="I3" s="619"/>
      <c r="J3" s="620"/>
    </row>
    <row r="4" spans="1:25" ht="15" x14ac:dyDescent="0.25">
      <c r="A4" s="618" t="s">
        <v>555</v>
      </c>
      <c r="B4" s="619"/>
      <c r="C4" s="619"/>
      <c r="D4" s="619"/>
      <c r="E4" s="619"/>
      <c r="F4" s="619"/>
      <c r="G4" s="619"/>
      <c r="H4" s="619"/>
      <c r="I4" s="619"/>
      <c r="J4" s="620"/>
    </row>
    <row r="5" spans="1:25" ht="15" thickBot="1" x14ac:dyDescent="0.25">
      <c r="A5" s="498"/>
      <c r="B5" s="499"/>
      <c r="C5" s="499"/>
      <c r="D5" s="499"/>
      <c r="E5" s="499"/>
      <c r="F5" s="499"/>
      <c r="G5" s="499"/>
      <c r="H5" s="499"/>
      <c r="I5" s="499"/>
    </row>
    <row r="6" spans="1:25" ht="21" customHeight="1" x14ac:dyDescent="0.2">
      <c r="A6" s="621" t="s">
        <v>0</v>
      </c>
      <c r="B6" s="623" t="s">
        <v>39</v>
      </c>
      <c r="C6" s="627" t="s">
        <v>31</v>
      </c>
      <c r="D6" s="628"/>
      <c r="E6" s="628"/>
      <c r="F6" s="629"/>
      <c r="G6" s="625" t="s">
        <v>40</v>
      </c>
      <c r="H6" s="625"/>
      <c r="I6" s="625" t="s">
        <v>1</v>
      </c>
      <c r="J6" s="626"/>
    </row>
    <row r="7" spans="1:25" ht="24.75" customHeight="1" thickBot="1" x14ac:dyDescent="0.25">
      <c r="A7" s="622"/>
      <c r="B7" s="624"/>
      <c r="C7" s="500" t="s">
        <v>87</v>
      </c>
      <c r="D7" s="501" t="s">
        <v>12</v>
      </c>
      <c r="E7" s="501" t="s">
        <v>12</v>
      </c>
      <c r="F7" s="501" t="s">
        <v>2</v>
      </c>
      <c r="G7" s="501" t="s">
        <v>36</v>
      </c>
      <c r="H7" s="501" t="s">
        <v>41</v>
      </c>
      <c r="I7" s="501" t="s">
        <v>376</v>
      </c>
      <c r="J7" s="502" t="s">
        <v>5</v>
      </c>
      <c r="L7" s="52"/>
    </row>
    <row r="8" spans="1:25" ht="20.100000000000001" customHeight="1" x14ac:dyDescent="0.2">
      <c r="A8" s="503"/>
      <c r="B8" s="504"/>
      <c r="C8" s="504"/>
      <c r="D8" s="505"/>
      <c r="E8" s="505"/>
      <c r="F8" s="506"/>
      <c r="G8" s="506"/>
      <c r="H8" s="506"/>
      <c r="I8" s="506"/>
      <c r="J8" s="507"/>
    </row>
    <row r="9" spans="1:25" ht="20.100000000000001" customHeight="1" x14ac:dyDescent="0.2">
      <c r="A9" s="508" t="s">
        <v>13</v>
      </c>
      <c r="B9" s="509"/>
      <c r="C9" s="510">
        <f t="shared" ref="C9:G9" si="0">+C11+C22</f>
        <v>198000000</v>
      </c>
      <c r="D9" s="510">
        <f t="shared" si="0"/>
        <v>198000000</v>
      </c>
      <c r="E9" s="510" t="e">
        <f t="shared" si="0"/>
        <v>#REF!</v>
      </c>
      <c r="F9" s="510">
        <f t="shared" si="0"/>
        <v>88255630</v>
      </c>
      <c r="G9" s="510">
        <f t="shared" si="0"/>
        <v>885086.32</v>
      </c>
      <c r="H9" s="510">
        <f>+H11+H22</f>
        <v>32657807.890000001</v>
      </c>
      <c r="I9" s="511">
        <f>+H9-F9</f>
        <v>-55597822.109999999</v>
      </c>
      <c r="J9" s="512">
        <f>+H9/F9*100</f>
        <v>37.00365391986891</v>
      </c>
      <c r="K9" s="144"/>
      <c r="L9" s="1" t="s">
        <v>6</v>
      </c>
    </row>
    <row r="10" spans="1:25" ht="20.100000000000001" customHeight="1" x14ac:dyDescent="0.2">
      <c r="A10" s="508"/>
      <c r="B10" s="509"/>
      <c r="C10" s="509"/>
      <c r="D10" s="510"/>
      <c r="E10" s="510"/>
      <c r="F10" s="510"/>
      <c r="G10" s="510"/>
      <c r="H10" s="510" t="s">
        <v>6</v>
      </c>
      <c r="I10" s="511"/>
      <c r="J10" s="512"/>
      <c r="K10" s="144"/>
      <c r="M10" t="s">
        <v>6</v>
      </c>
      <c r="R10" s="1" t="s">
        <v>6</v>
      </c>
    </row>
    <row r="11" spans="1:25" ht="20.100000000000001" customHeight="1" x14ac:dyDescent="0.2">
      <c r="A11" s="508" t="s">
        <v>14</v>
      </c>
      <c r="B11" s="509"/>
      <c r="C11" s="510">
        <f t="shared" ref="C11:F11" si="1">SUM(C13:C20)</f>
        <v>15328172</v>
      </c>
      <c r="D11" s="510">
        <f t="shared" si="1"/>
        <v>15328172</v>
      </c>
      <c r="E11" s="510" t="e">
        <f t="shared" si="1"/>
        <v>#REF!</v>
      </c>
      <c r="F11" s="510">
        <f t="shared" si="1"/>
        <v>6366436</v>
      </c>
      <c r="G11" s="510">
        <f>SUM(G13:G20)</f>
        <v>885086.32</v>
      </c>
      <c r="H11" s="510">
        <f>SUM(H13:H20)</f>
        <v>6168468.8899999997</v>
      </c>
      <c r="I11" s="511">
        <f>F11-H11</f>
        <v>197967.11000000034</v>
      </c>
      <c r="J11" s="512">
        <f>+H11/F11*100</f>
        <v>96.89045629297145</v>
      </c>
      <c r="K11" s="144"/>
      <c r="L11" s="1"/>
    </row>
    <row r="12" spans="1:25" ht="20.100000000000001" customHeight="1" x14ac:dyDescent="0.3">
      <c r="A12" s="513"/>
      <c r="B12" s="514"/>
      <c r="C12" s="514"/>
      <c r="D12" s="515"/>
      <c r="E12" s="515"/>
      <c r="F12" s="515" t="s">
        <v>6</v>
      </c>
      <c r="G12" s="515"/>
      <c r="H12" s="515"/>
      <c r="I12" s="516"/>
      <c r="J12" s="517"/>
      <c r="K12" s="142"/>
    </row>
    <row r="13" spans="1:25" ht="20.100000000000001" customHeight="1" x14ac:dyDescent="0.2">
      <c r="A13" s="518" t="s">
        <v>15</v>
      </c>
      <c r="B13" s="519" t="s">
        <v>42</v>
      </c>
      <c r="C13" s="520">
        <f>+'Recaudación Ing.'!C18</f>
        <v>700000</v>
      </c>
      <c r="D13" s="520">
        <f>+'Recaudación Ing.'!D18</f>
        <v>700000</v>
      </c>
      <c r="E13" s="520" t="e">
        <f>+'Recaudación Ing.'!#REF!</f>
        <v>#REF!</v>
      </c>
      <c r="F13" s="520">
        <f>+'Recaudación Ing.'!E18</f>
        <v>291665</v>
      </c>
      <c r="G13" s="520">
        <f>+'Recaudación Ing.'!F18</f>
        <v>3262.83</v>
      </c>
      <c r="H13" s="520">
        <f>+'Recaudación Ing.'!G18</f>
        <v>368432.03</v>
      </c>
      <c r="I13" s="521">
        <f t="shared" ref="I13:I20" si="2">+H13-F13</f>
        <v>76767.030000000028</v>
      </c>
      <c r="J13" s="522">
        <f t="shared" ref="J13:J18" si="3">+H13/F13*100</f>
        <v>126.32027497299984</v>
      </c>
      <c r="K13" s="143"/>
      <c r="L13" s="1"/>
      <c r="M13" s="23"/>
      <c r="N13" s="1"/>
      <c r="R13" s="45"/>
      <c r="S13" s="46"/>
      <c r="T13" s="46"/>
      <c r="U13" s="47"/>
      <c r="V13" s="47"/>
      <c r="W13" s="47"/>
      <c r="X13" s="47"/>
      <c r="Y13" s="47"/>
    </row>
    <row r="14" spans="1:25" ht="20.100000000000001" customHeight="1" x14ac:dyDescent="0.2">
      <c r="A14" s="518" t="s">
        <v>16</v>
      </c>
      <c r="B14" s="519" t="s">
        <v>43</v>
      </c>
      <c r="C14" s="520">
        <f>+'Recaudación Ing.'!C19</f>
        <v>4776492</v>
      </c>
      <c r="D14" s="520">
        <f>+'Recaudación Ing.'!D19</f>
        <v>4776492</v>
      </c>
      <c r="E14" s="520" t="e">
        <f>+'Recaudación Ing.'!#REF!</f>
        <v>#REF!</v>
      </c>
      <c r="F14" s="520">
        <f>+'Recaudación Ing.'!E19</f>
        <v>1910597</v>
      </c>
      <c r="G14" s="520">
        <f>+'Recaudación Ing.'!F19</f>
        <v>196001.07</v>
      </c>
      <c r="H14" s="520">
        <f>+'Recaudación Ing.'!G19</f>
        <v>439910.83</v>
      </c>
      <c r="I14" s="521">
        <f t="shared" si="2"/>
        <v>-1470686.17</v>
      </c>
      <c r="J14" s="522">
        <f t="shared" si="3"/>
        <v>23.024783876453277</v>
      </c>
      <c r="K14" s="143"/>
      <c r="L14" s="1"/>
      <c r="M14" s="23"/>
      <c r="S14" s="46"/>
      <c r="T14" s="46"/>
      <c r="U14" s="47"/>
      <c r="V14" s="47"/>
      <c r="W14" s="47"/>
      <c r="X14" s="47"/>
      <c r="Y14" s="47"/>
    </row>
    <row r="15" spans="1:25" ht="20.100000000000001" customHeight="1" x14ac:dyDescent="0.2">
      <c r="A15" s="523" t="s">
        <v>17</v>
      </c>
      <c r="B15" s="519" t="s">
        <v>44</v>
      </c>
      <c r="C15" s="520">
        <f>+'Recaudación Ing.'!C28</f>
        <v>4774884</v>
      </c>
      <c r="D15" s="520">
        <f>+'Recaudación Ing.'!D28</f>
        <v>4774884</v>
      </c>
      <c r="E15" s="520" t="e">
        <f>+'Recaudación Ing.'!#REF!</f>
        <v>#REF!</v>
      </c>
      <c r="F15" s="520">
        <f>+'Recaudación Ing.'!E28</f>
        <v>1909954</v>
      </c>
      <c r="G15" s="520">
        <f>+'Recaudación Ing.'!F28</f>
        <v>433995.34</v>
      </c>
      <c r="H15" s="520">
        <f>+'Recaudación Ing.'!G28</f>
        <v>3458108.9</v>
      </c>
      <c r="I15" s="521">
        <f t="shared" si="2"/>
        <v>1548154.9</v>
      </c>
      <c r="J15" s="522">
        <f t="shared" si="3"/>
        <v>181.05718252900331</v>
      </c>
      <c r="K15" s="143"/>
      <c r="L15" s="1"/>
      <c r="M15" s="23"/>
      <c r="S15" s="46"/>
      <c r="T15" s="46"/>
      <c r="U15" s="47"/>
      <c r="V15" s="47"/>
      <c r="W15" s="47"/>
      <c r="X15" s="47"/>
      <c r="Y15" s="47"/>
    </row>
    <row r="16" spans="1:25" ht="20.100000000000001" customHeight="1" x14ac:dyDescent="0.2">
      <c r="A16" s="523" t="s">
        <v>18</v>
      </c>
      <c r="B16" s="519" t="s">
        <v>45</v>
      </c>
      <c r="C16" s="520">
        <f>+'Recaudación Ing.'!C29</f>
        <v>66714</v>
      </c>
      <c r="D16" s="520">
        <f>+'Recaudación Ing.'!D29</f>
        <v>66714</v>
      </c>
      <c r="E16" s="520" t="e">
        <f>+'Recaudación Ing.'!#REF!</f>
        <v>#REF!</v>
      </c>
      <c r="F16" s="520">
        <f>+'Recaudación Ing.'!E29</f>
        <v>33354</v>
      </c>
      <c r="G16" s="520">
        <f>+'Recaudación Ing.'!F29</f>
        <v>3520.61</v>
      </c>
      <c r="H16" s="520">
        <f>+'Recaudación Ing.'!G29</f>
        <v>56634.42</v>
      </c>
      <c r="I16" s="521">
        <f t="shared" si="2"/>
        <v>23280.42</v>
      </c>
      <c r="J16" s="522">
        <f t="shared" si="3"/>
        <v>169.79798524914554</v>
      </c>
      <c r="K16" s="143"/>
      <c r="L16" s="1"/>
      <c r="M16" s="23"/>
      <c r="S16" s="46"/>
      <c r="T16" s="46"/>
      <c r="U16" s="47"/>
      <c r="V16" s="47"/>
      <c r="W16" s="47"/>
      <c r="X16" s="47"/>
      <c r="Y16" s="47"/>
    </row>
    <row r="17" spans="1:25" ht="20.100000000000001" customHeight="1" x14ac:dyDescent="0.2">
      <c r="A17" s="523" t="s">
        <v>19</v>
      </c>
      <c r="B17" s="519" t="s">
        <v>46</v>
      </c>
      <c r="C17" s="520">
        <f>+'Recaudación Ing.'!C27</f>
        <v>410082</v>
      </c>
      <c r="D17" s="520">
        <f>+'Recaudación Ing.'!D27</f>
        <v>410082</v>
      </c>
      <c r="E17" s="520" t="e">
        <f>+'Recaudación Ing.'!#REF!</f>
        <v>#REF!</v>
      </c>
      <c r="F17" s="520">
        <f>+'Recaudación Ing.'!E27</f>
        <v>170865</v>
      </c>
      <c r="G17" s="520">
        <f>+'Recaudación Ing.'!F27</f>
        <v>41909.99</v>
      </c>
      <c r="H17" s="520">
        <f>+'Recaudación Ing.'!G27</f>
        <v>381428.86999999994</v>
      </c>
      <c r="I17" s="521">
        <f t="shared" si="2"/>
        <v>210563.86999999994</v>
      </c>
      <c r="J17" s="522">
        <f>+H17/F17*100</f>
        <v>223.23405612618146</v>
      </c>
      <c r="K17" s="143"/>
      <c r="L17" s="1"/>
      <c r="M17" s="23"/>
      <c r="S17" s="46"/>
      <c r="T17" s="46"/>
      <c r="U17" s="47"/>
      <c r="V17" s="47"/>
      <c r="W17" s="47"/>
      <c r="X17" s="47"/>
      <c r="Y17" s="47"/>
    </row>
    <row r="18" spans="1:25" ht="20.100000000000001" customHeight="1" x14ac:dyDescent="0.2">
      <c r="A18" s="523" t="s">
        <v>20</v>
      </c>
      <c r="B18" s="519" t="s">
        <v>47</v>
      </c>
      <c r="C18" s="520">
        <f>+'Recaudación Ing.'!C32</f>
        <v>2500000</v>
      </c>
      <c r="D18" s="520">
        <f>+'Recaudación Ing.'!D32</f>
        <v>2500000</v>
      </c>
      <c r="E18" s="520" t="e">
        <f>+'Recaudación Ing.'!#REF!</f>
        <v>#REF!</v>
      </c>
      <c r="F18" s="520">
        <f>+'Recaudación Ing.'!E32</f>
        <v>1000001</v>
      </c>
      <c r="G18" s="520">
        <f>+'Recaudación Ing.'!F32</f>
        <v>206396.48</v>
      </c>
      <c r="H18" s="520">
        <f>+'Recaudación Ing.'!G32</f>
        <v>413953.83999999997</v>
      </c>
      <c r="I18" s="524">
        <f t="shared" si="2"/>
        <v>-586047.16</v>
      </c>
      <c r="J18" s="522">
        <f t="shared" si="3"/>
        <v>41.395342604657394</v>
      </c>
      <c r="K18" s="143"/>
      <c r="L18" s="1"/>
      <c r="M18" s="23"/>
      <c r="N18" s="1"/>
      <c r="S18" s="46"/>
      <c r="T18" s="46"/>
      <c r="U18" s="47"/>
      <c r="V18" s="47"/>
      <c r="W18" s="47"/>
      <c r="X18" s="47"/>
      <c r="Y18" s="47"/>
    </row>
    <row r="19" spans="1:25" ht="20.100000000000001" customHeight="1" x14ac:dyDescent="0.2">
      <c r="A19" s="523" t="s">
        <v>530</v>
      </c>
      <c r="B19" s="519" t="s">
        <v>48</v>
      </c>
      <c r="C19" s="520"/>
      <c r="D19" s="520"/>
      <c r="E19" s="520"/>
      <c r="F19" s="520"/>
      <c r="G19" s="520">
        <f>+'Recaudación Ing.'!F24</f>
        <v>0</v>
      </c>
      <c r="H19" s="520">
        <f>+'Recaudación Ing.'!G33</f>
        <v>0</v>
      </c>
      <c r="I19" s="524" t="s">
        <v>6</v>
      </c>
      <c r="J19" s="522">
        <v>0</v>
      </c>
      <c r="K19" s="143"/>
      <c r="L19" s="1"/>
      <c r="M19" s="23"/>
      <c r="S19" s="46"/>
      <c r="T19" s="46"/>
      <c r="U19" s="47"/>
      <c r="V19" s="47"/>
      <c r="W19" s="47"/>
      <c r="X19" s="47"/>
      <c r="Y19" s="47"/>
    </row>
    <row r="20" spans="1:25" ht="20.100000000000001" customHeight="1" x14ac:dyDescent="0.2">
      <c r="A20" s="523" t="s">
        <v>344</v>
      </c>
      <c r="B20" s="519" t="s">
        <v>49</v>
      </c>
      <c r="C20" s="520">
        <f>+'Recaudación Ing.'!C43</f>
        <v>2100000</v>
      </c>
      <c r="D20" s="520">
        <f>+'Recaudación Ing.'!D43</f>
        <v>2100000</v>
      </c>
      <c r="E20" s="520" t="e">
        <f>+'Recaudación Ing.'!#REF!</f>
        <v>#REF!</v>
      </c>
      <c r="F20" s="520">
        <f>+'Recaudación Ing.'!E43</f>
        <v>1050000</v>
      </c>
      <c r="G20" s="520">
        <f>+'Recaudación Ing.'!F40</f>
        <v>0</v>
      </c>
      <c r="H20" s="520">
        <f>+'Recaudación Ing.'!G43</f>
        <v>1050000</v>
      </c>
      <c r="I20" s="524">
        <f t="shared" si="2"/>
        <v>0</v>
      </c>
      <c r="J20" s="522">
        <f>+H20/F20*100</f>
        <v>100</v>
      </c>
      <c r="K20" s="143"/>
      <c r="L20" s="1"/>
      <c r="M20" s="23"/>
      <c r="S20" s="46"/>
      <c r="T20" s="46"/>
      <c r="U20" s="47"/>
      <c r="V20" s="47"/>
      <c r="W20" s="47"/>
      <c r="X20" s="47"/>
      <c r="Y20" s="47"/>
    </row>
    <row r="21" spans="1:25" ht="20.100000000000001" customHeight="1" x14ac:dyDescent="0.3">
      <c r="A21" s="525"/>
      <c r="B21" s="526"/>
      <c r="C21" s="526"/>
      <c r="D21" s="515"/>
      <c r="E21" s="515"/>
      <c r="F21" s="515" t="s">
        <v>6</v>
      </c>
      <c r="G21" s="515" t="s">
        <v>6</v>
      </c>
      <c r="H21" s="515" t="str">
        <f>G21</f>
        <v xml:space="preserve"> </v>
      </c>
      <c r="I21" s="527"/>
      <c r="J21" s="517"/>
      <c r="K21" s="142"/>
      <c r="L21" s="1"/>
      <c r="M21" s="23"/>
      <c r="S21" s="46"/>
      <c r="T21" s="46"/>
      <c r="U21" s="47"/>
      <c r="V21" s="47"/>
      <c r="W21" s="47"/>
      <c r="X21" s="47"/>
      <c r="Y21" s="47"/>
    </row>
    <row r="22" spans="1:25" ht="20.100000000000001" customHeight="1" x14ac:dyDescent="0.2">
      <c r="A22" s="508" t="s">
        <v>21</v>
      </c>
      <c r="B22" s="528"/>
      <c r="C22" s="529">
        <f>+C24+C30</f>
        <v>182671828</v>
      </c>
      <c r="D22" s="510">
        <f>+D24+D30</f>
        <v>182671828</v>
      </c>
      <c r="E22" s="510">
        <f>+E24+E30</f>
        <v>99974034</v>
      </c>
      <c r="F22" s="510">
        <f>F24+F30</f>
        <v>81889194</v>
      </c>
      <c r="G22" s="510">
        <f>+G24+G30</f>
        <v>0</v>
      </c>
      <c r="H22" s="510">
        <f>+G22+K22</f>
        <v>26489339</v>
      </c>
      <c r="I22" s="530">
        <f>F22-H22</f>
        <v>55399855</v>
      </c>
      <c r="J22" s="512">
        <f>+H22/F22*100</f>
        <v>32.347783274066657</v>
      </c>
      <c r="K22" s="182">
        <v>26489339</v>
      </c>
      <c r="L22" s="1"/>
      <c r="M22" s="23"/>
      <c r="S22" s="48"/>
      <c r="T22" s="48"/>
      <c r="U22" s="47"/>
      <c r="V22" s="47"/>
      <c r="W22" s="47"/>
      <c r="X22" s="47"/>
      <c r="Y22" s="47"/>
    </row>
    <row r="23" spans="1:25" ht="20.100000000000001" customHeight="1" x14ac:dyDescent="0.2">
      <c r="A23" s="508" t="s">
        <v>6</v>
      </c>
      <c r="B23" s="528"/>
      <c r="C23" s="528"/>
      <c r="D23" s="510"/>
      <c r="E23" s="510"/>
      <c r="F23" s="510"/>
      <c r="G23" s="510"/>
      <c r="H23" s="510">
        <f>G23</f>
        <v>0</v>
      </c>
      <c r="I23" s="530"/>
      <c r="J23" s="512"/>
      <c r="K23" s="182">
        <v>0</v>
      </c>
      <c r="L23" s="1"/>
      <c r="M23" s="23"/>
      <c r="R23" s="1"/>
      <c r="S23" s="46"/>
      <c r="T23" s="46"/>
      <c r="U23" s="47"/>
      <c r="V23" s="47"/>
      <c r="W23" s="47"/>
      <c r="X23" s="47"/>
      <c r="Y23" s="47"/>
    </row>
    <row r="24" spans="1:25" ht="33" customHeight="1" x14ac:dyDescent="0.2">
      <c r="A24" s="531" t="s">
        <v>50</v>
      </c>
      <c r="B24" s="528" t="s">
        <v>51</v>
      </c>
      <c r="C24" s="510">
        <f>SUM(C26:C28)</f>
        <v>127866634</v>
      </c>
      <c r="D24" s="510">
        <f>SUM(D26:D28)</f>
        <v>127866634</v>
      </c>
      <c r="E24" s="510">
        <f>SUM(E26:E28)</f>
        <v>94763500</v>
      </c>
      <c r="F24" s="510">
        <f>SUM(F26:F28)</f>
        <v>54583388</v>
      </c>
      <c r="G24" s="510">
        <f>SUM(G26:G28)</f>
        <v>0</v>
      </c>
      <c r="H24" s="510">
        <f>+G24+K24</f>
        <v>15458982</v>
      </c>
      <c r="I24" s="530">
        <f>+H24-F24</f>
        <v>-39124406</v>
      </c>
      <c r="J24" s="512">
        <f>+H24/F24*100</f>
        <v>28.321770718959407</v>
      </c>
      <c r="K24" s="182">
        <v>15458982</v>
      </c>
      <c r="L24" s="1"/>
      <c r="M24" s="23"/>
      <c r="S24" s="48"/>
      <c r="T24" s="48"/>
      <c r="U24" s="47"/>
      <c r="V24" s="47"/>
      <c r="W24" s="47"/>
      <c r="X24" s="47"/>
      <c r="Y24" s="47"/>
    </row>
    <row r="25" spans="1:25" ht="17.45" customHeight="1" x14ac:dyDescent="0.2">
      <c r="A25" s="531"/>
      <c r="B25" s="528"/>
      <c r="C25" s="528"/>
      <c r="D25" s="510"/>
      <c r="E25" s="510"/>
      <c r="F25" s="510"/>
      <c r="G25" s="510"/>
      <c r="H25" s="510"/>
      <c r="I25" s="530"/>
      <c r="J25" s="512"/>
      <c r="K25" s="182"/>
      <c r="L25" s="1"/>
      <c r="M25" s="23"/>
      <c r="S25" s="48"/>
      <c r="T25" s="48"/>
      <c r="U25" s="47"/>
      <c r="V25" s="47"/>
      <c r="W25" s="47"/>
      <c r="X25" s="47"/>
      <c r="Y25" s="47"/>
    </row>
    <row r="26" spans="1:25" ht="20.100000000000001" customHeight="1" x14ac:dyDescent="0.3">
      <c r="A26" s="523" t="s">
        <v>531</v>
      </c>
      <c r="B26" s="526"/>
      <c r="C26" s="520">
        <v>111927700</v>
      </c>
      <c r="D26" s="520">
        <v>111927700</v>
      </c>
      <c r="E26" s="520">
        <v>88702609</v>
      </c>
      <c r="F26" s="520">
        <f>11423210+10840726+8812441+8234748+8150721</f>
        <v>47461846</v>
      </c>
      <c r="G26" s="520">
        <v>0</v>
      </c>
      <c r="H26" s="520">
        <f>K26+G26</f>
        <v>10840726</v>
      </c>
      <c r="I26" s="521">
        <f>+H26-F26</f>
        <v>-36621120</v>
      </c>
      <c r="J26" s="522">
        <f>+H26/F26*100</f>
        <v>22.84092784760205</v>
      </c>
      <c r="K26" s="183">
        <v>10840726</v>
      </c>
      <c r="L26" s="1"/>
      <c r="M26" s="23"/>
      <c r="S26" s="46"/>
      <c r="T26" s="46"/>
      <c r="U26" s="47"/>
      <c r="V26" s="47"/>
      <c r="W26" s="47"/>
      <c r="X26" s="47"/>
      <c r="Y26" s="47"/>
    </row>
    <row r="27" spans="1:25" ht="20.100000000000001" customHeight="1" x14ac:dyDescent="0.2">
      <c r="A27" s="523" t="s">
        <v>532</v>
      </c>
      <c r="B27" s="519" t="s">
        <v>6</v>
      </c>
      <c r="C27" s="520">
        <v>109200</v>
      </c>
      <c r="D27" s="520">
        <v>109200</v>
      </c>
      <c r="E27" s="520" t="s">
        <v>6</v>
      </c>
      <c r="F27" s="520">
        <f>10200+9900+9900+9900+9900</f>
        <v>49800</v>
      </c>
      <c r="G27" s="520">
        <v>0</v>
      </c>
      <c r="H27" s="520">
        <f>K27+G27</f>
        <v>30000</v>
      </c>
      <c r="I27" s="521"/>
      <c r="J27" s="522">
        <f>+H27/F27*100</f>
        <v>60.24096385542169</v>
      </c>
      <c r="K27" s="183">
        <v>30000</v>
      </c>
      <c r="L27" s="1"/>
      <c r="M27" s="23"/>
      <c r="S27" s="46"/>
      <c r="T27" s="46"/>
      <c r="U27" s="47"/>
      <c r="V27" s="47"/>
      <c r="W27" s="47"/>
      <c r="X27" s="47"/>
      <c r="Y27" s="47"/>
    </row>
    <row r="28" spans="1:25" ht="20.100000000000001" customHeight="1" x14ac:dyDescent="0.2">
      <c r="A28" s="523" t="s">
        <v>557</v>
      </c>
      <c r="B28" s="519"/>
      <c r="C28" s="520">
        <v>15829734</v>
      </c>
      <c r="D28" s="520">
        <v>15829734</v>
      </c>
      <c r="E28" s="520">
        <v>6060891</v>
      </c>
      <c r="F28" s="520">
        <f>2055517+1249548+1283191+1242245+1241241</f>
        <v>7071742</v>
      </c>
      <c r="G28" s="520">
        <v>0</v>
      </c>
      <c r="H28" s="520">
        <f>+G28+K28</f>
        <v>4588256</v>
      </c>
      <c r="I28" s="521">
        <f>+H28-F28</f>
        <v>-2483486</v>
      </c>
      <c r="J28" s="522">
        <f>+H28/F28*100</f>
        <v>64.881552522702322</v>
      </c>
      <c r="K28" s="172">
        <v>4588256</v>
      </c>
      <c r="L28" s="1"/>
      <c r="M28" s="23"/>
      <c r="S28" s="46"/>
      <c r="T28" s="46"/>
      <c r="U28" s="47"/>
      <c r="V28" s="47"/>
      <c r="W28" s="47"/>
      <c r="X28" s="47"/>
      <c r="Y28" s="47"/>
    </row>
    <row r="29" spans="1:25" ht="20.100000000000001" customHeight="1" x14ac:dyDescent="0.3">
      <c r="A29" s="525" t="s">
        <v>6</v>
      </c>
      <c r="B29" s="526"/>
      <c r="C29" s="515" t="s">
        <v>6</v>
      </c>
      <c r="D29" s="515" t="s">
        <v>6</v>
      </c>
      <c r="E29" s="515" t="s">
        <v>6</v>
      </c>
      <c r="F29" s="532" t="s">
        <v>6</v>
      </c>
      <c r="G29" s="520" t="s">
        <v>6</v>
      </c>
      <c r="H29" s="515" t="s">
        <v>6</v>
      </c>
      <c r="I29" s="533"/>
      <c r="J29" s="517"/>
      <c r="K29" s="176" t="s">
        <v>6</v>
      </c>
      <c r="L29" s="1"/>
      <c r="M29" s="23"/>
      <c r="S29" s="46"/>
      <c r="T29" s="46"/>
      <c r="U29" s="47"/>
      <c r="V29" s="47"/>
      <c r="W29" s="47"/>
      <c r="X29" s="47"/>
      <c r="Y29" s="47"/>
    </row>
    <row r="30" spans="1:25" ht="23.25" customHeight="1" x14ac:dyDescent="0.2">
      <c r="A30" s="531" t="s">
        <v>52</v>
      </c>
      <c r="B30" s="528" t="s">
        <v>53</v>
      </c>
      <c r="C30" s="510">
        <v>54805194</v>
      </c>
      <c r="D30" s="510">
        <v>54805194</v>
      </c>
      <c r="E30" s="510">
        <v>5210534</v>
      </c>
      <c r="F30" s="510">
        <f>10825352+115494+89511+16187291+88158</f>
        <v>27305806</v>
      </c>
      <c r="G30" s="510">
        <v>0</v>
      </c>
      <c r="H30" s="510">
        <f>+G30+K30</f>
        <v>11030357</v>
      </c>
      <c r="I30" s="511">
        <f>+H30-F30</f>
        <v>-16275449</v>
      </c>
      <c r="J30" s="512">
        <f>+H30/F30*100</f>
        <v>40.395646991705718</v>
      </c>
      <c r="K30" s="175">
        <v>11030357</v>
      </c>
      <c r="L30" s="1" t="s">
        <v>6</v>
      </c>
      <c r="M30" s="23"/>
      <c r="S30" s="49"/>
      <c r="T30" s="49"/>
      <c r="U30" s="47"/>
      <c r="V30" s="47"/>
      <c r="W30" s="47"/>
      <c r="X30" s="47"/>
      <c r="Y30" s="47"/>
    </row>
    <row r="31" spans="1:25" ht="20.100000000000001" customHeight="1" thickBot="1" x14ac:dyDescent="0.35">
      <c r="A31" s="534" t="s">
        <v>6</v>
      </c>
      <c r="B31" s="535"/>
      <c r="C31" s="536"/>
      <c r="D31" s="537"/>
      <c r="E31" s="537"/>
      <c r="F31" s="537">
        <v>0</v>
      </c>
      <c r="G31" s="536" t="s">
        <v>6</v>
      </c>
      <c r="H31" s="537" t="s">
        <v>6</v>
      </c>
      <c r="I31" s="538"/>
      <c r="J31" s="539"/>
    </row>
    <row r="32" spans="1:25" ht="10.5" customHeight="1" x14ac:dyDescent="0.3">
      <c r="A32" s="74" t="s">
        <v>6</v>
      </c>
      <c r="B32" s="74"/>
      <c r="C32" s="540"/>
      <c r="D32" s="74"/>
      <c r="E32" s="74"/>
      <c r="F32" s="74"/>
      <c r="G32" s="74"/>
      <c r="H32" s="74"/>
      <c r="I32" s="74"/>
      <c r="J32" s="74"/>
    </row>
    <row r="33" spans="1:10" ht="15.75" x14ac:dyDescent="0.3">
      <c r="A33" s="146" t="s">
        <v>506</v>
      </c>
      <c r="B33" s="146"/>
      <c r="C33" s="541"/>
      <c r="D33" s="74"/>
      <c r="E33" s="74"/>
      <c r="F33" s="74" t="s">
        <v>6</v>
      </c>
      <c r="G33" s="74"/>
      <c r="H33" s="74"/>
      <c r="I33" s="74"/>
      <c r="J33" s="74"/>
    </row>
    <row r="38" spans="1:10" ht="12" customHeight="1" x14ac:dyDescent="0.2"/>
    <row r="69" spans="1:25" x14ac:dyDescent="0.2">
      <c r="A69" t="s">
        <v>554</v>
      </c>
      <c r="Y69" t="s">
        <v>558</v>
      </c>
    </row>
    <row r="70" spans="1:25" x14ac:dyDescent="0.2">
      <c r="Y70" t="s">
        <v>467</v>
      </c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89" firstPageNumber="0" orientation="landscape" r:id="rId1"/>
  <headerFooter alignWithMargins="0"/>
  <ignoredErrors>
    <ignoredError sqref="F22 G22 H22:H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theme="6" tint="0.39997558519241921"/>
  </sheetPr>
  <dimension ref="A1:X56"/>
  <sheetViews>
    <sheetView showGridLines="0" showZeros="0" workbookViewId="0">
      <selection activeCell="C22" sqref="C22"/>
    </sheetView>
  </sheetViews>
  <sheetFormatPr baseColWidth="10" defaultColWidth="11.42578125" defaultRowHeight="12.75" x14ac:dyDescent="0.2"/>
  <cols>
    <col min="1" max="1" width="43.28515625" style="25" customWidth="1"/>
    <col min="2" max="2" width="12.28515625" style="25" customWidth="1"/>
    <col min="3" max="3" width="14.85546875" style="25" customWidth="1"/>
    <col min="4" max="4" width="17.140625" style="25" hidden="1" customWidth="1"/>
    <col min="5" max="5" width="17.7109375" style="25" hidden="1" customWidth="1"/>
    <col min="6" max="6" width="13.7109375" style="25" customWidth="1"/>
    <col min="7" max="7" width="14.5703125" style="25" customWidth="1"/>
    <col min="8" max="8" width="13.42578125" style="25" customWidth="1"/>
    <col min="9" max="9" width="4" customWidth="1"/>
  </cols>
  <sheetData>
    <row r="1" spans="1:24" ht="6.75" customHeight="1" x14ac:dyDescent="0.2">
      <c r="A1" s="53"/>
      <c r="B1" s="53"/>
      <c r="C1" s="53"/>
      <c r="D1" s="54"/>
      <c r="E1" s="54"/>
      <c r="F1" s="54"/>
      <c r="G1" s="54"/>
      <c r="H1" s="55"/>
    </row>
    <row r="2" spans="1:24" ht="15" customHeight="1" x14ac:dyDescent="0.25">
      <c r="A2" s="609" t="s">
        <v>386</v>
      </c>
      <c r="B2" s="609"/>
      <c r="C2" s="609"/>
      <c r="D2" s="609"/>
      <c r="E2" s="609"/>
      <c r="F2" s="609"/>
      <c r="G2" s="609"/>
      <c r="H2" s="609"/>
      <c r="I2" s="31"/>
      <c r="J2" s="31"/>
    </row>
    <row r="3" spans="1:24" ht="16.5" customHeight="1" x14ac:dyDescent="0.25">
      <c r="A3" s="609" t="s">
        <v>387</v>
      </c>
      <c r="B3" s="609"/>
      <c r="C3" s="609"/>
      <c r="D3" s="609"/>
      <c r="E3" s="609"/>
      <c r="F3" s="609"/>
      <c r="G3" s="609"/>
      <c r="H3" s="609"/>
      <c r="I3" s="31"/>
      <c r="J3" s="31"/>
    </row>
    <row r="4" spans="1:24" ht="18" customHeight="1" x14ac:dyDescent="0.25">
      <c r="A4" s="610" t="s">
        <v>547</v>
      </c>
      <c r="B4" s="610"/>
      <c r="C4" s="610"/>
      <c r="D4" s="610"/>
      <c r="E4" s="610"/>
      <c r="F4" s="610"/>
      <c r="G4" s="610"/>
      <c r="H4" s="610"/>
    </row>
    <row r="5" spans="1:24" ht="18" customHeight="1" x14ac:dyDescent="0.25">
      <c r="A5" s="610" t="s">
        <v>555</v>
      </c>
      <c r="B5" s="610"/>
      <c r="C5" s="610"/>
      <c r="D5" s="610"/>
      <c r="E5" s="610"/>
      <c r="F5" s="610"/>
      <c r="G5" s="610"/>
      <c r="H5" s="610"/>
    </row>
    <row r="6" spans="1:24" ht="15.75" customHeight="1" x14ac:dyDescent="0.2">
      <c r="A6" s="60"/>
      <c r="B6" s="60"/>
      <c r="C6" s="60"/>
      <c r="D6" s="60"/>
      <c r="E6" s="60"/>
      <c r="F6" s="60"/>
      <c r="G6" s="60"/>
      <c r="H6" s="60" t="s">
        <v>6</v>
      </c>
    </row>
    <row r="7" spans="1:24" ht="20.25" customHeight="1" x14ac:dyDescent="0.2">
      <c r="A7" s="631" t="s">
        <v>0</v>
      </c>
      <c r="B7" s="635" t="s">
        <v>31</v>
      </c>
      <c r="C7" s="636"/>
      <c r="D7" s="636"/>
      <c r="E7" s="636"/>
      <c r="F7" s="637"/>
      <c r="G7" s="638" t="s">
        <v>546</v>
      </c>
      <c r="H7" s="633" t="s">
        <v>380</v>
      </c>
    </row>
    <row r="8" spans="1:24" ht="24" customHeight="1" x14ac:dyDescent="0.2">
      <c r="A8" s="632"/>
      <c r="B8" s="236" t="s">
        <v>87</v>
      </c>
      <c r="C8" s="237" t="s">
        <v>12</v>
      </c>
      <c r="D8" s="238" t="s">
        <v>12</v>
      </c>
      <c r="E8" s="238" t="s">
        <v>12</v>
      </c>
      <c r="F8" s="238" t="s">
        <v>2</v>
      </c>
      <c r="G8" s="639"/>
      <c r="H8" s="634"/>
    </row>
    <row r="9" spans="1:24" s="6" customFormat="1" ht="6" customHeight="1" x14ac:dyDescent="0.2">
      <c r="A9" s="239"/>
      <c r="B9" s="239"/>
      <c r="C9" s="240"/>
      <c r="D9" s="241" t="s">
        <v>6</v>
      </c>
      <c r="E9" s="241"/>
      <c r="F9" s="241"/>
      <c r="G9" s="241" t="s">
        <v>6</v>
      </c>
      <c r="H9" s="242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 x14ac:dyDescent="0.2">
      <c r="A10" s="199" t="s">
        <v>54</v>
      </c>
      <c r="B10" s="243">
        <f>+[2]CA1!C11</f>
        <v>141094806</v>
      </c>
      <c r="C10" s="243">
        <f>+[2]CA1!D11</f>
        <v>141094806</v>
      </c>
      <c r="D10" s="243">
        <f>+[2]CA1!D11</f>
        <v>141094806</v>
      </c>
      <c r="E10" s="204"/>
      <c r="F10" s="204">
        <f>+'Recaudación Ing.'!E11</f>
        <v>59899824</v>
      </c>
      <c r="G10" s="204">
        <f>+'Recaudación Ing.'!G11</f>
        <v>20577450.939999998</v>
      </c>
      <c r="H10" s="244">
        <f>G10/F10*100</f>
        <v>34.353107514973665</v>
      </c>
      <c r="I10" s="19"/>
    </row>
    <row r="11" spans="1:24" ht="15" customHeight="1" x14ac:dyDescent="0.2">
      <c r="A11" s="199"/>
      <c r="B11" s="199"/>
      <c r="C11" s="243" t="s">
        <v>6</v>
      </c>
      <c r="D11" s="243">
        <f>+'Ejecución Gastos'!D181</f>
        <v>50000</v>
      </c>
      <c r="E11" s="204"/>
      <c r="F11" s="204"/>
      <c r="G11" s="204"/>
      <c r="H11" s="245"/>
      <c r="I11" s="19" t="s">
        <v>6</v>
      </c>
    </row>
    <row r="12" spans="1:24" ht="24.95" customHeight="1" x14ac:dyDescent="0.2">
      <c r="A12" s="246" t="s">
        <v>55</v>
      </c>
      <c r="B12" s="247">
        <f>+B14+B15</f>
        <v>141094806</v>
      </c>
      <c r="C12" s="243">
        <f>+'Balance Gastos'!C11</f>
        <v>141094806</v>
      </c>
      <c r="D12" s="243" t="e">
        <f>+'Balance Gastos'!#REF!</f>
        <v>#REF!</v>
      </c>
      <c r="E12" s="243"/>
      <c r="F12" s="243">
        <f>+'Ejecución Gastos'!E182</f>
        <v>64893018</v>
      </c>
      <c r="G12" s="243">
        <f>+'Ejecución Gastos'!G182</f>
        <v>46261539.460000001</v>
      </c>
      <c r="H12" s="244">
        <f>G12/F12*100</f>
        <v>71.288931977242925</v>
      </c>
    </row>
    <row r="13" spans="1:24" ht="15" customHeight="1" x14ac:dyDescent="0.3">
      <c r="A13" s="248"/>
      <c r="B13" s="248"/>
      <c r="C13" s="243" t="s">
        <v>6</v>
      </c>
      <c r="D13" s="243">
        <f>+'Ejecución Gastos'!D183</f>
        <v>0</v>
      </c>
      <c r="E13" s="249"/>
      <c r="F13" s="249"/>
      <c r="G13" s="249" t="s">
        <v>6</v>
      </c>
      <c r="H13" s="250"/>
    </row>
    <row r="14" spans="1:24" ht="24.95" customHeight="1" x14ac:dyDescent="0.2">
      <c r="A14" s="251" t="s">
        <v>513</v>
      </c>
      <c r="B14" s="252">
        <f>+'Balance Gastos'!B13</f>
        <v>138843212</v>
      </c>
      <c r="C14" s="252">
        <f>+'Balance Gastos'!C13</f>
        <v>138025862</v>
      </c>
      <c r="D14" s="243" t="e">
        <f>+'Balance Gastos'!#REF!</f>
        <v>#REF!</v>
      </c>
      <c r="E14" s="252"/>
      <c r="F14" s="252">
        <f>+'Balance Gastos'!D13</f>
        <v>61973090</v>
      </c>
      <c r="G14" s="252">
        <f>+G12-G15</f>
        <v>45943632.590000004</v>
      </c>
      <c r="H14" s="253">
        <f>G14/F14*100</f>
        <v>74.134810108710099</v>
      </c>
    </row>
    <row r="15" spans="1:24" ht="24.95" customHeight="1" x14ac:dyDescent="0.2">
      <c r="A15" s="254" t="s">
        <v>56</v>
      </c>
      <c r="B15" s="252">
        <f>+'Ejecución Gastos'!C159</f>
        <v>2251594</v>
      </c>
      <c r="C15" s="252">
        <f>+'Ejecución Gastos'!D159</f>
        <v>3068944</v>
      </c>
      <c r="D15" s="243" t="e">
        <f>+'Balance Gastos'!#REF!</f>
        <v>#REF!</v>
      </c>
      <c r="E15" s="252"/>
      <c r="F15" s="252">
        <f>+'Ejecución Gastos'!E159</f>
        <v>2919928</v>
      </c>
      <c r="G15" s="252">
        <f>+'Ejecución Gastos'!G159</f>
        <v>317906.87000000005</v>
      </c>
      <c r="H15" s="253">
        <f>G15/F15*100</f>
        <v>10.887490034000841</v>
      </c>
    </row>
    <row r="16" spans="1:24" ht="13.5" customHeight="1" x14ac:dyDescent="0.2">
      <c r="A16" s="254"/>
      <c r="B16" s="254"/>
      <c r="C16" s="255"/>
      <c r="D16" s="252"/>
      <c r="E16" s="252"/>
      <c r="F16" s="252"/>
      <c r="G16" s="252"/>
      <c r="H16" s="253" t="s">
        <v>6</v>
      </c>
      <c r="L16" s="1" t="s">
        <v>6</v>
      </c>
    </row>
    <row r="17" spans="1:11" ht="24.95" customHeight="1" x14ac:dyDescent="0.2">
      <c r="A17" s="246" t="s">
        <v>410</v>
      </c>
      <c r="B17" s="246"/>
      <c r="C17" s="256"/>
      <c r="D17" s="257">
        <v>0</v>
      </c>
      <c r="E17" s="257"/>
      <c r="F17" s="257">
        <v>0</v>
      </c>
      <c r="G17" s="258">
        <f>G10-G12-1</f>
        <v>-25684089.520000003</v>
      </c>
      <c r="H17" s="253" t="s">
        <v>6</v>
      </c>
    </row>
    <row r="18" spans="1:11" ht="12.75" customHeight="1" x14ac:dyDescent="0.2">
      <c r="A18" s="254" t="s">
        <v>6</v>
      </c>
      <c r="B18" s="254"/>
      <c r="C18" s="255"/>
      <c r="D18" s="252"/>
      <c r="E18" s="252"/>
      <c r="F18" s="252"/>
      <c r="G18" s="252"/>
      <c r="H18" s="253" t="s">
        <v>6</v>
      </c>
    </row>
    <row r="19" spans="1:11" ht="24.95" customHeight="1" x14ac:dyDescent="0.2">
      <c r="A19" s="246" t="s">
        <v>57</v>
      </c>
      <c r="B19" s="259">
        <f>+B21</f>
        <v>56905194</v>
      </c>
      <c r="C19" s="243">
        <f>SUM(C21)</f>
        <v>56905194</v>
      </c>
      <c r="D19" s="243">
        <f>SUM(D21:D24)</f>
        <v>56905194</v>
      </c>
      <c r="E19" s="243"/>
      <c r="F19" s="243">
        <f>SUM(F21:F24)</f>
        <v>31152113</v>
      </c>
      <c r="G19" s="243">
        <f>SUM(G21:G24)</f>
        <v>10765365.210000001</v>
      </c>
      <c r="H19" s="244">
        <f>G19/F19*100</f>
        <v>34.557415768233767</v>
      </c>
    </row>
    <row r="20" spans="1:11" ht="15.75" customHeight="1" x14ac:dyDescent="0.2">
      <c r="A20" s="254"/>
      <c r="B20" s="254"/>
      <c r="C20" s="255"/>
      <c r="D20" s="252" t="s">
        <v>6</v>
      </c>
      <c r="E20" s="252"/>
      <c r="F20" s="252" t="s">
        <v>6</v>
      </c>
      <c r="G20" s="252"/>
      <c r="H20" s="253" t="s">
        <v>6</v>
      </c>
    </row>
    <row r="21" spans="1:11" ht="24.95" customHeight="1" x14ac:dyDescent="0.2">
      <c r="A21" s="254" t="s">
        <v>411</v>
      </c>
      <c r="B21" s="252">
        <f>+Proyectos!B42</f>
        <v>56905194</v>
      </c>
      <c r="C21" s="252">
        <f>+Proyectos!C42</f>
        <v>56905194</v>
      </c>
      <c r="D21" s="252">
        <f>+Proyectos!B42</f>
        <v>56905194</v>
      </c>
      <c r="E21" s="252"/>
      <c r="F21" s="252">
        <f>+Proyectos!D42</f>
        <v>31152113</v>
      </c>
      <c r="G21" s="252">
        <f>+Proyectos!F42</f>
        <v>10765365.210000001</v>
      </c>
      <c r="H21" s="253">
        <f>G21/F21*100</f>
        <v>34.557415768233767</v>
      </c>
      <c r="I21" t="s">
        <v>6</v>
      </c>
    </row>
    <row r="22" spans="1:11" ht="24.95" customHeight="1" x14ac:dyDescent="0.2">
      <c r="A22" s="254" t="s">
        <v>510</v>
      </c>
      <c r="B22" s="254"/>
      <c r="C22" s="255"/>
      <c r="D22" s="252">
        <v>0</v>
      </c>
      <c r="E22" s="252"/>
      <c r="F22" s="252">
        <v>0</v>
      </c>
      <c r="G22" s="252" t="s">
        <v>6</v>
      </c>
      <c r="H22" s="253" t="s">
        <v>6</v>
      </c>
    </row>
    <row r="23" spans="1:11" ht="24.95" customHeight="1" x14ac:dyDescent="0.2">
      <c r="A23" s="254" t="s">
        <v>511</v>
      </c>
      <c r="B23" s="254"/>
      <c r="C23" s="255"/>
      <c r="D23" s="252">
        <v>0</v>
      </c>
      <c r="E23" s="252"/>
      <c r="F23" s="252">
        <v>0</v>
      </c>
      <c r="G23" s="252">
        <v>0</v>
      </c>
      <c r="H23" s="253" t="s">
        <v>6</v>
      </c>
    </row>
    <row r="24" spans="1:11" ht="24.95" customHeight="1" x14ac:dyDescent="0.2">
      <c r="A24" s="254" t="s">
        <v>512</v>
      </c>
      <c r="B24" s="254"/>
      <c r="C24" s="255"/>
      <c r="D24" s="252" t="s">
        <v>6</v>
      </c>
      <c r="E24" s="252"/>
      <c r="F24" s="252" t="s">
        <v>6</v>
      </c>
      <c r="G24" s="252">
        <v>0</v>
      </c>
      <c r="H24" s="253" t="s">
        <v>6</v>
      </c>
    </row>
    <row r="25" spans="1:11" ht="11.25" customHeight="1" x14ac:dyDescent="0.2">
      <c r="A25" s="254"/>
      <c r="B25" s="254"/>
      <c r="C25" s="255"/>
      <c r="D25" s="252"/>
      <c r="E25" s="252"/>
      <c r="F25" s="252"/>
      <c r="G25" s="252" t="s">
        <v>6</v>
      </c>
      <c r="H25" s="253" t="s">
        <v>6</v>
      </c>
    </row>
    <row r="26" spans="1:11" ht="24.95" customHeight="1" x14ac:dyDescent="0.2">
      <c r="A26" s="246" t="s">
        <v>58</v>
      </c>
      <c r="B26" s="247">
        <f>+B28+B30</f>
        <v>56905194</v>
      </c>
      <c r="C26" s="243">
        <f>SUM(C28:C30)</f>
        <v>56905194</v>
      </c>
      <c r="D26" s="243" t="e">
        <f>SUM(D28:D30)</f>
        <v>#REF!</v>
      </c>
      <c r="E26" s="243"/>
      <c r="F26" s="243">
        <f>SUM(F28:F30)</f>
        <v>28355806</v>
      </c>
      <c r="G26" s="243">
        <f>SUM(G28:G30)</f>
        <v>12080357</v>
      </c>
      <c r="H26" s="244">
        <f>G26/F26*100</f>
        <v>42.602763610387235</v>
      </c>
    </row>
    <row r="27" spans="1:11" ht="12.75" customHeight="1" x14ac:dyDescent="0.2">
      <c r="A27" s="254"/>
      <c r="B27" s="254"/>
      <c r="C27" s="255"/>
      <c r="D27" s="252"/>
      <c r="E27" s="252"/>
      <c r="F27" s="252"/>
      <c r="G27" s="252"/>
      <c r="H27" s="253" t="s">
        <v>6</v>
      </c>
    </row>
    <row r="28" spans="1:11" ht="24.95" customHeight="1" x14ac:dyDescent="0.2">
      <c r="A28" s="254" t="s">
        <v>59</v>
      </c>
      <c r="B28" s="252">
        <f>+'Recaudación Ing.'!C40</f>
        <v>2100000</v>
      </c>
      <c r="C28" s="252">
        <f>+'Recaudación Ing.'!D40</f>
        <v>2100000</v>
      </c>
      <c r="D28" s="252">
        <f>+'Recaudación Ing.'!D40</f>
        <v>2100000</v>
      </c>
      <c r="E28" s="252"/>
      <c r="F28" s="252">
        <f>+'Recaudación Ing.'!E40</f>
        <v>1050000</v>
      </c>
      <c r="G28" s="252">
        <f>+'Recaudación Ing.'!G41</f>
        <v>1050000</v>
      </c>
      <c r="H28" s="253">
        <f>G28/F28*100</f>
        <v>100</v>
      </c>
    </row>
    <row r="29" spans="1:11" ht="24.95" customHeight="1" x14ac:dyDescent="0.2">
      <c r="A29" s="254" t="s">
        <v>412</v>
      </c>
      <c r="B29" s="254"/>
      <c r="C29" s="255"/>
      <c r="D29" s="252">
        <v>0</v>
      </c>
      <c r="E29" s="252"/>
      <c r="F29" s="252">
        <v>0</v>
      </c>
      <c r="G29" s="252">
        <v>0</v>
      </c>
      <c r="H29" s="253" t="s">
        <v>6</v>
      </c>
      <c r="K29" t="s">
        <v>6</v>
      </c>
    </row>
    <row r="30" spans="1:11" ht="24.95" customHeight="1" x14ac:dyDescent="0.2">
      <c r="A30" s="254" t="s">
        <v>60</v>
      </c>
      <c r="B30" s="252">
        <f>+'Recaudación Ing.'!C37</f>
        <v>54805194</v>
      </c>
      <c r="C30" s="252">
        <f>+'Recaudación Ing.'!D37</f>
        <v>54805194</v>
      </c>
      <c r="D30" s="252" t="e">
        <f>+'Recaudación Ing.'!#REF!</f>
        <v>#REF!</v>
      </c>
      <c r="E30" s="252"/>
      <c r="F30" s="252">
        <f>+'Recaudación Ing.'!E37</f>
        <v>27305806</v>
      </c>
      <c r="G30" s="252">
        <f>+'Recaudación Ing.'!G37</f>
        <v>11030357</v>
      </c>
      <c r="H30" s="253">
        <f>G30/F30*100</f>
        <v>40.395646991705718</v>
      </c>
    </row>
    <row r="31" spans="1:11" ht="8.25" customHeight="1" x14ac:dyDescent="0.3">
      <c r="A31" s="260"/>
      <c r="B31" s="260"/>
      <c r="C31" s="261"/>
      <c r="D31" s="262" t="s">
        <v>6</v>
      </c>
      <c r="E31" s="262"/>
      <c r="F31" s="262" t="s">
        <v>6</v>
      </c>
      <c r="G31" s="249" t="s">
        <v>6</v>
      </c>
      <c r="H31" s="250" t="s">
        <v>6</v>
      </c>
    </row>
    <row r="32" spans="1:11" ht="24.95" customHeight="1" x14ac:dyDescent="0.3">
      <c r="A32" s="263" t="s">
        <v>61</v>
      </c>
      <c r="B32" s="264"/>
      <c r="C32" s="265"/>
      <c r="D32" s="266" t="s">
        <v>6</v>
      </c>
      <c r="E32" s="266"/>
      <c r="F32" s="266" t="s">
        <v>6</v>
      </c>
      <c r="G32" s="267">
        <f>G17-G19+G26+1</f>
        <v>-24369096.730000004</v>
      </c>
      <c r="H32" s="268" t="s">
        <v>6</v>
      </c>
    </row>
    <row r="33" spans="1:11" ht="16.5" customHeight="1" x14ac:dyDescent="0.2">
      <c r="A33" s="269" t="s">
        <v>6</v>
      </c>
      <c r="B33" s="269"/>
      <c r="C33" s="269"/>
      <c r="D33" s="270"/>
      <c r="E33" s="270"/>
      <c r="F33" s="270"/>
      <c r="G33" s="270"/>
      <c r="H33" s="270"/>
      <c r="I33" s="29"/>
      <c r="J33" s="25"/>
      <c r="K33" s="25"/>
    </row>
    <row r="34" spans="1:11" ht="13.5" customHeight="1" x14ac:dyDescent="0.2">
      <c r="A34" s="146" t="s">
        <v>508</v>
      </c>
      <c r="B34"/>
      <c r="C34"/>
      <c r="D34"/>
      <c r="E34"/>
      <c r="F34"/>
      <c r="G34"/>
      <c r="H34"/>
      <c r="I34" s="25"/>
      <c r="J34" s="42"/>
      <c r="K34" s="25"/>
    </row>
    <row r="35" spans="1:11" ht="12.75" customHeight="1" x14ac:dyDescent="0.2">
      <c r="A35"/>
      <c r="B35"/>
      <c r="C35"/>
      <c r="D35"/>
      <c r="E35"/>
      <c r="F35"/>
      <c r="G35" s="630" t="s">
        <v>6</v>
      </c>
      <c r="H35" s="630"/>
      <c r="I35" s="25"/>
      <c r="J35" s="43" t="s">
        <v>6</v>
      </c>
      <c r="K35" s="25"/>
    </row>
    <row r="36" spans="1:11" ht="14.25" customHeight="1" x14ac:dyDescent="0.2">
      <c r="D36" s="29"/>
      <c r="E36" s="29"/>
      <c r="F36" s="29"/>
      <c r="G36" s="29"/>
      <c r="H36" s="29"/>
    </row>
    <row r="37" spans="1:11" ht="11.25" customHeight="1" x14ac:dyDescent="0.2">
      <c r="A37" s="29" t="s">
        <v>6</v>
      </c>
      <c r="B37" s="29"/>
      <c r="C37" s="29"/>
    </row>
    <row r="38" spans="1:11" ht="11.25" customHeight="1" x14ac:dyDescent="0.2">
      <c r="A38" s="29"/>
      <c r="B38" s="29"/>
      <c r="C38" s="29"/>
      <c r="J38" t="s">
        <v>6</v>
      </c>
    </row>
    <row r="39" spans="1:11" ht="11.25" customHeight="1" x14ac:dyDescent="0.2">
      <c r="A39" s="29"/>
      <c r="B39" s="29"/>
      <c r="C39" s="29"/>
    </row>
    <row r="56" spans="7:7" x14ac:dyDescent="0.2">
      <c r="G56" s="25" t="s">
        <v>6</v>
      </c>
    </row>
  </sheetData>
  <mergeCells count="9">
    <mergeCell ref="A2:H2"/>
    <mergeCell ref="A3:H3"/>
    <mergeCell ref="G35:H35"/>
    <mergeCell ref="A4:H4"/>
    <mergeCell ref="A5:H5"/>
    <mergeCell ref="A7:A8"/>
    <mergeCell ref="H7:H8"/>
    <mergeCell ref="B7:F7"/>
    <mergeCell ref="G7:G8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C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6" tint="0.39997558519241921"/>
  </sheetPr>
  <dimension ref="A1:L88"/>
  <sheetViews>
    <sheetView showGridLines="0" showZeros="0" topLeftCell="A160" workbookViewId="0">
      <pane ySplit="1560" activePane="bottomLeft"/>
      <selection activeCell="C164" sqref="C164"/>
      <selection pane="bottomLeft" activeCell="K10" sqref="K10"/>
    </sheetView>
  </sheetViews>
  <sheetFormatPr baseColWidth="10" defaultColWidth="11.42578125" defaultRowHeight="12.75" x14ac:dyDescent="0.2"/>
  <cols>
    <col min="1" max="1" width="32" style="25" customWidth="1"/>
    <col min="2" max="2" width="11.28515625" style="25" customWidth="1"/>
    <col min="3" max="3" width="12.7109375" style="25" customWidth="1"/>
    <col min="4" max="4" width="13.28515625" style="25" hidden="1" customWidth="1"/>
    <col min="5" max="5" width="15.140625" style="25" hidden="1" customWidth="1"/>
    <col min="6" max="6" width="12.28515625" style="25" customWidth="1"/>
    <col min="7" max="7" width="15.7109375" style="25" customWidth="1"/>
    <col min="8" max="8" width="12.5703125" style="25" hidden="1" customWidth="1"/>
    <col min="9" max="9" width="14.28515625" style="25" customWidth="1"/>
  </cols>
  <sheetData>
    <row r="1" spans="1:12" ht="18" customHeight="1" x14ac:dyDescent="0.25">
      <c r="A1" s="609" t="s">
        <v>386</v>
      </c>
      <c r="B1" s="609"/>
      <c r="C1" s="609"/>
      <c r="D1" s="609"/>
      <c r="E1" s="609"/>
      <c r="F1" s="609"/>
      <c r="G1" s="609"/>
      <c r="H1" s="609"/>
      <c r="I1" s="609"/>
    </row>
    <row r="2" spans="1:12" ht="19.5" customHeight="1" x14ac:dyDescent="0.25">
      <c r="A2" s="609" t="s">
        <v>387</v>
      </c>
      <c r="B2" s="609"/>
      <c r="C2" s="609"/>
      <c r="D2" s="609"/>
      <c r="E2" s="609"/>
      <c r="F2" s="609"/>
      <c r="G2" s="609"/>
      <c r="H2" s="609"/>
      <c r="I2" s="609"/>
    </row>
    <row r="3" spans="1:12" ht="18" customHeight="1" x14ac:dyDescent="0.25">
      <c r="A3" s="610" t="s">
        <v>533</v>
      </c>
      <c r="B3" s="610"/>
      <c r="C3" s="610"/>
      <c r="D3" s="610"/>
      <c r="E3" s="610"/>
      <c r="F3" s="610"/>
      <c r="G3" s="610"/>
      <c r="H3" s="610"/>
      <c r="I3" s="610"/>
    </row>
    <row r="4" spans="1:12" ht="18" customHeight="1" x14ac:dyDescent="0.25">
      <c r="A4" s="610" t="s">
        <v>559</v>
      </c>
      <c r="B4" s="610"/>
      <c r="C4" s="610"/>
      <c r="D4" s="610"/>
      <c r="E4" s="610"/>
      <c r="F4" s="610"/>
      <c r="G4" s="610"/>
      <c r="H4" s="610"/>
      <c r="I4" s="610"/>
    </row>
    <row r="5" spans="1:12" ht="3" customHeight="1" x14ac:dyDescent="0.25">
      <c r="A5" s="271"/>
      <c r="B5" s="271"/>
      <c r="C5" s="271"/>
      <c r="D5" s="271"/>
      <c r="E5" s="271"/>
      <c r="F5" s="271"/>
      <c r="G5" s="271"/>
      <c r="H5" s="271"/>
      <c r="I5" s="271"/>
    </row>
    <row r="6" spans="1:12" ht="8.25" customHeight="1" x14ac:dyDescent="0.25">
      <c r="A6" s="271"/>
      <c r="B6" s="271"/>
      <c r="C6" s="271"/>
      <c r="D6" s="271"/>
      <c r="E6" s="7"/>
      <c r="F6" s="7"/>
      <c r="G6" s="7"/>
      <c r="H6" s="7"/>
      <c r="I6" s="60"/>
    </row>
    <row r="7" spans="1:12" ht="20.100000000000001" customHeight="1" x14ac:dyDescent="0.2">
      <c r="A7" s="640" t="s">
        <v>0</v>
      </c>
      <c r="B7" s="643" t="s">
        <v>31</v>
      </c>
      <c r="C7" s="644"/>
      <c r="D7" s="644"/>
      <c r="E7" s="644"/>
      <c r="F7" s="644"/>
      <c r="G7" s="645"/>
      <c r="H7" s="272"/>
      <c r="I7" s="633" t="s">
        <v>380</v>
      </c>
    </row>
    <row r="8" spans="1:12" ht="18" customHeight="1" x14ac:dyDescent="0.2">
      <c r="A8" s="641"/>
      <c r="B8" s="273" t="s">
        <v>87</v>
      </c>
      <c r="C8" s="274" t="s">
        <v>12</v>
      </c>
      <c r="D8" s="274" t="s">
        <v>12</v>
      </c>
      <c r="E8" s="542" t="s">
        <v>12</v>
      </c>
      <c r="F8" s="542" t="s">
        <v>2</v>
      </c>
      <c r="G8" s="274" t="s">
        <v>546</v>
      </c>
      <c r="H8" s="275" t="s">
        <v>23</v>
      </c>
      <c r="I8" s="642"/>
      <c r="L8" t="s">
        <v>6</v>
      </c>
    </row>
    <row r="9" spans="1:12" ht="6.75" customHeight="1" x14ac:dyDescent="0.3">
      <c r="A9" s="276"/>
      <c r="B9" s="276"/>
      <c r="C9" s="277"/>
      <c r="D9" s="278"/>
      <c r="E9" s="279"/>
      <c r="F9" s="280"/>
      <c r="G9" s="280"/>
      <c r="H9" s="280"/>
      <c r="I9" s="281"/>
    </row>
    <row r="10" spans="1:12" ht="18" customHeight="1" x14ac:dyDescent="0.3">
      <c r="A10" s="282" t="s">
        <v>24</v>
      </c>
      <c r="B10" s="282"/>
      <c r="C10" s="283"/>
      <c r="D10" s="284"/>
      <c r="E10" s="284"/>
      <c r="F10" s="284"/>
      <c r="G10" s="284"/>
      <c r="H10" s="284"/>
      <c r="I10" s="285"/>
    </row>
    <row r="11" spans="1:12" ht="9" customHeight="1" x14ac:dyDescent="0.2">
      <c r="A11" s="199"/>
      <c r="B11" s="199"/>
      <c r="C11" s="286"/>
      <c r="D11" s="286"/>
      <c r="E11" s="286"/>
      <c r="F11" s="286"/>
      <c r="G11" s="286"/>
      <c r="H11" s="286"/>
      <c r="I11" s="206"/>
    </row>
    <row r="12" spans="1:12" ht="15" customHeight="1" x14ac:dyDescent="0.2">
      <c r="A12" s="199" t="s">
        <v>25</v>
      </c>
      <c r="B12" s="287">
        <f>B15</f>
        <v>141094.80600000001</v>
      </c>
      <c r="C12" s="287">
        <f>C15</f>
        <v>141094.80600000001</v>
      </c>
      <c r="D12" s="287" t="e">
        <f>+D15</f>
        <v>#REF!</v>
      </c>
      <c r="E12" s="287" t="e">
        <f>+E15+#REF!</f>
        <v>#REF!</v>
      </c>
      <c r="F12" s="287">
        <f>+F15</f>
        <v>59899.824000000001</v>
      </c>
      <c r="G12" s="287">
        <f>+G15</f>
        <v>20577.450939999999</v>
      </c>
      <c r="H12" s="288" t="e">
        <f>+G12-E12</f>
        <v>#REF!</v>
      </c>
      <c r="I12" s="203">
        <f>G12/F12*100</f>
        <v>34.353107514973665</v>
      </c>
    </row>
    <row r="13" spans="1:12" ht="11.25" customHeight="1" x14ac:dyDescent="0.3">
      <c r="A13" s="289"/>
      <c r="B13" s="290"/>
      <c r="C13" s="290"/>
      <c r="D13" s="290"/>
      <c r="E13" s="290"/>
      <c r="F13" s="290"/>
      <c r="G13" s="290"/>
      <c r="H13" s="290"/>
      <c r="I13" s="291" t="s">
        <v>6</v>
      </c>
    </row>
    <row r="14" spans="1:12" ht="15" customHeight="1" x14ac:dyDescent="0.3">
      <c r="A14" s="199" t="s">
        <v>62</v>
      </c>
      <c r="B14" s="290"/>
      <c r="C14" s="290"/>
      <c r="D14" s="290"/>
      <c r="E14" s="290"/>
      <c r="F14" s="290"/>
      <c r="G14" s="290"/>
      <c r="H14" s="290"/>
      <c r="I14" s="291" t="s">
        <v>6</v>
      </c>
    </row>
    <row r="15" spans="1:12" ht="15" customHeight="1" x14ac:dyDescent="0.2">
      <c r="A15" s="199" t="s">
        <v>63</v>
      </c>
      <c r="B15" s="287">
        <f>SUM(B16:B19)</f>
        <v>141094.80600000001</v>
      </c>
      <c r="C15" s="287">
        <f>SUM(C16:C19)</f>
        <v>141094.80600000001</v>
      </c>
      <c r="D15" s="287" t="e">
        <f>SUM(D16:D19)</f>
        <v>#REF!</v>
      </c>
      <c r="E15" s="287">
        <f>SUM(E16:E19)</f>
        <v>141094.80600000001</v>
      </c>
      <c r="F15" s="287">
        <f>+F16+F17+F18+F19</f>
        <v>59899.824000000001</v>
      </c>
      <c r="G15" s="292">
        <f>+('Recaudación Ing.'!G13)/1000</f>
        <v>20577.450939999999</v>
      </c>
      <c r="H15" s="288">
        <f>+G15-E15</f>
        <v>-120517.35506000002</v>
      </c>
      <c r="I15" s="203">
        <f t="shared" ref="I15:I50" si="0">G15/F15*100</f>
        <v>34.353107514973665</v>
      </c>
    </row>
    <row r="16" spans="1:12" ht="15" customHeight="1" x14ac:dyDescent="0.2">
      <c r="A16" s="215" t="s">
        <v>64</v>
      </c>
      <c r="B16" s="292">
        <f>+('Recaudación Ing.'!C15)/1000</f>
        <v>5476.4920000000002</v>
      </c>
      <c r="C16" s="292">
        <f>+('Recaudación Ing.'!D15)/1000</f>
        <v>5476.4920000000002</v>
      </c>
      <c r="D16" s="292" t="e">
        <f>+('Recaudación Ing.'!#REF!)/1000</f>
        <v>#REF!</v>
      </c>
      <c r="E16" s="292">
        <f>+('Recaudación Ing.'!D15)/1000</f>
        <v>5476.4920000000002</v>
      </c>
      <c r="F16" s="292">
        <f>+('Recaudación Ing.'!E15)/1000</f>
        <v>2202.2620000000002</v>
      </c>
      <c r="G16" s="292">
        <f>+('Recaudación Ing.'!G15)/1000</f>
        <v>808.34285999999997</v>
      </c>
      <c r="H16" s="293">
        <f>+G16-E16</f>
        <v>-4668.1491400000004</v>
      </c>
      <c r="I16" s="214">
        <f t="shared" si="0"/>
        <v>36.705117738034801</v>
      </c>
      <c r="J16" t="s">
        <v>6</v>
      </c>
    </row>
    <row r="17" spans="1:11" ht="15" customHeight="1" x14ac:dyDescent="0.2">
      <c r="A17" s="215" t="s">
        <v>413</v>
      </c>
      <c r="B17" s="292">
        <f>+('Recaudación Ing.'!C21)/1000</f>
        <v>127866.63400000001</v>
      </c>
      <c r="C17" s="292">
        <f>+('Recaudación Ing.'!D21)/1000</f>
        <v>127866.63400000001</v>
      </c>
      <c r="D17" s="292">
        <f>+('Recaudación Ing.'!D21)/1000</f>
        <v>127866.63400000001</v>
      </c>
      <c r="E17" s="292">
        <f>+('Recaudación Ing.'!D21)/1000</f>
        <v>127866.63400000001</v>
      </c>
      <c r="F17" s="292">
        <f>+('Recaudación Ing.'!E21)/1000</f>
        <v>54583.387999999999</v>
      </c>
      <c r="G17" s="292">
        <f>+('Recaudación Ing.'!G21)/1000</f>
        <v>15458.982</v>
      </c>
      <c r="H17" s="293">
        <f>+G17-E17</f>
        <v>-112407.652</v>
      </c>
      <c r="I17" s="214">
        <f t="shared" si="0"/>
        <v>28.321770718959407</v>
      </c>
      <c r="K17" t="s">
        <v>6</v>
      </c>
    </row>
    <row r="18" spans="1:11" ht="15" customHeight="1" x14ac:dyDescent="0.2">
      <c r="A18" s="215" t="s">
        <v>65</v>
      </c>
      <c r="B18" s="292">
        <f>+('Recaudación Ing.'!C26)/1000</f>
        <v>5251.68</v>
      </c>
      <c r="C18" s="292">
        <f>+('Recaudación Ing.'!D26)/1000</f>
        <v>5251.68</v>
      </c>
      <c r="D18" s="292" t="e">
        <f>+('Recaudación Ing.'!#REF!)/1000</f>
        <v>#REF!</v>
      </c>
      <c r="E18" s="292">
        <f>+('Recaudación Ing.'!D26)/1000</f>
        <v>5251.68</v>
      </c>
      <c r="F18" s="292">
        <f>+('Recaudación Ing.'!E26)/1000</f>
        <v>2114.1729999999998</v>
      </c>
      <c r="G18" s="292">
        <f>+('Recaudación Ing.'!G26)/1000</f>
        <v>3896.1722400000003</v>
      </c>
      <c r="H18" s="293">
        <f>+G18-E18</f>
        <v>-1355.50776</v>
      </c>
      <c r="I18" s="214">
        <f t="shared" si="0"/>
        <v>184.28824131232403</v>
      </c>
    </row>
    <row r="19" spans="1:11" ht="15" customHeight="1" x14ac:dyDescent="0.2">
      <c r="A19" s="215" t="s">
        <v>66</v>
      </c>
      <c r="B19" s="292">
        <f>+('Recaudación Ing.'!C31)/1000</f>
        <v>2500</v>
      </c>
      <c r="C19" s="292">
        <f>+('Recaudación Ing.'!D31)/1000</f>
        <v>2500</v>
      </c>
      <c r="D19" s="292" t="e">
        <f>+('Recaudación Ing.'!#REF!)/1000</f>
        <v>#REF!</v>
      </c>
      <c r="E19" s="292">
        <f>+('Recaudación Ing.'!D31)/1000</f>
        <v>2500</v>
      </c>
      <c r="F19" s="292">
        <f>+('Recaudación Ing.'!E31)/1000</f>
        <v>1000.001</v>
      </c>
      <c r="G19" s="292">
        <f>+('Recaudación Ing.'!G31)/1000</f>
        <v>413.95383999999996</v>
      </c>
      <c r="H19" s="293">
        <f>+G19-E19</f>
        <v>-2086.0461599999999</v>
      </c>
      <c r="I19" s="214">
        <f t="shared" si="0"/>
        <v>41.395342604657394</v>
      </c>
    </row>
    <row r="20" spans="1:11" ht="9" customHeight="1" x14ac:dyDescent="0.3">
      <c r="A20" s="289"/>
      <c r="B20" s="290"/>
      <c r="C20" s="290"/>
      <c r="D20" s="290"/>
      <c r="E20" s="290"/>
      <c r="F20" s="290"/>
      <c r="G20" s="290"/>
      <c r="H20" s="290"/>
      <c r="I20" s="291" t="s">
        <v>6</v>
      </c>
    </row>
    <row r="21" spans="1:11" ht="15" customHeight="1" x14ac:dyDescent="0.3">
      <c r="A21" s="199" t="s">
        <v>11</v>
      </c>
      <c r="B21" s="290">
        <f t="shared" ref="B21:G21" si="1">SUM(B23:B25)</f>
        <v>2100</v>
      </c>
      <c r="C21" s="290">
        <f t="shared" si="1"/>
        <v>7310.5339999999997</v>
      </c>
      <c r="D21" s="287" t="e">
        <f t="shared" si="1"/>
        <v>#REF!</v>
      </c>
      <c r="E21" s="287">
        <f t="shared" si="1"/>
        <v>7310.5339999999997</v>
      </c>
      <c r="F21" s="287">
        <f t="shared" si="1"/>
        <v>5689.3770000000004</v>
      </c>
      <c r="G21" s="287">
        <f t="shared" si="1"/>
        <v>12080.357</v>
      </c>
      <c r="H21" s="288">
        <f>+G21-E21</f>
        <v>4769.8230000000003</v>
      </c>
      <c r="I21" s="203">
        <f t="shared" si="0"/>
        <v>212.33180715568679</v>
      </c>
    </row>
    <row r="22" spans="1:11" ht="9" customHeight="1" x14ac:dyDescent="0.3">
      <c r="A22" s="289"/>
      <c r="B22" s="290"/>
      <c r="C22" s="290"/>
      <c r="D22" s="290"/>
      <c r="E22" s="290"/>
      <c r="F22" s="290"/>
      <c r="G22" s="290"/>
      <c r="H22" s="294"/>
      <c r="I22" s="291" t="s">
        <v>6</v>
      </c>
    </row>
    <row r="23" spans="1:11" ht="15" customHeight="1" x14ac:dyDescent="0.2">
      <c r="A23" s="215" t="s">
        <v>414</v>
      </c>
      <c r="B23" s="292">
        <f>+('Recaudación Ing.'!C40)/1000</f>
        <v>2100</v>
      </c>
      <c r="C23" s="292">
        <f>+('Recaudación Ing.'!D40)/1000</f>
        <v>2100</v>
      </c>
      <c r="D23" s="292" t="e">
        <f>+('Recaudación Ing.'!#REF!)/1000</f>
        <v>#REF!</v>
      </c>
      <c r="E23" s="292">
        <f>+('Recaudación Ing.'!D40)/1000</f>
        <v>2100</v>
      </c>
      <c r="F23" s="292">
        <f>+('Recaudación Ing.'!E40)/1000</f>
        <v>1050</v>
      </c>
      <c r="G23" s="292">
        <f>+('Recaudación Ing.'!G40)/1000</f>
        <v>1050</v>
      </c>
      <c r="H23" s="293">
        <f>+G23-E23</f>
        <v>-1050</v>
      </c>
      <c r="I23" s="214">
        <f t="shared" si="0"/>
        <v>100</v>
      </c>
    </row>
    <row r="24" spans="1:11" ht="15" customHeight="1" x14ac:dyDescent="0.2">
      <c r="A24" s="215" t="s">
        <v>67</v>
      </c>
      <c r="B24" s="292">
        <v>0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3">
        <f>+G24-E24</f>
        <v>0</v>
      </c>
      <c r="I24" s="214" t="s">
        <v>6</v>
      </c>
    </row>
    <row r="25" spans="1:11" ht="15" customHeight="1" x14ac:dyDescent="0.2">
      <c r="A25" s="199" t="s">
        <v>415</v>
      </c>
      <c r="B25" s="292">
        <f t="shared" ref="B25:G25" si="2">SUM(B26)</f>
        <v>0</v>
      </c>
      <c r="C25" s="292">
        <f t="shared" si="2"/>
        <v>5210.5339999999997</v>
      </c>
      <c r="D25" s="287" t="e">
        <f t="shared" si="2"/>
        <v>#REF!</v>
      </c>
      <c r="E25" s="287">
        <f t="shared" si="2"/>
        <v>5210.5339999999997</v>
      </c>
      <c r="F25" s="287">
        <f t="shared" si="2"/>
        <v>4639.3770000000004</v>
      </c>
      <c r="G25" s="287">
        <f t="shared" si="2"/>
        <v>11030.357</v>
      </c>
      <c r="H25" s="288">
        <f>+G25-E25</f>
        <v>5819.8230000000003</v>
      </c>
      <c r="I25" s="203">
        <f t="shared" si="0"/>
        <v>237.75513393285345</v>
      </c>
    </row>
    <row r="26" spans="1:11" ht="15" customHeight="1" x14ac:dyDescent="0.2">
      <c r="A26" s="215" t="s">
        <v>416</v>
      </c>
      <c r="B26" s="292">
        <f>+('Recaudación Ing.'!C45)/1000</f>
        <v>0</v>
      </c>
      <c r="C26" s="292">
        <f>+('Recaudación Ing.'!D45)/1000</f>
        <v>5210.5339999999997</v>
      </c>
      <c r="D26" s="292" t="e">
        <f>+('Recaudación Ing.'!#REF!)/1000</f>
        <v>#REF!</v>
      </c>
      <c r="E26" s="292">
        <f>+('Recaudación Ing.'!D45)/1000</f>
        <v>5210.5339999999997</v>
      </c>
      <c r="F26" s="292">
        <f>+('Recaudación Ing.'!E45)/1000</f>
        <v>4639.3770000000004</v>
      </c>
      <c r="G26" s="292">
        <f>+('Recaudación Ing.'!G37)/1000</f>
        <v>11030.357</v>
      </c>
      <c r="H26" s="293">
        <f>+G26-E26</f>
        <v>5819.8230000000003</v>
      </c>
      <c r="I26" s="214">
        <f t="shared" si="0"/>
        <v>237.75513393285345</v>
      </c>
    </row>
    <row r="27" spans="1:11" ht="15" customHeight="1" x14ac:dyDescent="0.2">
      <c r="A27" s="215" t="s">
        <v>68</v>
      </c>
      <c r="B27" s="292"/>
      <c r="C27" s="292"/>
      <c r="D27" s="292"/>
      <c r="E27" s="292"/>
      <c r="F27" s="292"/>
      <c r="G27" s="292"/>
      <c r="H27" s="293"/>
      <c r="I27" s="214" t="s">
        <v>6</v>
      </c>
    </row>
    <row r="28" spans="1:11" ht="9" customHeight="1" x14ac:dyDescent="0.2">
      <c r="A28" s="215"/>
      <c r="B28" s="292"/>
      <c r="C28" s="292"/>
      <c r="D28" s="292"/>
      <c r="E28" s="292"/>
      <c r="F28" s="292"/>
      <c r="G28" s="292"/>
      <c r="H28" s="293"/>
      <c r="I28" s="214" t="s">
        <v>6</v>
      </c>
    </row>
    <row r="29" spans="1:11" ht="18" customHeight="1" x14ac:dyDescent="0.2">
      <c r="A29" s="199" t="s">
        <v>69</v>
      </c>
      <c r="B29" s="287">
        <f t="shared" ref="B29:G29" si="3">+B12+B21</f>
        <v>143194.80600000001</v>
      </c>
      <c r="C29" s="287">
        <f t="shared" si="3"/>
        <v>148405.34000000003</v>
      </c>
      <c r="D29" s="287" t="e">
        <f t="shared" si="3"/>
        <v>#REF!</v>
      </c>
      <c r="E29" s="287" t="e">
        <f t="shared" si="3"/>
        <v>#REF!</v>
      </c>
      <c r="F29" s="287">
        <f t="shared" si="3"/>
        <v>65589.201000000001</v>
      </c>
      <c r="G29" s="287">
        <f t="shared" si="3"/>
        <v>32657.807939999999</v>
      </c>
      <c r="H29" s="288" t="e">
        <f>+G29-E29</f>
        <v>#REF!</v>
      </c>
      <c r="I29" s="203">
        <f t="shared" si="0"/>
        <v>49.791440423248936</v>
      </c>
    </row>
    <row r="30" spans="1:11" ht="9" customHeight="1" x14ac:dyDescent="0.2">
      <c r="A30" s="215"/>
      <c r="B30" s="211"/>
      <c r="C30" s="211"/>
      <c r="D30" s="292"/>
      <c r="E30" s="292"/>
      <c r="F30" s="292"/>
      <c r="G30" s="292"/>
      <c r="H30" s="292"/>
      <c r="I30" s="214" t="s">
        <v>6</v>
      </c>
    </row>
    <row r="31" spans="1:11" ht="18" customHeight="1" x14ac:dyDescent="0.25">
      <c r="A31" s="282" t="s">
        <v>26</v>
      </c>
      <c r="B31" s="295"/>
      <c r="C31" s="295"/>
      <c r="D31" s="292"/>
      <c r="E31" s="292"/>
      <c r="F31" s="292"/>
      <c r="G31" s="292"/>
      <c r="H31" s="292"/>
      <c r="I31" s="214" t="s">
        <v>6</v>
      </c>
    </row>
    <row r="32" spans="1:11" ht="9" customHeight="1" x14ac:dyDescent="0.2">
      <c r="A32" s="215"/>
      <c r="B32" s="211"/>
      <c r="C32" s="211"/>
      <c r="D32" s="292"/>
      <c r="E32" s="292"/>
      <c r="F32" s="292"/>
      <c r="G32" s="292"/>
      <c r="H32" s="292"/>
      <c r="I32" s="214" t="s">
        <v>6</v>
      </c>
    </row>
    <row r="33" spans="1:10" ht="15" customHeight="1" x14ac:dyDescent="0.2">
      <c r="A33" s="199" t="s">
        <v>27</v>
      </c>
      <c r="B33" s="287">
        <f>+B35+B41</f>
        <v>141094.80599999998</v>
      </c>
      <c r="C33" s="287">
        <f>+C35+C41</f>
        <v>141094.80600000001</v>
      </c>
      <c r="D33" s="287" t="e">
        <f>+D35+D41+#REF!</f>
        <v>#REF!</v>
      </c>
      <c r="E33" s="287" t="e">
        <f>+E35+E41+#REF!</f>
        <v>#REF!</v>
      </c>
      <c r="F33" s="287">
        <f>+F35+F41</f>
        <v>64893.018000000004</v>
      </c>
      <c r="G33" s="287">
        <f>+G35+G41</f>
        <v>46261.539460000007</v>
      </c>
      <c r="H33" s="287" t="e">
        <f>+E33-G33</f>
        <v>#REF!</v>
      </c>
      <c r="I33" s="203">
        <f t="shared" si="0"/>
        <v>71.288931977242925</v>
      </c>
    </row>
    <row r="34" spans="1:10" ht="15" customHeight="1" x14ac:dyDescent="0.2">
      <c r="A34" s="215"/>
      <c r="B34" s="211"/>
      <c r="C34" s="211"/>
      <c r="D34" s="292"/>
      <c r="E34" s="292"/>
      <c r="F34" s="292"/>
      <c r="G34" s="292"/>
      <c r="H34" s="292"/>
      <c r="I34" s="214"/>
    </row>
    <row r="35" spans="1:10" ht="18" customHeight="1" x14ac:dyDescent="0.2">
      <c r="A35" s="199" t="s">
        <v>417</v>
      </c>
      <c r="B35" s="287">
        <f t="shared" ref="B35:G35" si="4">SUM(B36:B39)</f>
        <v>138843.21199999997</v>
      </c>
      <c r="C35" s="287">
        <f t="shared" si="4"/>
        <v>138025.86200000002</v>
      </c>
      <c r="D35" s="287">
        <f t="shared" si="4"/>
        <v>138025.86200000002</v>
      </c>
      <c r="E35" s="287">
        <f t="shared" si="4"/>
        <v>138025.86200000002</v>
      </c>
      <c r="F35" s="287">
        <f t="shared" si="4"/>
        <v>61973.090000000004</v>
      </c>
      <c r="G35" s="287">
        <f t="shared" si="4"/>
        <v>45943.632590000008</v>
      </c>
      <c r="H35" s="287">
        <f t="shared" ref="H35:H39" si="5">+E35-G35</f>
        <v>92082.229410000014</v>
      </c>
      <c r="I35" s="203">
        <f t="shared" si="0"/>
        <v>74.134810108710099</v>
      </c>
      <c r="J35" s="24"/>
    </row>
    <row r="36" spans="1:10" ht="20.25" customHeight="1" x14ac:dyDescent="0.2">
      <c r="A36" s="215" t="s">
        <v>336</v>
      </c>
      <c r="B36" s="292">
        <f>(+'Ejecución Gastos'!C11)/1000</f>
        <v>125299.72900000001</v>
      </c>
      <c r="C36" s="292">
        <f>(+'Ejecución Gastos'!D11)/1000</f>
        <v>124433.084</v>
      </c>
      <c r="D36" s="292">
        <f>(+'Ejecución Gastos'!D11)/1000</f>
        <v>124433.084</v>
      </c>
      <c r="E36" s="292">
        <f>(+'Ejecución Gastos'!D11)/1000</f>
        <v>124433.084</v>
      </c>
      <c r="F36" s="292">
        <f>(+'Ejecución Gastos'!E11)/1000</f>
        <v>51000.665000000001</v>
      </c>
      <c r="G36" s="292">
        <f>(+'Ejecución Gastos'!G11)/1000</f>
        <v>41091.877510000006</v>
      </c>
      <c r="H36" s="292">
        <f t="shared" si="5"/>
        <v>83341.206489999997</v>
      </c>
      <c r="I36" s="214">
        <f t="shared" si="0"/>
        <v>80.571258257122736</v>
      </c>
      <c r="J36" s="24"/>
    </row>
    <row r="37" spans="1:10" ht="17.25" customHeight="1" x14ac:dyDescent="0.2">
      <c r="A37" s="215" t="s">
        <v>418</v>
      </c>
      <c r="B37" s="292">
        <f>(+'Ejecución Gastos'!C37)/1000</f>
        <v>7293.0079999999998</v>
      </c>
      <c r="C37" s="292">
        <f>(+'Ejecución Gastos'!D37)/1000</f>
        <v>6835.0429999999997</v>
      </c>
      <c r="D37" s="292">
        <f>(+'Ejecución Gastos'!D37)/1000</f>
        <v>6835.0429999999997</v>
      </c>
      <c r="E37" s="292">
        <f>(+'Ejecución Gastos'!D37)/1000</f>
        <v>6835.0429999999997</v>
      </c>
      <c r="F37" s="292">
        <f>(+'Ejecución Gastos'!E37)/1000</f>
        <v>5157.317</v>
      </c>
      <c r="G37" s="292">
        <f>(+'Ejecución Gastos'!G37)/1000</f>
        <v>2627.1371200000003</v>
      </c>
      <c r="H37" s="292">
        <f t="shared" si="5"/>
        <v>4207.9058799999993</v>
      </c>
      <c r="I37" s="214">
        <f t="shared" si="0"/>
        <v>50.939996901489678</v>
      </c>
      <c r="J37" s="24"/>
    </row>
    <row r="38" spans="1:10" ht="15.75" customHeight="1" x14ac:dyDescent="0.2">
      <c r="A38" s="215" t="s">
        <v>70</v>
      </c>
      <c r="B38" s="292">
        <f>(+'Ejecución Gastos'!C94)/1000</f>
        <v>3042.5610000000001</v>
      </c>
      <c r="C38" s="292">
        <f>(+'Ejecución Gastos'!D94)/1000</f>
        <v>3809.1210000000001</v>
      </c>
      <c r="D38" s="292">
        <f>(+'Ejecución Gastos'!D94)/1000</f>
        <v>3809.1210000000001</v>
      </c>
      <c r="E38" s="292">
        <f>(+'Ejecución Gastos'!D94)/1000</f>
        <v>3809.1210000000001</v>
      </c>
      <c r="F38" s="292">
        <f>(+'Ejecución Gastos'!E94)/1000</f>
        <v>3669.2330000000002</v>
      </c>
      <c r="G38" s="292">
        <f>(+'Ejecución Gastos'!G94)/1000</f>
        <v>1561.81044</v>
      </c>
      <c r="H38" s="292">
        <f t="shared" si="5"/>
        <v>2247.3105599999999</v>
      </c>
      <c r="I38" s="214">
        <f t="shared" si="0"/>
        <v>42.565038524400059</v>
      </c>
      <c r="J38" s="24"/>
    </row>
    <row r="39" spans="1:10" ht="17.25" customHeight="1" x14ac:dyDescent="0.2">
      <c r="A39" s="215" t="s">
        <v>504</v>
      </c>
      <c r="B39" s="292">
        <f>(+'Ejecución Gastos'!C154)/1000</f>
        <v>3207.9140000000002</v>
      </c>
      <c r="C39" s="292">
        <f>(+'Ejecución Gastos'!D154)/1000</f>
        <v>2948.614</v>
      </c>
      <c r="D39" s="292">
        <f>(+'Ejecución Gastos'!D154)/1000</f>
        <v>2948.614</v>
      </c>
      <c r="E39" s="292">
        <f>(+'Ejecución Gastos'!D154)/1000</f>
        <v>2948.614</v>
      </c>
      <c r="F39" s="292">
        <f>(+'Ejecución Gastos'!E154)/1000</f>
        <v>2145.875</v>
      </c>
      <c r="G39" s="292">
        <f>(+'Ejecución Gastos'!G154)/1000</f>
        <v>662.80752000000007</v>
      </c>
      <c r="H39" s="292">
        <f t="shared" si="5"/>
        <v>2285.8064800000002</v>
      </c>
      <c r="I39" s="214">
        <f t="shared" si="0"/>
        <v>30.887517679268367</v>
      </c>
      <c r="J39" s="24"/>
    </row>
    <row r="40" spans="1:10" ht="9" customHeight="1" x14ac:dyDescent="0.2">
      <c r="A40" s="215" t="s">
        <v>6</v>
      </c>
      <c r="B40" s="211"/>
      <c r="C40" s="211"/>
      <c r="D40" s="292">
        <v>0</v>
      </c>
      <c r="E40" s="292">
        <v>0</v>
      </c>
      <c r="F40" s="292" t="s">
        <v>6</v>
      </c>
      <c r="G40" s="292" t="s">
        <v>6</v>
      </c>
      <c r="H40" s="292"/>
      <c r="I40" s="214" t="s">
        <v>6</v>
      </c>
    </row>
    <row r="41" spans="1:10" ht="15" customHeight="1" x14ac:dyDescent="0.2">
      <c r="A41" s="199" t="s">
        <v>542</v>
      </c>
      <c r="B41" s="287">
        <f>(+'Ejecución Gastos'!C159)/1000</f>
        <v>2251.5940000000001</v>
      </c>
      <c r="C41" s="287">
        <f>(+'Ejecución Gastos'!D159)/1000</f>
        <v>3068.944</v>
      </c>
      <c r="D41" s="287">
        <f>(+'Ejecución Gastos'!D159)/1000</f>
        <v>3068.944</v>
      </c>
      <c r="E41" s="287">
        <f>(+'Ejecución Gastos'!D159)/1000</f>
        <v>3068.944</v>
      </c>
      <c r="F41" s="287">
        <f>(+'Ejecución Gastos'!E159)/1000</f>
        <v>2919.9279999999999</v>
      </c>
      <c r="G41" s="287">
        <f>(+'Ejecución Gastos'!G159)/1000</f>
        <v>317.90687000000003</v>
      </c>
      <c r="H41" s="287">
        <f>+E41-G41</f>
        <v>2751.0371299999997</v>
      </c>
      <c r="I41" s="203">
        <f t="shared" si="0"/>
        <v>10.887490034000839</v>
      </c>
    </row>
    <row r="42" spans="1:10" ht="8.25" customHeight="1" x14ac:dyDescent="0.2">
      <c r="A42" s="215"/>
      <c r="B42" s="211"/>
      <c r="C42" s="211"/>
      <c r="D42" s="292"/>
      <c r="E42" s="292"/>
      <c r="F42" s="292"/>
      <c r="G42" s="292"/>
      <c r="H42" s="292"/>
      <c r="I42" s="214" t="s">
        <v>6</v>
      </c>
    </row>
    <row r="43" spans="1:10" ht="15" customHeight="1" x14ac:dyDescent="0.2">
      <c r="A43" s="199" t="s">
        <v>28</v>
      </c>
      <c r="B43" s="287">
        <f t="shared" ref="B43:G43" si="6">SUM(B45)</f>
        <v>56905.194000000003</v>
      </c>
      <c r="C43" s="287">
        <f t="shared" si="6"/>
        <v>56905.194000000003</v>
      </c>
      <c r="D43" s="287">
        <f t="shared" si="6"/>
        <v>56905.194000000003</v>
      </c>
      <c r="E43" s="287" t="e">
        <f t="shared" si="6"/>
        <v>#REF!</v>
      </c>
      <c r="F43" s="287">
        <f t="shared" si="6"/>
        <v>31152.113000000001</v>
      </c>
      <c r="G43" s="287">
        <f t="shared" si="6"/>
        <v>10765.365210000002</v>
      </c>
      <c r="H43" s="287" t="e">
        <f>+E43-G43</f>
        <v>#REF!</v>
      </c>
      <c r="I43" s="203">
        <f t="shared" si="0"/>
        <v>34.557415768233767</v>
      </c>
      <c r="J43" t="s">
        <v>6</v>
      </c>
    </row>
    <row r="44" spans="1:10" ht="15" customHeight="1" x14ac:dyDescent="0.2">
      <c r="A44" s="215"/>
      <c r="B44" s="211"/>
      <c r="C44" s="211"/>
      <c r="D44" s="292"/>
      <c r="E44" s="292"/>
      <c r="F44" s="292"/>
      <c r="G44" s="292"/>
      <c r="H44" s="292"/>
      <c r="I44" s="214" t="s">
        <v>6</v>
      </c>
    </row>
    <row r="45" spans="1:10" ht="15" customHeight="1" x14ac:dyDescent="0.2">
      <c r="A45" s="215" t="s">
        <v>419</v>
      </c>
      <c r="B45" s="292">
        <f>+(Proyectos!B42)/1000</f>
        <v>56905.194000000003</v>
      </c>
      <c r="C45" s="292">
        <f>+(Proyectos!C42)/1000</f>
        <v>56905.194000000003</v>
      </c>
      <c r="D45" s="292">
        <f>+(Proyectos!C42)/1000</f>
        <v>56905.194000000003</v>
      </c>
      <c r="E45" s="292" t="e">
        <f>+(#REF!)/1000</f>
        <v>#REF!</v>
      </c>
      <c r="F45" s="292">
        <f>+(Proyectos!D42)/1000</f>
        <v>31152.113000000001</v>
      </c>
      <c r="G45" s="292">
        <f>+(Proyectos!F42)/1000</f>
        <v>10765.365210000002</v>
      </c>
      <c r="H45" s="292" t="e">
        <f>+E45-G45</f>
        <v>#REF!</v>
      </c>
      <c r="I45" s="214">
        <f t="shared" si="0"/>
        <v>34.557415768233767</v>
      </c>
    </row>
    <row r="46" spans="1:10" ht="14.25" customHeight="1" x14ac:dyDescent="0.2">
      <c r="A46" s="215" t="s">
        <v>71</v>
      </c>
      <c r="B46" s="211"/>
      <c r="C46" s="292">
        <f>+(Proyectos!B43)/1000</f>
        <v>0</v>
      </c>
      <c r="D46" s="292">
        <v>0</v>
      </c>
      <c r="E46" s="292">
        <v>0</v>
      </c>
      <c r="F46" s="292">
        <v>0</v>
      </c>
      <c r="G46" s="292">
        <v>0</v>
      </c>
      <c r="H46" s="292">
        <f>+E46-G46</f>
        <v>0</v>
      </c>
      <c r="I46" s="214" t="s">
        <v>6</v>
      </c>
    </row>
    <row r="47" spans="1:10" ht="15" customHeight="1" x14ac:dyDescent="0.2">
      <c r="A47" s="215" t="s">
        <v>420</v>
      </c>
      <c r="B47" s="211"/>
      <c r="C47" s="292">
        <f>+(Proyectos!B44)/1000</f>
        <v>0</v>
      </c>
      <c r="D47" s="292" t="s">
        <v>6</v>
      </c>
      <c r="E47" s="292" t="s">
        <v>6</v>
      </c>
      <c r="F47" s="292" t="s">
        <v>6</v>
      </c>
      <c r="G47" s="292" t="s">
        <v>6</v>
      </c>
      <c r="H47" s="292" t="s">
        <v>6</v>
      </c>
      <c r="I47" s="214" t="s">
        <v>6</v>
      </c>
    </row>
    <row r="48" spans="1:10" ht="15" customHeight="1" x14ac:dyDescent="0.2">
      <c r="A48" s="215" t="s">
        <v>72</v>
      </c>
      <c r="B48" s="211"/>
      <c r="C48" s="211"/>
      <c r="D48" s="292">
        <v>0</v>
      </c>
      <c r="E48" s="292">
        <v>0</v>
      </c>
      <c r="F48" s="292">
        <v>0</v>
      </c>
      <c r="G48" s="292">
        <v>0</v>
      </c>
      <c r="H48" s="292">
        <f>+E48-G48</f>
        <v>0</v>
      </c>
      <c r="I48" s="214" t="s">
        <v>6</v>
      </c>
    </row>
    <row r="49" spans="1:9" ht="8.25" customHeight="1" x14ac:dyDescent="0.2">
      <c r="A49" s="215"/>
      <c r="B49" s="211"/>
      <c r="C49" s="211"/>
      <c r="D49" s="292"/>
      <c r="E49" s="292"/>
      <c r="F49" s="292"/>
      <c r="G49" s="292"/>
      <c r="H49" s="292"/>
      <c r="I49" s="214" t="s">
        <v>6</v>
      </c>
    </row>
    <row r="50" spans="1:9" ht="18" customHeight="1" x14ac:dyDescent="0.2">
      <c r="A50" s="199" t="s">
        <v>73</v>
      </c>
      <c r="B50" s="287">
        <f t="shared" ref="B50:H50" si="7">+B33+B43</f>
        <v>198000</v>
      </c>
      <c r="C50" s="287">
        <f t="shared" si="7"/>
        <v>198000</v>
      </c>
      <c r="D50" s="287" t="e">
        <f t="shared" si="7"/>
        <v>#REF!</v>
      </c>
      <c r="E50" s="287" t="e">
        <f t="shared" si="7"/>
        <v>#REF!</v>
      </c>
      <c r="F50" s="287">
        <f t="shared" si="7"/>
        <v>96045.131000000008</v>
      </c>
      <c r="G50" s="287">
        <f t="shared" si="7"/>
        <v>57026.904670000011</v>
      </c>
      <c r="H50" s="287" t="e">
        <f t="shared" si="7"/>
        <v>#REF!</v>
      </c>
      <c r="I50" s="203">
        <f t="shared" si="0"/>
        <v>59.375112591600299</v>
      </c>
    </row>
    <row r="51" spans="1:9" ht="9" customHeight="1" x14ac:dyDescent="0.2">
      <c r="A51" s="215"/>
      <c r="B51" s="215"/>
      <c r="C51" s="211"/>
      <c r="D51" s="292"/>
      <c r="E51" s="292"/>
      <c r="F51" s="292"/>
      <c r="G51" s="292"/>
      <c r="H51" s="292"/>
      <c r="I51" s="214" t="s">
        <v>6</v>
      </c>
    </row>
    <row r="52" spans="1:9" ht="21.75" customHeight="1" x14ac:dyDescent="0.25">
      <c r="A52" s="296" t="s">
        <v>29</v>
      </c>
      <c r="B52" s="297"/>
      <c r="C52" s="298"/>
      <c r="D52" s="299" t="s">
        <v>6</v>
      </c>
      <c r="E52" s="299" t="e">
        <f>E29-E50</f>
        <v>#REF!</v>
      </c>
      <c r="F52" s="300" t="s">
        <v>6</v>
      </c>
      <c r="G52" s="301">
        <f>G29-G50</f>
        <v>-24369.096730000012</v>
      </c>
      <c r="H52" s="300" t="s">
        <v>6</v>
      </c>
      <c r="I52" s="302" t="s">
        <v>6</v>
      </c>
    </row>
    <row r="53" spans="1:9" ht="15" customHeight="1" x14ac:dyDescent="0.2">
      <c r="A53" s="303"/>
      <c r="B53" s="7"/>
      <c r="C53" s="7"/>
      <c r="D53" s="303"/>
      <c r="E53" s="304"/>
      <c r="F53" s="304"/>
      <c r="G53" s="304"/>
      <c r="H53" s="305"/>
      <c r="I53" s="306"/>
    </row>
    <row r="54" spans="1:9" ht="15" customHeight="1" x14ac:dyDescent="0.25">
      <c r="A54" s="606" t="s">
        <v>506</v>
      </c>
      <c r="B54" s="606"/>
      <c r="C54" s="146"/>
      <c r="D54" s="146"/>
      <c r="E54" s="7"/>
      <c r="F54" s="7" t="s">
        <v>6</v>
      </c>
      <c r="G54" s="7"/>
      <c r="H54" s="145"/>
      <c r="I54" s="60"/>
    </row>
    <row r="55" spans="1:9" ht="15" customHeight="1" x14ac:dyDescent="0.25">
      <c r="A55" s="25" t="s">
        <v>6</v>
      </c>
      <c r="H55" s="37"/>
      <c r="I55" s="30"/>
    </row>
    <row r="56" spans="1:9" ht="15" customHeight="1" x14ac:dyDescent="0.25">
      <c r="F56" s="44" t="s">
        <v>6</v>
      </c>
      <c r="G56" s="44"/>
      <c r="H56" s="37"/>
      <c r="I56" s="30"/>
    </row>
    <row r="57" spans="1:9" ht="15" customHeight="1" x14ac:dyDescent="0.25">
      <c r="A57" s="31"/>
      <c r="B57" s="31"/>
      <c r="C57" s="31"/>
      <c r="D57" s="31"/>
      <c r="E57" s="36"/>
      <c r="F57" s="36"/>
      <c r="G57" s="36" t="s">
        <v>6</v>
      </c>
      <c r="H57" s="37"/>
      <c r="I57" s="30"/>
    </row>
    <row r="58" spans="1:9" ht="15" customHeight="1" x14ac:dyDescent="0.25">
      <c r="A58" s="31"/>
      <c r="B58" s="31"/>
      <c r="C58" s="31"/>
      <c r="D58" s="31"/>
      <c r="E58" s="36"/>
      <c r="F58" s="36"/>
      <c r="G58" s="36"/>
      <c r="H58" s="37"/>
      <c r="I58" s="30"/>
    </row>
    <row r="59" spans="1:9" ht="15" customHeight="1" x14ac:dyDescent="0.25">
      <c r="A59" s="31"/>
      <c r="B59" s="31"/>
      <c r="C59" s="31"/>
      <c r="D59" s="31"/>
      <c r="E59" s="36"/>
      <c r="F59" s="36"/>
      <c r="G59" s="36"/>
      <c r="H59" s="37"/>
      <c r="I59" s="30"/>
    </row>
    <row r="60" spans="1:9" ht="15" customHeight="1" x14ac:dyDescent="0.25">
      <c r="A60" s="29"/>
      <c r="B60" s="29"/>
      <c r="C60" s="29"/>
      <c r="D60" s="29"/>
      <c r="E60" s="29"/>
      <c r="F60" s="29"/>
      <c r="H60" s="37"/>
      <c r="I60" s="30"/>
    </row>
    <row r="61" spans="1:9" ht="15" customHeight="1" x14ac:dyDescent="0.2">
      <c r="A61" s="29"/>
      <c r="B61" s="29"/>
      <c r="C61" s="29"/>
      <c r="D61" s="29"/>
      <c r="E61" s="29"/>
      <c r="F61" s="29"/>
      <c r="I61" s="30"/>
    </row>
    <row r="62" spans="1:9" ht="15" customHeight="1" x14ac:dyDescent="0.2">
      <c r="A62" s="29"/>
      <c r="B62" s="29"/>
      <c r="C62" s="29"/>
      <c r="D62" s="29"/>
      <c r="I62" s="30"/>
    </row>
    <row r="63" spans="1:9" x14ac:dyDescent="0.2">
      <c r="A63" s="29"/>
      <c r="B63" s="29"/>
      <c r="C63" s="29"/>
      <c r="D63" s="29"/>
      <c r="I63" s="30"/>
    </row>
    <row r="64" spans="1:9" x14ac:dyDescent="0.2">
      <c r="A64" s="29"/>
      <c r="B64" s="29"/>
      <c r="C64" s="29"/>
      <c r="D64" s="29"/>
      <c r="I64" s="30"/>
    </row>
    <row r="65" spans="1:9" x14ac:dyDescent="0.2">
      <c r="A65" s="29"/>
      <c r="B65" s="29"/>
      <c r="C65" s="29"/>
      <c r="D65" s="29"/>
      <c r="I65" s="30"/>
    </row>
    <row r="66" spans="1:9" ht="15" x14ac:dyDescent="0.25">
      <c r="A66" s="29"/>
      <c r="B66" s="29"/>
      <c r="C66" s="29"/>
      <c r="D66" s="29"/>
      <c r="E66" s="32"/>
      <c r="F66" s="32"/>
      <c r="G66" s="32"/>
      <c r="H66" s="33"/>
      <c r="I66" s="30"/>
    </row>
    <row r="67" spans="1:9" ht="15" x14ac:dyDescent="0.25">
      <c r="A67" s="29"/>
      <c r="B67" s="29"/>
      <c r="C67" s="29"/>
      <c r="D67" s="29"/>
      <c r="E67" s="32"/>
      <c r="F67" s="32"/>
      <c r="G67" s="32"/>
      <c r="H67" s="33"/>
      <c r="I67" s="30"/>
    </row>
    <row r="68" spans="1:9" x14ac:dyDescent="0.2">
      <c r="A68" s="29"/>
      <c r="B68" s="29"/>
      <c r="C68" s="29"/>
      <c r="D68" s="29"/>
      <c r="I68" s="30"/>
    </row>
    <row r="69" spans="1:9" x14ac:dyDescent="0.2">
      <c r="I69" s="30"/>
    </row>
    <row r="70" spans="1:9" x14ac:dyDescent="0.2">
      <c r="I70" s="30"/>
    </row>
    <row r="71" spans="1:9" x14ac:dyDescent="0.2">
      <c r="I71" s="30"/>
    </row>
    <row r="72" spans="1:9" x14ac:dyDescent="0.2">
      <c r="I72" s="30"/>
    </row>
    <row r="73" spans="1:9" x14ac:dyDescent="0.2">
      <c r="I73" s="30"/>
    </row>
    <row r="74" spans="1:9" x14ac:dyDescent="0.2">
      <c r="I74" s="30"/>
    </row>
    <row r="75" spans="1:9" x14ac:dyDescent="0.2">
      <c r="I75" s="30"/>
    </row>
    <row r="76" spans="1:9" x14ac:dyDescent="0.2">
      <c r="I76" s="30"/>
    </row>
    <row r="77" spans="1:9" x14ac:dyDescent="0.2">
      <c r="I77" s="30"/>
    </row>
    <row r="78" spans="1:9" x14ac:dyDescent="0.2">
      <c r="I78" s="30"/>
    </row>
    <row r="79" spans="1:9" x14ac:dyDescent="0.2">
      <c r="I79" s="30"/>
    </row>
    <row r="80" spans="1:9" x14ac:dyDescent="0.2">
      <c r="I80" s="30"/>
    </row>
    <row r="81" spans="9:9" x14ac:dyDescent="0.2">
      <c r="I81" s="30"/>
    </row>
    <row r="82" spans="9:9" x14ac:dyDescent="0.2">
      <c r="I82" s="30"/>
    </row>
    <row r="83" spans="9:9" x14ac:dyDescent="0.2">
      <c r="I83" s="30"/>
    </row>
    <row r="84" spans="9:9" x14ac:dyDescent="0.2">
      <c r="I84" s="30"/>
    </row>
    <row r="85" spans="9:9" x14ac:dyDescent="0.2">
      <c r="I85" s="30"/>
    </row>
    <row r="86" spans="9:9" x14ac:dyDescent="0.2">
      <c r="I86" s="30"/>
    </row>
    <row r="87" spans="9:9" x14ac:dyDescent="0.2">
      <c r="I87" s="30"/>
    </row>
    <row r="88" spans="9:9" x14ac:dyDescent="0.2">
      <c r="I88" s="30"/>
    </row>
  </sheetData>
  <mergeCells count="8">
    <mergeCell ref="A54:B54"/>
    <mergeCell ref="A1:I1"/>
    <mergeCell ref="A2:I2"/>
    <mergeCell ref="A7:A8"/>
    <mergeCell ref="A3:I3"/>
    <mergeCell ref="A4:I4"/>
    <mergeCell ref="I7:I8"/>
    <mergeCell ref="B7:G7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theme="6" tint="0.39997558519241921"/>
  </sheetPr>
  <dimension ref="A1:Q181"/>
  <sheetViews>
    <sheetView showGridLines="0" showZeros="0" workbookViewId="0">
      <selection activeCell="F19" sqref="F19"/>
    </sheetView>
  </sheetViews>
  <sheetFormatPr baseColWidth="10" defaultColWidth="11.42578125" defaultRowHeight="12.75" x14ac:dyDescent="0.2"/>
  <cols>
    <col min="1" max="1" width="35.28515625" style="25" customWidth="1"/>
    <col min="2" max="3" width="13" style="25" customWidth="1"/>
    <col min="4" max="4" width="11.140625" style="25" customWidth="1"/>
    <col min="5" max="5" width="11.7109375" style="25" hidden="1" customWidth="1"/>
    <col min="6" max="6" width="15.140625" style="25" customWidth="1"/>
    <col min="7" max="7" width="13" style="25" customWidth="1"/>
    <col min="8" max="8" width="12.7109375" style="25" customWidth="1"/>
    <col min="9" max="9" width="12.28515625" style="25" customWidth="1"/>
    <col min="10" max="10" width="11.85546875" style="25" hidden="1" customWidth="1"/>
    <col min="11" max="11" width="13.28515625" style="25" customWidth="1"/>
    <col min="12" max="12" width="0.140625" customWidth="1"/>
    <col min="13" max="13" width="13.5703125" customWidth="1"/>
  </cols>
  <sheetData>
    <row r="1" spans="1:14" ht="12" customHeight="1" x14ac:dyDescent="0.2">
      <c r="A1" s="57"/>
      <c r="B1" s="57"/>
      <c r="C1" s="57"/>
      <c r="D1" s="53"/>
      <c r="E1" s="53"/>
      <c r="F1" s="56"/>
      <c r="G1" s="56"/>
      <c r="H1" s="56"/>
      <c r="I1" s="56"/>
      <c r="J1" s="56"/>
      <c r="K1" s="56"/>
    </row>
    <row r="2" spans="1:14" ht="18" customHeight="1" x14ac:dyDescent="0.25">
      <c r="A2" s="609" t="s">
        <v>386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</row>
    <row r="3" spans="1:14" ht="15.75" customHeight="1" x14ac:dyDescent="0.25">
      <c r="A3" s="609" t="s">
        <v>387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</row>
    <row r="4" spans="1:14" ht="15" x14ac:dyDescent="0.25">
      <c r="A4" s="610" t="s">
        <v>534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</row>
    <row r="5" spans="1:14" ht="15" x14ac:dyDescent="0.25">
      <c r="A5" s="610" t="s">
        <v>555</v>
      </c>
      <c r="B5" s="610"/>
      <c r="C5" s="610"/>
      <c r="D5" s="610"/>
      <c r="E5" s="610"/>
      <c r="F5" s="610"/>
      <c r="G5" s="610"/>
      <c r="H5" s="610"/>
      <c r="I5" s="610"/>
      <c r="J5" s="610"/>
      <c r="K5" s="610"/>
    </row>
    <row r="6" spans="1:14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 t="s">
        <v>6</v>
      </c>
      <c r="L6" t="s">
        <v>6</v>
      </c>
    </row>
    <row r="7" spans="1:14" ht="20.100000000000001" customHeight="1" x14ac:dyDescent="0.2">
      <c r="A7" s="647" t="s">
        <v>0</v>
      </c>
      <c r="B7" s="652" t="s">
        <v>74</v>
      </c>
      <c r="C7" s="653"/>
      <c r="D7" s="653"/>
      <c r="E7" s="653"/>
      <c r="F7" s="653"/>
      <c r="G7" s="653"/>
      <c r="H7" s="654"/>
      <c r="I7" s="649" t="s">
        <v>307</v>
      </c>
      <c r="J7" s="647"/>
      <c r="K7" s="649" t="s">
        <v>380</v>
      </c>
      <c r="L7" t="s">
        <v>6</v>
      </c>
    </row>
    <row r="8" spans="1:14" ht="21.75" customHeight="1" x14ac:dyDescent="0.2">
      <c r="A8" s="648"/>
      <c r="B8" s="374" t="s">
        <v>87</v>
      </c>
      <c r="C8" s="374" t="s">
        <v>12</v>
      </c>
      <c r="D8" s="185" t="s">
        <v>2</v>
      </c>
      <c r="E8" s="544" t="s">
        <v>36</v>
      </c>
      <c r="F8" s="545" t="s">
        <v>546</v>
      </c>
      <c r="G8" s="543" t="s">
        <v>544</v>
      </c>
      <c r="H8" s="543" t="s">
        <v>355</v>
      </c>
      <c r="I8" s="650"/>
      <c r="J8" s="651"/>
      <c r="K8" s="650"/>
      <c r="L8" t="s">
        <v>3</v>
      </c>
      <c r="M8" t="s">
        <v>6</v>
      </c>
    </row>
    <row r="9" spans="1:14" ht="24.75" customHeight="1" x14ac:dyDescent="0.2">
      <c r="A9" s="307" t="s">
        <v>76</v>
      </c>
      <c r="B9" s="308">
        <f>+B11+B36</f>
        <v>198000000</v>
      </c>
      <c r="C9" s="309">
        <f>+C11+C36</f>
        <v>198000000</v>
      </c>
      <c r="D9" s="309">
        <f>++D11+D36</f>
        <v>96045131</v>
      </c>
      <c r="E9" s="309">
        <f>+E11+E36</f>
        <v>11527560.91</v>
      </c>
      <c r="F9" s="309">
        <f>+F11+F36</f>
        <v>57026904.670000002</v>
      </c>
      <c r="G9" s="309">
        <f>+G11+G36</f>
        <v>40254986.160000004</v>
      </c>
      <c r="H9" s="309">
        <f>++H11+H36</f>
        <v>42383565.359999999</v>
      </c>
      <c r="I9" s="309">
        <f>+D9-F9</f>
        <v>39018226.329999998</v>
      </c>
      <c r="J9" s="309" t="e">
        <f>+#REF!-F9</f>
        <v>#REF!</v>
      </c>
      <c r="K9" s="310">
        <f>+F9/D9*100</f>
        <v>59.375112591600299</v>
      </c>
      <c r="L9">
        <v>84817701.783999994</v>
      </c>
    </row>
    <row r="10" spans="1:14" ht="11.1" customHeight="1" x14ac:dyDescent="0.2">
      <c r="A10" s="307"/>
      <c r="B10" s="307"/>
      <c r="C10" s="311"/>
      <c r="D10" s="309"/>
      <c r="E10" s="309"/>
      <c r="F10" s="309" t="s">
        <v>6</v>
      </c>
      <c r="G10" s="309"/>
      <c r="H10" s="309" t="s">
        <v>6</v>
      </c>
      <c r="I10" s="309" t="s">
        <v>6</v>
      </c>
      <c r="J10" s="309" t="s">
        <v>6</v>
      </c>
      <c r="K10" s="310" t="s">
        <v>6</v>
      </c>
      <c r="L10" t="s">
        <v>6</v>
      </c>
    </row>
    <row r="11" spans="1:14" ht="15" x14ac:dyDescent="0.25">
      <c r="A11" s="307" t="s">
        <v>77</v>
      </c>
      <c r="B11" s="308">
        <f>+B13+B20+B34</f>
        <v>141094806</v>
      </c>
      <c r="C11" s="309">
        <f>+C13+C20+C34</f>
        <v>141094806</v>
      </c>
      <c r="D11" s="312">
        <f>+D13+D20</f>
        <v>64893018</v>
      </c>
      <c r="E11" s="312">
        <f>+E20+E13</f>
        <v>9629207.1099999994</v>
      </c>
      <c r="F11" s="312">
        <f>+F20+F13</f>
        <v>46261539.460000001</v>
      </c>
      <c r="G11" s="312">
        <f>+G20+G13</f>
        <v>38730167.830000006</v>
      </c>
      <c r="H11" s="312">
        <f>+H20+H13+H34</f>
        <v>41433607.25</v>
      </c>
      <c r="I11" s="312">
        <f>+D11-F11</f>
        <v>18631478.539999999</v>
      </c>
      <c r="J11" s="312" t="e">
        <f>+#REF!-F11</f>
        <v>#REF!</v>
      </c>
      <c r="K11" s="313">
        <f>+F11/D11*100</f>
        <v>71.288931977242925</v>
      </c>
      <c r="L11">
        <v>71948551.653999999</v>
      </c>
      <c r="N11" t="s">
        <v>6</v>
      </c>
    </row>
    <row r="12" spans="1:14" ht="10.35" customHeight="1" x14ac:dyDescent="0.2">
      <c r="A12" s="307"/>
      <c r="B12" s="307"/>
      <c r="C12" s="311"/>
      <c r="D12" s="309"/>
      <c r="E12" s="309"/>
      <c r="F12" s="309" t="s">
        <v>6</v>
      </c>
      <c r="G12" s="309"/>
      <c r="H12" s="309"/>
      <c r="I12" s="309"/>
      <c r="J12" s="309" t="s">
        <v>6</v>
      </c>
      <c r="K12" s="310"/>
      <c r="L12" t="s">
        <v>6</v>
      </c>
    </row>
    <row r="13" spans="1:14" ht="18" customHeight="1" x14ac:dyDescent="0.2">
      <c r="A13" s="307" t="s">
        <v>78</v>
      </c>
      <c r="B13" s="308">
        <f>SUM(B15:B18)</f>
        <v>138843212</v>
      </c>
      <c r="C13" s="309">
        <f>SUM(C15:C18)</f>
        <v>138025862</v>
      </c>
      <c r="D13" s="309">
        <f>SUM(D15:D18)</f>
        <v>61973090</v>
      </c>
      <c r="E13" s="309">
        <f>SUM(E15:E18)</f>
        <v>9569552.1600000001</v>
      </c>
      <c r="F13" s="309">
        <f>SUM(F15:F18)+1</f>
        <v>45943632.590000004</v>
      </c>
      <c r="G13" s="309">
        <f>SUM(G15:G18)</f>
        <v>38471999.300000004</v>
      </c>
      <c r="H13" s="309">
        <f>SUM(H15:H18)</f>
        <v>41180454.350000001</v>
      </c>
      <c r="I13" s="309">
        <f>+D13-F13</f>
        <v>16029457.409999996</v>
      </c>
      <c r="J13" s="309" t="e">
        <f>+#REF!-F13</f>
        <v>#REF!</v>
      </c>
      <c r="K13" s="310">
        <f>+F13/D13*100</f>
        <v>74.134810108710099</v>
      </c>
      <c r="L13">
        <v>71049250.593999997</v>
      </c>
      <c r="M13" s="1" t="s">
        <v>6</v>
      </c>
    </row>
    <row r="14" spans="1:14" ht="11.1" customHeight="1" x14ac:dyDescent="0.2">
      <c r="A14" s="307"/>
      <c r="B14" s="307"/>
      <c r="C14" s="311"/>
      <c r="D14" s="309"/>
      <c r="E14" s="309"/>
      <c r="F14" s="309" t="s">
        <v>6</v>
      </c>
      <c r="G14" s="309"/>
      <c r="H14" s="309"/>
      <c r="I14" s="309"/>
      <c r="J14" s="309"/>
      <c r="K14" s="310"/>
      <c r="L14" t="s">
        <v>6</v>
      </c>
    </row>
    <row r="15" spans="1:14" ht="20.100000000000001" customHeight="1" x14ac:dyDescent="0.2">
      <c r="A15" s="314" t="s">
        <v>79</v>
      </c>
      <c r="B15" s="315">
        <f>+'Ejecución Gastos'!C11</f>
        <v>125299729</v>
      </c>
      <c r="C15" s="315">
        <f>+'Ejecución Gastos'!D11</f>
        <v>124433084</v>
      </c>
      <c r="D15" s="315">
        <f>+'Ejecución Gastos'!E11</f>
        <v>51000665</v>
      </c>
      <c r="E15" s="315">
        <f>+'Ejecución Gastos'!F11</f>
        <v>8205470.5199999996</v>
      </c>
      <c r="F15" s="315">
        <f>+'Ejecución Gastos'!G11-1</f>
        <v>41091876.510000005</v>
      </c>
      <c r="G15" s="315">
        <f>+'Ejecución Gastos'!H11</f>
        <v>35791178.200000003</v>
      </c>
      <c r="H15" s="315">
        <f>+'Ejecución Gastos'!I11</f>
        <v>38960226.240000002</v>
      </c>
      <c r="I15" s="315">
        <f>+D15-F15</f>
        <v>9908788.4899999946</v>
      </c>
      <c r="J15" s="315" t="e">
        <f>+#REF!-F15</f>
        <v>#REF!</v>
      </c>
      <c r="K15" s="316">
        <f>+F15/D15*100</f>
        <v>80.571256296363998</v>
      </c>
      <c r="L15">
        <v>67328817.609999999</v>
      </c>
    </row>
    <row r="16" spans="1:14" ht="20.100000000000001" customHeight="1" x14ac:dyDescent="0.2">
      <c r="A16" s="314" t="s">
        <v>421</v>
      </c>
      <c r="B16" s="315">
        <f>+'Ejecución Gastos'!C37</f>
        <v>7293008</v>
      </c>
      <c r="C16" s="315">
        <f>+'Ejecución Gastos'!D37</f>
        <v>6835043</v>
      </c>
      <c r="D16" s="315">
        <f>+'Ejecución Gastos'!E37</f>
        <v>5157317</v>
      </c>
      <c r="E16" s="315">
        <f>+'Ejecución Gastos'!F37</f>
        <v>707010.93</v>
      </c>
      <c r="F16" s="315">
        <f>+'Ejecución Gastos'!G37</f>
        <v>2627137.12</v>
      </c>
      <c r="G16" s="315">
        <f>+'Ejecución Gastos'!H37</f>
        <v>1679451.0099999998</v>
      </c>
      <c r="H16" s="315">
        <f>+'Ejecución Gastos'!I37</f>
        <v>1420006.6300000001</v>
      </c>
      <c r="I16" s="315">
        <f>+D16-F16</f>
        <v>2530179.88</v>
      </c>
      <c r="J16" s="315" t="e">
        <f>+#REF!-F16</f>
        <v>#REF!</v>
      </c>
      <c r="K16" s="316">
        <f>+F16/D16*100</f>
        <v>50.939996901489671</v>
      </c>
      <c r="L16">
        <v>2361674.9099999997</v>
      </c>
    </row>
    <row r="17" spans="1:14" ht="20.100000000000001" customHeight="1" x14ac:dyDescent="0.2">
      <c r="A17" s="314" t="s">
        <v>80</v>
      </c>
      <c r="B17" s="315">
        <f>+'Ejecución Gastos'!C94</f>
        <v>3042561</v>
      </c>
      <c r="C17" s="315">
        <f>+'Ejecución Gastos'!D94</f>
        <v>3809121</v>
      </c>
      <c r="D17" s="315">
        <f>+'Ejecución Gastos'!E94</f>
        <v>3669233</v>
      </c>
      <c r="E17" s="315">
        <f>+'Ejecución Gastos'!F94</f>
        <v>465970</v>
      </c>
      <c r="F17" s="315">
        <f>+'Ejecución Gastos'!G94</f>
        <v>1561810.44</v>
      </c>
      <c r="G17" s="315">
        <f>+'Ejecución Gastos'!H94</f>
        <v>674806.27</v>
      </c>
      <c r="H17" s="315">
        <f>+'Ejecución Gastos'!I94</f>
        <v>582906.22</v>
      </c>
      <c r="I17" s="315">
        <f>+D17-F17</f>
        <v>2107422.56</v>
      </c>
      <c r="J17" s="315" t="e">
        <f>+#REF!-F17</f>
        <v>#REF!</v>
      </c>
      <c r="K17" s="316">
        <f>+F17/D17*100</f>
        <v>42.565038524400059</v>
      </c>
      <c r="L17">
        <v>1178096.594</v>
      </c>
      <c r="N17" t="s">
        <v>6</v>
      </c>
    </row>
    <row r="18" spans="1:14" ht="20.100000000000001" customHeight="1" x14ac:dyDescent="0.2">
      <c r="A18" s="314" t="s">
        <v>505</v>
      </c>
      <c r="B18" s="315">
        <f>+'Ejecución Gastos'!C154</f>
        <v>3207914</v>
      </c>
      <c r="C18" s="315">
        <f>+'Ejecución Gastos'!D154</f>
        <v>2948614</v>
      </c>
      <c r="D18" s="315">
        <f>+'Ejecución Gastos'!E154</f>
        <v>2145875</v>
      </c>
      <c r="E18" s="315">
        <f>+'Ejecución Gastos'!F154</f>
        <v>191100.71000000002</v>
      </c>
      <c r="F18" s="315">
        <f>+'Ejecución Gastos'!G154</f>
        <v>662807.52</v>
      </c>
      <c r="G18" s="315">
        <f>+'Ejecución Gastos'!H154</f>
        <v>326563.82</v>
      </c>
      <c r="H18" s="315">
        <f>+'Ejecución Gastos'!I154</f>
        <v>217315.26</v>
      </c>
      <c r="I18" s="315">
        <f>+D18-F18</f>
        <v>1483067.48</v>
      </c>
      <c r="J18" s="315" t="e">
        <f>+#REF!-F18</f>
        <v>#REF!</v>
      </c>
      <c r="K18" s="316">
        <f>+F18/D18*100</f>
        <v>30.887517679268367</v>
      </c>
      <c r="L18">
        <v>105848.37</v>
      </c>
    </row>
    <row r="19" spans="1:14" ht="9.75" customHeight="1" x14ac:dyDescent="0.2">
      <c r="A19" s="307"/>
      <c r="B19" s="307"/>
      <c r="C19" s="309"/>
      <c r="D19" s="309"/>
      <c r="E19" s="309" t="s">
        <v>6</v>
      </c>
      <c r="F19" s="309" t="s">
        <v>6</v>
      </c>
      <c r="G19" s="309" t="s">
        <v>6</v>
      </c>
      <c r="H19" s="309"/>
      <c r="I19" s="309"/>
      <c r="J19" s="309"/>
      <c r="K19" s="310" t="s">
        <v>6</v>
      </c>
      <c r="L19" t="s">
        <v>6</v>
      </c>
    </row>
    <row r="20" spans="1:14" ht="18" customHeight="1" x14ac:dyDescent="0.2">
      <c r="A20" s="307" t="s">
        <v>81</v>
      </c>
      <c r="B20" s="309">
        <f>+'Ejecución Gastos'!C159</f>
        <v>2251594</v>
      </c>
      <c r="C20" s="309">
        <f>+'Ejecución Gastos'!D159</f>
        <v>3068944</v>
      </c>
      <c r="D20" s="309">
        <f>+'Ejecución Gastos'!E159</f>
        <v>2919928</v>
      </c>
      <c r="E20" s="309">
        <f>+'Ejecución Gastos'!F159</f>
        <v>59654.950000000004</v>
      </c>
      <c r="F20" s="309">
        <f>+'Ejecución Gastos'!G159</f>
        <v>317906.87000000005</v>
      </c>
      <c r="G20" s="309">
        <f>+'Ejecución Gastos'!H159</f>
        <v>258168.53</v>
      </c>
      <c r="H20" s="309">
        <f>+'Ejecución Gastos'!I159</f>
        <v>253152.9</v>
      </c>
      <c r="I20" s="309">
        <f>+D20-F20</f>
        <v>2602021.13</v>
      </c>
      <c r="J20" s="309" t="e">
        <f>+#REF!-F20</f>
        <v>#REF!</v>
      </c>
      <c r="K20" s="310">
        <f>+F20/D20*100</f>
        <v>10.887490034000841</v>
      </c>
      <c r="L20">
        <v>899301.06000000017</v>
      </c>
    </row>
    <row r="21" spans="1:14" ht="12.75" customHeight="1" x14ac:dyDescent="0.2">
      <c r="A21" s="307" t="s">
        <v>337</v>
      </c>
      <c r="B21" s="307"/>
      <c r="C21" s="309"/>
      <c r="D21" s="309"/>
      <c r="E21" s="309" t="s">
        <v>6</v>
      </c>
      <c r="F21" s="309" t="s">
        <v>6</v>
      </c>
      <c r="G21" s="309" t="s">
        <v>6</v>
      </c>
      <c r="H21" s="309"/>
      <c r="I21" s="309"/>
      <c r="J21" s="309"/>
      <c r="K21" s="310" t="s">
        <v>6</v>
      </c>
      <c r="L21" t="s">
        <v>6</v>
      </c>
    </row>
    <row r="22" spans="1:14" ht="18" customHeight="1" x14ac:dyDescent="0.2">
      <c r="A22" s="307" t="s">
        <v>538</v>
      </c>
      <c r="B22" s="308">
        <f>+B28</f>
        <v>1964594</v>
      </c>
      <c r="C22" s="309">
        <f>SUM(C28)</f>
        <v>2723944</v>
      </c>
      <c r="D22" s="309">
        <f t="shared" ref="D22:H22" si="0">SUM(D28)</f>
        <v>2442203</v>
      </c>
      <c r="E22" s="309">
        <f t="shared" si="0"/>
        <v>61889.16</v>
      </c>
      <c r="F22" s="309">
        <f t="shared" si="0"/>
        <v>61889.16</v>
      </c>
      <c r="G22" s="309">
        <f t="shared" ref="G22" si="1">SUM(G28)</f>
        <v>257268.53</v>
      </c>
      <c r="H22" s="309">
        <f t="shared" si="0"/>
        <v>252252.9</v>
      </c>
      <c r="I22" s="309">
        <f>+D22-F22</f>
        <v>2380313.84</v>
      </c>
      <c r="J22" s="309" t="e">
        <f>+#REF!-F22</f>
        <v>#REF!</v>
      </c>
      <c r="K22" s="310">
        <f>+F22/D22*100</f>
        <v>2.5341529758173258</v>
      </c>
      <c r="L22">
        <v>59671.520000000004</v>
      </c>
    </row>
    <row r="23" spans="1:14" ht="12.75" hidden="1" customHeight="1" x14ac:dyDescent="0.2">
      <c r="A23" s="307" t="s">
        <v>82</v>
      </c>
      <c r="B23" s="307"/>
      <c r="C23" s="309"/>
      <c r="D23" s="309" t="s">
        <v>6</v>
      </c>
      <c r="E23" s="309">
        <f ca="1">+F23-L23</f>
        <v>134579</v>
      </c>
      <c r="F23" s="309">
        <f t="shared" ref="F23:F35" ca="1" si="2">+E23+L23</f>
        <v>1231</v>
      </c>
      <c r="G23" s="309">
        <f>+H23-N23</f>
        <v>0</v>
      </c>
      <c r="H23" s="309"/>
      <c r="I23" s="309"/>
      <c r="J23" s="309"/>
      <c r="K23" s="310" t="s">
        <v>6</v>
      </c>
      <c r="L23">
        <v>1231</v>
      </c>
    </row>
    <row r="24" spans="1:14" ht="12.75" hidden="1" customHeight="1" x14ac:dyDescent="0.2">
      <c r="A24" s="307" t="s">
        <v>422</v>
      </c>
      <c r="B24" s="307"/>
      <c r="C24" s="309"/>
      <c r="D24" s="309"/>
      <c r="E24" s="309">
        <f ca="1">+F24-L24</f>
        <v>134579</v>
      </c>
      <c r="F24" s="309">
        <f t="shared" ca="1" si="2"/>
        <v>1231</v>
      </c>
      <c r="G24" s="309">
        <f>+H24-N24</f>
        <v>0</v>
      </c>
      <c r="H24" s="309"/>
      <c r="I24" s="309"/>
      <c r="J24" s="309"/>
      <c r="K24" s="310" t="s">
        <v>6</v>
      </c>
      <c r="L24">
        <v>1231</v>
      </c>
    </row>
    <row r="25" spans="1:14" ht="12.75" hidden="1" customHeight="1" x14ac:dyDescent="0.2">
      <c r="A25" s="307" t="s">
        <v>423</v>
      </c>
      <c r="B25" s="307"/>
      <c r="C25" s="309"/>
      <c r="D25" s="309"/>
      <c r="E25" s="309">
        <f ca="1">+F25-L25</f>
        <v>134579</v>
      </c>
      <c r="F25" s="309">
        <f t="shared" ca="1" si="2"/>
        <v>1231</v>
      </c>
      <c r="G25" s="309">
        <f>+H25-N25</f>
        <v>0</v>
      </c>
      <c r="H25" s="309"/>
      <c r="I25" s="309"/>
      <c r="J25" s="309"/>
      <c r="K25" s="310" t="s">
        <v>6</v>
      </c>
      <c r="L25">
        <v>1231</v>
      </c>
    </row>
    <row r="26" spans="1:14" ht="12.75" hidden="1" customHeight="1" x14ac:dyDescent="0.2">
      <c r="A26" s="307" t="s">
        <v>83</v>
      </c>
      <c r="B26" s="307"/>
      <c r="C26" s="309"/>
      <c r="D26" s="309"/>
      <c r="E26" s="309">
        <f ca="1">+F26-L26</f>
        <v>134579</v>
      </c>
      <c r="F26" s="309">
        <f t="shared" ca="1" si="2"/>
        <v>1231</v>
      </c>
      <c r="G26" s="309">
        <f>+H26-N26</f>
        <v>0</v>
      </c>
      <c r="H26" s="309"/>
      <c r="I26" s="309"/>
      <c r="J26" s="309"/>
      <c r="K26" s="310" t="s">
        <v>6</v>
      </c>
      <c r="L26">
        <v>1231</v>
      </c>
    </row>
    <row r="27" spans="1:14" ht="12.75" customHeight="1" x14ac:dyDescent="0.2">
      <c r="A27" s="307"/>
      <c r="B27" s="307"/>
      <c r="C27" s="309"/>
      <c r="D27" s="309"/>
      <c r="E27" s="309"/>
      <c r="F27" s="309"/>
      <c r="G27" s="309"/>
      <c r="H27" s="309"/>
      <c r="I27" s="309"/>
      <c r="J27" s="309"/>
      <c r="K27" s="310"/>
    </row>
    <row r="28" spans="1:14" ht="18" customHeight="1" x14ac:dyDescent="0.2">
      <c r="A28" s="314" t="s">
        <v>539</v>
      </c>
      <c r="B28" s="315">
        <f>+'Ejecución Gastos'!C160+'Ejecución Gastos'!C162++'Ejecución Gastos'!C168+'Ejecución Gastos'!C172</f>
        <v>1964594</v>
      </c>
      <c r="C28" s="315">
        <f>+'Ejecución Gastos'!D160+'Ejecución Gastos'!D162++'Ejecución Gastos'!D168+'Ejecución Gastos'!D172</f>
        <v>2723944</v>
      </c>
      <c r="D28" s="315">
        <f>+'Ejecución Gastos'!E160+'Ejecución Gastos'!E162++'Ejecución Gastos'!E168</f>
        <v>2442203</v>
      </c>
      <c r="E28" s="315">
        <f>+'Ejecución Gastos'!F160+'Ejecución Gastos'!F162++'Ejecución Gastos'!F168</f>
        <v>61889.16</v>
      </c>
      <c r="F28" s="315">
        <f>+'Ejecución Gastos'!F160+'Ejecución Gastos'!F162++'Ejecución Gastos'!F168</f>
        <v>61889.16</v>
      </c>
      <c r="G28" s="315">
        <f>+'Ejecución Gastos'!H160+'Ejecución Gastos'!H162++'Ejecución Gastos'!H168</f>
        <v>257268.53</v>
      </c>
      <c r="H28" s="315">
        <f>+'Ejecución Gastos'!I160+'Ejecución Gastos'!I162++'Ejecución Gastos'!I168</f>
        <v>252252.9</v>
      </c>
      <c r="I28" s="315">
        <f>+I22</f>
        <v>2380313.84</v>
      </c>
      <c r="J28" s="315" t="e">
        <f>+J22</f>
        <v>#REF!</v>
      </c>
      <c r="K28" s="316">
        <f>+F28/D28*100</f>
        <v>2.5341529758173258</v>
      </c>
      <c r="L28">
        <v>59671.520000000004</v>
      </c>
    </row>
    <row r="29" spans="1:14" ht="18" customHeight="1" x14ac:dyDescent="0.2">
      <c r="A29" s="314" t="s">
        <v>540</v>
      </c>
      <c r="B29" s="314"/>
      <c r="C29" s="315"/>
      <c r="D29" s="315" t="s">
        <v>6</v>
      </c>
      <c r="E29" s="315" t="s">
        <v>6</v>
      </c>
      <c r="F29" s="315" t="s">
        <v>6</v>
      </c>
      <c r="G29" s="315" t="s">
        <v>6</v>
      </c>
      <c r="H29" s="315"/>
      <c r="I29" s="315"/>
      <c r="J29" s="315"/>
      <c r="K29" s="316" t="s">
        <v>6</v>
      </c>
      <c r="L29" t="s">
        <v>6</v>
      </c>
    </row>
    <row r="30" spans="1:14" ht="18" customHeight="1" x14ac:dyDescent="0.2">
      <c r="A30" s="314" t="s">
        <v>541</v>
      </c>
      <c r="B30" s="314"/>
      <c r="C30" s="315"/>
      <c r="D30" s="315" t="s">
        <v>6</v>
      </c>
      <c r="E30" s="315"/>
      <c r="F30" s="315">
        <f t="shared" si="2"/>
        <v>0</v>
      </c>
      <c r="G30" s="315"/>
      <c r="H30" s="315"/>
      <c r="I30" s="315"/>
      <c r="J30" s="315"/>
      <c r="K30" s="316" t="s">
        <v>6</v>
      </c>
      <c r="L30">
        <v>0</v>
      </c>
    </row>
    <row r="31" spans="1:14" ht="9" customHeight="1" x14ac:dyDescent="0.2">
      <c r="A31" s="314"/>
      <c r="B31" s="314"/>
      <c r="C31" s="315"/>
      <c r="D31" s="315"/>
      <c r="E31" s="315"/>
      <c r="F31" s="315"/>
      <c r="G31" s="315"/>
      <c r="H31" s="315"/>
      <c r="I31" s="315"/>
      <c r="J31" s="315"/>
      <c r="K31" s="316"/>
    </row>
    <row r="32" spans="1:14" ht="22.5" customHeight="1" x14ac:dyDescent="0.2">
      <c r="A32" s="317" t="s">
        <v>537</v>
      </c>
      <c r="B32" s="318">
        <f>+'Ejecución Gastos'!C174</f>
        <v>287000</v>
      </c>
      <c r="C32" s="318">
        <f>+'Ejecución Gastos'!D174</f>
        <v>293000</v>
      </c>
      <c r="D32" s="318">
        <f>+'Ejecución Gastos'!E174</f>
        <v>293000</v>
      </c>
      <c r="E32" s="318">
        <f>+'Ejecución Gastos'!F174</f>
        <v>-2234.21</v>
      </c>
      <c r="F32" s="318">
        <f>+'Ejecución Gastos'!G174</f>
        <v>20609.21</v>
      </c>
      <c r="G32" s="318">
        <f>+'Ejecución Gastos'!H174</f>
        <v>900</v>
      </c>
      <c r="H32" s="318">
        <f>+'Ejecución Gastos'!I163+'Ejecución Gastos'!I165++'Ejecución Gastos'!I174</f>
        <v>900</v>
      </c>
      <c r="I32" s="318">
        <f>+D32-F32</f>
        <v>272390.78999999998</v>
      </c>
      <c r="J32" s="318" t="e">
        <f>+#REF!-F32</f>
        <v>#REF!</v>
      </c>
      <c r="K32" s="319">
        <f>+F32/D32*100</f>
        <v>7.0338600682593855</v>
      </c>
      <c r="L32">
        <v>5963.5599999999995</v>
      </c>
    </row>
    <row r="33" spans="1:17" ht="12.6" customHeight="1" x14ac:dyDescent="0.2">
      <c r="A33" s="307"/>
      <c r="B33" s="307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7" ht="15.75" customHeight="1" x14ac:dyDescent="0.2">
      <c r="A34" s="307" t="s">
        <v>6</v>
      </c>
      <c r="B34" s="307"/>
      <c r="C34" s="309"/>
      <c r="D34" s="309" t="s">
        <v>6</v>
      </c>
      <c r="E34" s="309" t="s">
        <v>6</v>
      </c>
      <c r="F34" s="309" t="s">
        <v>6</v>
      </c>
      <c r="G34" s="309" t="s">
        <v>6</v>
      </c>
      <c r="H34" s="309">
        <v>0</v>
      </c>
      <c r="I34" s="309" t="s">
        <v>6</v>
      </c>
      <c r="J34" s="309" t="s">
        <v>6</v>
      </c>
      <c r="K34" s="310">
        <v>0</v>
      </c>
      <c r="L34" t="s">
        <v>6</v>
      </c>
    </row>
    <row r="35" spans="1:17" ht="7.9" customHeight="1" x14ac:dyDescent="0.2">
      <c r="A35" s="307" t="s">
        <v>6</v>
      </c>
      <c r="B35" s="307"/>
      <c r="C35" s="309"/>
      <c r="D35" s="309"/>
      <c r="E35" s="309"/>
      <c r="F35" s="309">
        <f t="shared" si="2"/>
        <v>0</v>
      </c>
      <c r="G35" s="309"/>
      <c r="H35" s="309"/>
      <c r="I35" s="309" t="s">
        <v>6</v>
      </c>
      <c r="J35" s="309" t="s">
        <v>6</v>
      </c>
      <c r="K35" s="310" t="s">
        <v>6</v>
      </c>
      <c r="L35">
        <v>0</v>
      </c>
    </row>
    <row r="36" spans="1:17" ht="15" x14ac:dyDescent="0.25">
      <c r="A36" s="320" t="s">
        <v>84</v>
      </c>
      <c r="B36" s="312">
        <f>+B39</f>
        <v>56905194</v>
      </c>
      <c r="C36" s="312">
        <f>+C39+C45</f>
        <v>56905194</v>
      </c>
      <c r="D36" s="312">
        <f>+D45+D39</f>
        <v>31152113</v>
      </c>
      <c r="E36" s="312">
        <f>+E39+E45</f>
        <v>1898353.8</v>
      </c>
      <c r="F36" s="312">
        <f>+F39</f>
        <v>10765365.209999999</v>
      </c>
      <c r="G36" s="312">
        <f>+G39+G45</f>
        <v>1524818.33</v>
      </c>
      <c r="H36" s="312">
        <f>+H45+H39</f>
        <v>949958.11</v>
      </c>
      <c r="I36" s="312">
        <f>+D36-F36</f>
        <v>20386747.789999999</v>
      </c>
      <c r="J36" s="312" t="e">
        <f>+#REF!-F36</f>
        <v>#REF!</v>
      </c>
      <c r="K36" s="313">
        <f>+F36/D36*100</f>
        <v>34.55741576823376</v>
      </c>
      <c r="L36">
        <v>12869150.130000001</v>
      </c>
    </row>
    <row r="37" spans="1:17" ht="4.5" customHeight="1" x14ac:dyDescent="0.2">
      <c r="A37" s="307"/>
      <c r="B37" s="307"/>
      <c r="C37" s="309"/>
      <c r="D37" s="321" t="s">
        <v>6</v>
      </c>
      <c r="E37" s="309" t="s">
        <v>6</v>
      </c>
      <c r="F37" s="309" t="s">
        <v>6</v>
      </c>
      <c r="G37" s="309" t="s">
        <v>6</v>
      </c>
      <c r="H37" s="309"/>
      <c r="I37" s="309"/>
      <c r="J37" s="309"/>
      <c r="K37" s="310" t="s">
        <v>6</v>
      </c>
      <c r="L37" t="s">
        <v>6</v>
      </c>
    </row>
    <row r="38" spans="1:17" ht="15.75" customHeight="1" x14ac:dyDescent="0.2">
      <c r="A38" s="307"/>
      <c r="B38" s="307"/>
      <c r="C38" s="309"/>
      <c r="D38" s="321"/>
      <c r="E38" s="309"/>
      <c r="F38" s="309"/>
      <c r="G38" s="309"/>
      <c r="H38" s="309"/>
      <c r="I38" s="309"/>
      <c r="J38" s="309"/>
      <c r="K38" s="310"/>
    </row>
    <row r="39" spans="1:17" ht="13.5" x14ac:dyDescent="0.2">
      <c r="A39" s="307" t="s">
        <v>85</v>
      </c>
      <c r="B39" s="308">
        <f>+B41+B42+B43</f>
        <v>56905194</v>
      </c>
      <c r="C39" s="309">
        <f t="shared" ref="C39:E39" si="3">+C41+C42+C43</f>
        <v>56905194</v>
      </c>
      <c r="D39" s="309">
        <f t="shared" si="3"/>
        <v>31152113</v>
      </c>
      <c r="E39" s="309">
        <f t="shared" si="3"/>
        <v>1898353.8</v>
      </c>
      <c r="F39" s="309">
        <f>+F41+F42+F43</f>
        <v>10765365.209999999</v>
      </c>
      <c r="G39" s="309">
        <f>+G41+G42+G43+1</f>
        <v>1524818.33</v>
      </c>
      <c r="H39" s="309">
        <f>+H41+H42+H43</f>
        <v>949958.11</v>
      </c>
      <c r="I39" s="309">
        <f>+D39-F39</f>
        <v>20386747.789999999</v>
      </c>
      <c r="J39" s="309" t="e">
        <f>+#REF!-F39</f>
        <v>#REF!</v>
      </c>
      <c r="K39" s="310">
        <f>+F39/D39*100</f>
        <v>34.55741576823376</v>
      </c>
      <c r="L39">
        <v>12869150.130000001</v>
      </c>
      <c r="N39" t="s">
        <v>6</v>
      </c>
    </row>
    <row r="40" spans="1:17" ht="6" customHeight="1" x14ac:dyDescent="0.2">
      <c r="A40" s="307"/>
      <c r="B40" s="307"/>
      <c r="C40" s="309"/>
      <c r="D40" s="309"/>
      <c r="E40" s="309" t="s">
        <v>6</v>
      </c>
      <c r="F40" s="309" t="s">
        <v>6</v>
      </c>
      <c r="G40" s="309" t="s">
        <v>6</v>
      </c>
      <c r="H40" s="309"/>
      <c r="I40" s="309" t="s">
        <v>6</v>
      </c>
      <c r="J40" s="309" t="s">
        <v>6</v>
      </c>
      <c r="K40" s="310"/>
      <c r="L40" t="s">
        <v>6</v>
      </c>
    </row>
    <row r="41" spans="1:17" ht="18" customHeight="1" x14ac:dyDescent="0.2">
      <c r="A41" s="307" t="s">
        <v>424</v>
      </c>
      <c r="B41" s="315">
        <f>+Proyectos!B8</f>
        <v>27799680</v>
      </c>
      <c r="C41" s="315">
        <f>+Proyectos!C8</f>
        <v>26787159</v>
      </c>
      <c r="D41" s="315">
        <f>+Proyectos!D8</f>
        <v>14716855</v>
      </c>
      <c r="E41" s="315">
        <f>+Proyectos!E8</f>
        <v>631221.5</v>
      </c>
      <c r="F41" s="315">
        <f>+Proyectos!F8</f>
        <v>4966804.3599999994</v>
      </c>
      <c r="G41" s="315">
        <f>+Proyectos!G8</f>
        <v>75768.53</v>
      </c>
      <c r="H41" s="315">
        <f>+Proyectos!H8</f>
        <v>51685.38</v>
      </c>
      <c r="I41" s="315">
        <f>+D41-F41</f>
        <v>9750050.6400000006</v>
      </c>
      <c r="J41" s="315" t="e">
        <f>+#REF!-F41</f>
        <v>#REF!</v>
      </c>
      <c r="K41" s="316">
        <f>+F41/D41*100</f>
        <v>33.749088103402528</v>
      </c>
      <c r="L41" s="58">
        <v>12221531.41</v>
      </c>
      <c r="N41" s="1"/>
      <c r="O41" s="1"/>
      <c r="Q41" s="41"/>
    </row>
    <row r="42" spans="1:17" ht="18" customHeight="1" x14ac:dyDescent="0.2">
      <c r="A42" s="307" t="s">
        <v>425</v>
      </c>
      <c r="B42" s="315">
        <f>+Proyectos!B16</f>
        <v>15761574</v>
      </c>
      <c r="C42" s="315">
        <f>+Proyectos!C16</f>
        <v>16408624</v>
      </c>
      <c r="D42" s="315">
        <f>+Proyectos!D16</f>
        <v>9157415</v>
      </c>
      <c r="E42" s="315">
        <f>+Proyectos!E16</f>
        <v>973832.55999999994</v>
      </c>
      <c r="F42" s="315">
        <f>+Proyectos!F16</f>
        <v>3264675.77</v>
      </c>
      <c r="G42" s="315">
        <f>+Proyectos!G16-1</f>
        <v>980103.75000000012</v>
      </c>
      <c r="H42" s="315">
        <f>+Proyectos!H16</f>
        <v>486728.25</v>
      </c>
      <c r="I42" s="315">
        <f>+D42-F42</f>
        <v>5892739.2300000004</v>
      </c>
      <c r="J42" s="315" t="e">
        <f>+#REF!-F42</f>
        <v>#REF!</v>
      </c>
      <c r="K42" s="316">
        <f>+F42/D42*100</f>
        <v>35.650625968136204</v>
      </c>
      <c r="L42" s="58">
        <v>647618.71999999986</v>
      </c>
      <c r="N42" s="1"/>
      <c r="O42" s="1"/>
      <c r="Q42" s="41"/>
    </row>
    <row r="43" spans="1:17" ht="19.5" customHeight="1" x14ac:dyDescent="0.2">
      <c r="A43" s="307" t="s">
        <v>426</v>
      </c>
      <c r="B43" s="315">
        <f>+Proyectos!B33</f>
        <v>13343940</v>
      </c>
      <c r="C43" s="315">
        <f>+Proyectos!C33</f>
        <v>13709411</v>
      </c>
      <c r="D43" s="315">
        <f>+Proyectos!D33</f>
        <v>7277843</v>
      </c>
      <c r="E43" s="315">
        <f>+Proyectos!E33</f>
        <v>293299.74</v>
      </c>
      <c r="F43" s="315">
        <f>+Proyectos!F33</f>
        <v>2533885.08</v>
      </c>
      <c r="G43" s="315">
        <f>+Proyectos!G33</f>
        <v>468945.05</v>
      </c>
      <c r="H43" s="315">
        <f>+Proyectos!H33</f>
        <v>411544.48</v>
      </c>
      <c r="I43" s="315">
        <f>+D43-F43</f>
        <v>4743957.92</v>
      </c>
      <c r="J43" s="315" t="e">
        <f>+#REF!-F43</f>
        <v>#REF!</v>
      </c>
      <c r="K43" s="316">
        <f>+F43/D43*100</f>
        <v>34.816429538257424</v>
      </c>
      <c r="L43" s="58">
        <v>0</v>
      </c>
      <c r="N43" s="1"/>
      <c r="O43" s="1"/>
    </row>
    <row r="44" spans="1:17" ht="7.5" customHeight="1" x14ac:dyDescent="0.2">
      <c r="A44" s="307"/>
      <c r="B44" s="307"/>
      <c r="C44" s="309"/>
      <c r="D44" s="309"/>
      <c r="E44" s="309"/>
      <c r="F44" s="309" t="s">
        <v>6</v>
      </c>
      <c r="G44" s="309"/>
      <c r="H44" s="309"/>
      <c r="I44" s="309" t="s">
        <v>6</v>
      </c>
      <c r="J44" s="309" t="s">
        <v>6</v>
      </c>
      <c r="K44" s="310" t="s">
        <v>6</v>
      </c>
      <c r="L44" t="s">
        <v>6</v>
      </c>
    </row>
    <row r="45" spans="1:17" ht="13.5" x14ac:dyDescent="0.2">
      <c r="A45" s="307"/>
      <c r="B45" s="307"/>
      <c r="C45" s="309"/>
      <c r="D45" s="309">
        <v>0</v>
      </c>
      <c r="E45" s="309">
        <v>0</v>
      </c>
      <c r="F45" s="309" t="s">
        <v>6</v>
      </c>
      <c r="G45" s="309"/>
      <c r="H45" s="309">
        <v>0</v>
      </c>
      <c r="I45" s="309" t="s">
        <v>6</v>
      </c>
      <c r="J45" s="309" t="s">
        <v>6</v>
      </c>
      <c r="K45" s="310" t="s">
        <v>6</v>
      </c>
      <c r="L45" t="s">
        <v>6</v>
      </c>
    </row>
    <row r="46" spans="1:17" ht="9" customHeight="1" x14ac:dyDescent="0.2">
      <c r="A46" s="307"/>
      <c r="B46" s="307"/>
      <c r="C46" s="309"/>
      <c r="D46" s="309"/>
      <c r="E46" s="309"/>
      <c r="F46" s="309" t="s">
        <v>6</v>
      </c>
      <c r="G46" s="309"/>
      <c r="H46" s="309" t="s">
        <v>6</v>
      </c>
      <c r="I46" s="309" t="s">
        <v>6</v>
      </c>
      <c r="J46" s="309" t="s">
        <v>6</v>
      </c>
      <c r="K46" s="310" t="s">
        <v>6</v>
      </c>
      <c r="L46" t="s">
        <v>6</v>
      </c>
    </row>
    <row r="47" spans="1:17" ht="13.5" x14ac:dyDescent="0.2">
      <c r="A47" s="307"/>
      <c r="B47" s="307"/>
      <c r="C47" s="309"/>
      <c r="D47" s="309"/>
      <c r="E47" s="309"/>
      <c r="F47" s="309" t="s">
        <v>6</v>
      </c>
      <c r="G47" s="309"/>
      <c r="H47" s="309"/>
      <c r="I47" s="309" t="s">
        <v>6</v>
      </c>
      <c r="J47" s="309" t="s">
        <v>6</v>
      </c>
      <c r="K47" s="310" t="s">
        <v>6</v>
      </c>
      <c r="L47" t="s">
        <v>6</v>
      </c>
    </row>
    <row r="48" spans="1:17" ht="13.5" x14ac:dyDescent="0.2">
      <c r="A48" s="307"/>
      <c r="B48" s="307"/>
      <c r="C48" s="309"/>
      <c r="D48" s="309"/>
      <c r="E48" s="309"/>
      <c r="F48" s="309" t="s">
        <v>6</v>
      </c>
      <c r="G48" s="309"/>
      <c r="H48" s="309"/>
      <c r="I48" s="309" t="s">
        <v>6</v>
      </c>
      <c r="J48" s="309" t="s">
        <v>6</v>
      </c>
      <c r="K48" s="310" t="s">
        <v>6</v>
      </c>
      <c r="L48" t="s">
        <v>6</v>
      </c>
    </row>
    <row r="49" spans="1:12" ht="13.5" x14ac:dyDescent="0.2">
      <c r="A49" s="307"/>
      <c r="B49" s="307"/>
      <c r="C49" s="309"/>
      <c r="D49" s="309"/>
      <c r="E49" s="309"/>
      <c r="F49" s="309" t="s">
        <v>6</v>
      </c>
      <c r="G49" s="309"/>
      <c r="H49" s="309"/>
      <c r="I49" s="309" t="s">
        <v>6</v>
      </c>
      <c r="J49" s="309" t="s">
        <v>6</v>
      </c>
      <c r="K49" s="310" t="s">
        <v>6</v>
      </c>
      <c r="L49" t="s">
        <v>6</v>
      </c>
    </row>
    <row r="50" spans="1:12" ht="15.75" x14ac:dyDescent="0.3">
      <c r="A50" s="322"/>
      <c r="B50" s="322"/>
      <c r="C50" s="323"/>
      <c r="D50" s="324"/>
      <c r="E50" s="324"/>
      <c r="F50" s="324" t="s">
        <v>6</v>
      </c>
      <c r="G50" s="324"/>
      <c r="H50" s="324"/>
      <c r="I50" s="324" t="s">
        <v>6</v>
      </c>
      <c r="J50" s="324" t="s">
        <v>6</v>
      </c>
      <c r="K50" s="325" t="s">
        <v>6</v>
      </c>
      <c r="L50" t="s">
        <v>6</v>
      </c>
    </row>
    <row r="51" spans="1:12" ht="12" customHeight="1" thickBot="1" x14ac:dyDescent="0.3">
      <c r="A51" s="326"/>
      <c r="B51" s="326"/>
      <c r="C51" s="327"/>
      <c r="D51" s="328"/>
      <c r="E51" s="328"/>
      <c r="F51" s="329" t="s">
        <v>6</v>
      </c>
      <c r="G51" s="329"/>
      <c r="H51" s="328"/>
      <c r="I51" s="328"/>
      <c r="J51" s="329" t="s">
        <v>6</v>
      </c>
      <c r="K51" s="330"/>
    </row>
    <row r="52" spans="1:12" ht="8.25" customHeight="1" x14ac:dyDescent="0.25">
      <c r="A52" s="271"/>
      <c r="B52" s="271"/>
      <c r="C52" s="271"/>
      <c r="D52" s="89"/>
      <c r="E52" s="89"/>
      <c r="F52" s="89"/>
      <c r="G52" s="89"/>
      <c r="H52" s="89"/>
      <c r="I52" s="89"/>
      <c r="J52" s="89"/>
      <c r="K52" s="331"/>
    </row>
    <row r="53" spans="1:12" x14ac:dyDescent="0.2">
      <c r="A53" s="646" t="s">
        <v>506</v>
      </c>
      <c r="B53" s="646"/>
      <c r="C53" s="7"/>
      <c r="D53" s="1"/>
      <c r="E53" s="1"/>
      <c r="F53" s="89"/>
      <c r="G53" s="89"/>
      <c r="H53" s="89"/>
      <c r="I53" s="89"/>
      <c r="J53" s="89"/>
      <c r="K53" s="60"/>
    </row>
    <row r="54" spans="1:12" x14ac:dyDescent="0.2">
      <c r="A54" s="29" cm="1">
        <f t="array" aca="1" ref="A54" ca="1">A1:K54</f>
        <v>0</v>
      </c>
      <c r="B54" s="29"/>
      <c r="C54" s="29"/>
      <c r="D54" s="35"/>
      <c r="E54" s="35"/>
      <c r="F54" s="34"/>
      <c r="G54" s="34"/>
      <c r="H54" s="34"/>
      <c r="I54" s="34"/>
      <c r="J54" s="34"/>
      <c r="K54" s="30"/>
    </row>
    <row r="55" spans="1:12" x14ac:dyDescent="0.2">
      <c r="A55" s="29" t="s">
        <v>6</v>
      </c>
      <c r="B55" s="29"/>
      <c r="C55" s="29"/>
      <c r="D55" s="35"/>
      <c r="E55" s="35"/>
      <c r="F55" s="34"/>
      <c r="G55" s="34"/>
      <c r="H55" s="34"/>
      <c r="I55" s="34"/>
      <c r="J55" s="34"/>
      <c r="K55" s="30"/>
    </row>
    <row r="56" spans="1:12" x14ac:dyDescent="0.2">
      <c r="A56" s="29" t="s">
        <v>6</v>
      </c>
      <c r="B56" s="29"/>
      <c r="C56" s="29"/>
      <c r="D56" s="28"/>
      <c r="E56" s="28"/>
      <c r="F56" s="28"/>
      <c r="G56" s="28"/>
      <c r="H56" s="28"/>
      <c r="I56" s="28"/>
      <c r="J56" s="28"/>
      <c r="K56" s="30"/>
    </row>
    <row r="57" spans="1:12" x14ac:dyDescent="0.2">
      <c r="A57" s="29" t="s">
        <v>6</v>
      </c>
      <c r="B57" s="29"/>
      <c r="C57" s="29"/>
      <c r="D57" s="28"/>
      <c r="E57" s="28"/>
      <c r="F57" s="28"/>
      <c r="G57" s="28"/>
      <c r="H57" s="28"/>
      <c r="I57" s="28"/>
      <c r="J57" s="28"/>
      <c r="K57" s="30"/>
    </row>
    <row r="58" spans="1:12" x14ac:dyDescent="0.2">
      <c r="A58" s="29" t="s">
        <v>6</v>
      </c>
      <c r="B58" s="29"/>
      <c r="C58" s="29"/>
      <c r="D58" s="28"/>
      <c r="E58" s="28"/>
      <c r="F58" s="28"/>
      <c r="G58" s="28"/>
      <c r="H58" s="28"/>
      <c r="I58" s="28"/>
      <c r="J58" s="28"/>
      <c r="K58" s="30"/>
    </row>
    <row r="59" spans="1:12" x14ac:dyDescent="0.2">
      <c r="A59" s="29" t="s">
        <v>6</v>
      </c>
      <c r="B59" s="29"/>
      <c r="C59" s="29"/>
      <c r="D59" s="28"/>
      <c r="E59" s="28"/>
      <c r="F59" s="28"/>
      <c r="G59" s="28"/>
      <c r="H59" s="28"/>
      <c r="I59" s="28"/>
      <c r="J59" s="28"/>
      <c r="K59" s="30"/>
    </row>
    <row r="60" spans="1:12" x14ac:dyDescent="0.2">
      <c r="A60" s="29" t="s">
        <v>6</v>
      </c>
      <c r="B60" s="29"/>
      <c r="C60" s="29"/>
      <c r="D60" s="28"/>
      <c r="E60" s="28"/>
      <c r="F60" s="28"/>
      <c r="G60" s="28"/>
      <c r="H60" s="28"/>
      <c r="I60" s="28"/>
      <c r="J60" s="28"/>
      <c r="K60" s="30"/>
    </row>
    <row r="61" spans="1:12" x14ac:dyDescent="0.2">
      <c r="A61" s="29" t="s">
        <v>6</v>
      </c>
      <c r="B61" s="29"/>
      <c r="C61" s="29"/>
      <c r="D61" s="28"/>
      <c r="E61" s="28"/>
      <c r="F61" s="28"/>
      <c r="G61" s="28"/>
      <c r="H61" s="28"/>
      <c r="I61" s="28"/>
      <c r="J61" s="28"/>
      <c r="K61" s="30"/>
    </row>
    <row r="62" spans="1:12" ht="74.25" customHeight="1" x14ac:dyDescent="0.2">
      <c r="A62" s="29" t="s">
        <v>6</v>
      </c>
      <c r="B62" s="29"/>
      <c r="C62" s="29"/>
      <c r="D62" s="28"/>
      <c r="E62" s="28"/>
      <c r="F62" s="28"/>
      <c r="G62" s="28"/>
      <c r="H62" s="28"/>
      <c r="I62" s="28"/>
      <c r="J62" s="28"/>
      <c r="K62" s="30"/>
    </row>
    <row r="63" spans="1:12" x14ac:dyDescent="0.2">
      <c r="A63" s="25" t="s">
        <v>6</v>
      </c>
      <c r="D63" s="28"/>
      <c r="E63" s="28"/>
      <c r="F63" s="28"/>
      <c r="G63" s="28"/>
      <c r="H63" s="28"/>
      <c r="I63" s="28"/>
      <c r="J63" s="28"/>
      <c r="K63" s="30"/>
    </row>
    <row r="64" spans="1:12" x14ac:dyDescent="0.2">
      <c r="D64" s="28"/>
      <c r="E64" s="28"/>
      <c r="F64" s="28"/>
      <c r="G64" s="28"/>
      <c r="H64" s="28"/>
      <c r="I64" s="28"/>
      <c r="J64" s="28"/>
      <c r="K64" s="30"/>
    </row>
    <row r="65" spans="1:11" x14ac:dyDescent="0.2">
      <c r="A65" s="25" t="s">
        <v>6</v>
      </c>
      <c r="D65" s="28"/>
      <c r="E65" s="28"/>
      <c r="F65" s="28"/>
      <c r="G65" s="28"/>
      <c r="H65" s="28"/>
      <c r="I65" s="28"/>
      <c r="J65" s="28"/>
      <c r="K65" s="30"/>
    </row>
    <row r="66" spans="1:11" x14ac:dyDescent="0.2">
      <c r="A66" s="25" t="s">
        <v>6</v>
      </c>
      <c r="D66" s="28"/>
      <c r="E66" s="28"/>
      <c r="F66" s="28"/>
      <c r="G66" s="28"/>
      <c r="H66" s="28"/>
      <c r="I66" s="28"/>
      <c r="J66" s="28"/>
      <c r="K66" s="30"/>
    </row>
    <row r="67" spans="1:11" x14ac:dyDescent="0.2">
      <c r="D67" s="28"/>
      <c r="E67" s="28"/>
      <c r="F67" s="28"/>
      <c r="G67" s="28"/>
      <c r="H67" s="28"/>
      <c r="I67" s="28"/>
      <c r="J67" s="28"/>
      <c r="K67" s="30"/>
    </row>
    <row r="68" spans="1:11" x14ac:dyDescent="0.2">
      <c r="D68" s="28"/>
      <c r="E68" s="28"/>
      <c r="F68" s="28"/>
      <c r="G68" s="28"/>
      <c r="H68" s="28"/>
      <c r="I68" s="28"/>
      <c r="J68" s="28"/>
      <c r="K68" s="30"/>
    </row>
    <row r="69" spans="1:11" x14ac:dyDescent="0.2">
      <c r="D69" s="28"/>
      <c r="E69" s="28"/>
      <c r="F69" s="28"/>
      <c r="G69" s="28"/>
      <c r="H69" s="28"/>
      <c r="I69" s="28"/>
      <c r="J69" s="28"/>
      <c r="K69" s="30"/>
    </row>
    <row r="70" spans="1:11" x14ac:dyDescent="0.2">
      <c r="D70" s="28"/>
      <c r="E70" s="28"/>
      <c r="F70" s="28"/>
      <c r="G70" s="28"/>
      <c r="H70" s="28"/>
      <c r="I70" s="28"/>
      <c r="J70" s="28"/>
      <c r="K70" s="30"/>
    </row>
    <row r="71" spans="1:11" x14ac:dyDescent="0.2">
      <c r="D71" s="28"/>
      <c r="E71" s="28"/>
      <c r="F71" s="28"/>
      <c r="G71" s="28"/>
      <c r="H71" s="28"/>
      <c r="I71" s="28"/>
      <c r="J71" s="28"/>
      <c r="K71" s="30"/>
    </row>
    <row r="72" spans="1:11" x14ac:dyDescent="0.2">
      <c r="D72" s="28"/>
      <c r="E72" s="28"/>
      <c r="F72" s="28"/>
      <c r="G72" s="28"/>
      <c r="H72" s="28"/>
      <c r="I72" s="28"/>
      <c r="J72" s="28"/>
      <c r="K72" s="30"/>
    </row>
    <row r="73" spans="1:11" x14ac:dyDescent="0.2">
      <c r="D73" s="28"/>
      <c r="E73" s="28"/>
      <c r="F73" s="28"/>
      <c r="G73" s="28"/>
      <c r="H73" s="28"/>
      <c r="I73" s="28"/>
      <c r="J73" s="28"/>
      <c r="K73" s="30"/>
    </row>
    <row r="74" spans="1:11" x14ac:dyDescent="0.2">
      <c r="D74" s="28"/>
      <c r="E74" s="28"/>
      <c r="F74" s="28"/>
      <c r="G74" s="28"/>
      <c r="H74" s="28"/>
      <c r="I74" s="28"/>
      <c r="J74" s="28"/>
      <c r="K74" s="30"/>
    </row>
    <row r="75" spans="1:11" x14ac:dyDescent="0.2">
      <c r="D75" s="28"/>
      <c r="E75" s="28"/>
      <c r="F75" s="28"/>
      <c r="G75" s="28"/>
      <c r="H75" s="28"/>
      <c r="I75" s="28"/>
      <c r="J75" s="28"/>
      <c r="K75" s="30"/>
    </row>
    <row r="76" spans="1:11" x14ac:dyDescent="0.2">
      <c r="D76" s="28"/>
      <c r="E76" s="28"/>
      <c r="F76" s="28"/>
      <c r="G76" s="28"/>
      <c r="H76" s="28"/>
      <c r="I76" s="28"/>
      <c r="J76" s="28"/>
      <c r="K76" s="30"/>
    </row>
    <row r="77" spans="1:11" x14ac:dyDescent="0.2">
      <c r="D77" s="28"/>
      <c r="E77" s="28"/>
      <c r="F77" s="28"/>
      <c r="G77" s="28"/>
      <c r="H77" s="28"/>
      <c r="I77" s="28"/>
      <c r="J77" s="28"/>
      <c r="K77" s="30"/>
    </row>
    <row r="78" spans="1:11" x14ac:dyDescent="0.2">
      <c r="D78" s="28"/>
      <c r="E78" s="28"/>
      <c r="F78" s="28"/>
      <c r="G78" s="28"/>
      <c r="H78" s="28"/>
      <c r="I78" s="28"/>
      <c r="J78" s="28"/>
      <c r="K78" s="30"/>
    </row>
    <row r="79" spans="1:11" x14ac:dyDescent="0.2">
      <c r="D79" s="28"/>
      <c r="E79" s="28"/>
      <c r="F79" s="28"/>
      <c r="G79" s="28"/>
      <c r="H79" s="28"/>
      <c r="I79" s="28"/>
      <c r="J79" s="28"/>
      <c r="K79" s="30"/>
    </row>
    <row r="80" spans="1:11" x14ac:dyDescent="0.2">
      <c r="D80" s="28"/>
      <c r="E80" s="28"/>
      <c r="F80" s="28"/>
      <c r="G80" s="28"/>
      <c r="H80" s="28"/>
      <c r="I80" s="28"/>
      <c r="J80" s="28"/>
      <c r="K80" s="30"/>
    </row>
    <row r="81" spans="4:11" x14ac:dyDescent="0.2">
      <c r="D81" s="28"/>
      <c r="E81" s="28"/>
      <c r="F81" s="28"/>
      <c r="G81" s="28"/>
      <c r="H81" s="28"/>
      <c r="I81" s="28"/>
      <c r="J81" s="28"/>
      <c r="K81" s="30"/>
    </row>
    <row r="82" spans="4:11" x14ac:dyDescent="0.2">
      <c r="D82" s="28"/>
      <c r="E82" s="28"/>
      <c r="F82" s="28"/>
      <c r="G82" s="28"/>
      <c r="H82" s="28"/>
      <c r="I82" s="28"/>
      <c r="J82" s="28"/>
      <c r="K82" s="30"/>
    </row>
    <row r="83" spans="4:11" x14ac:dyDescent="0.2">
      <c r="D83" s="28"/>
      <c r="E83" s="28"/>
      <c r="F83" s="28"/>
      <c r="G83" s="28"/>
      <c r="H83" s="28"/>
      <c r="I83" s="28"/>
      <c r="J83" s="28"/>
      <c r="K83" s="30"/>
    </row>
    <row r="84" spans="4:11" x14ac:dyDescent="0.2">
      <c r="D84" s="28"/>
      <c r="E84" s="28"/>
      <c r="F84" s="28"/>
      <c r="G84" s="28"/>
      <c r="H84" s="28"/>
      <c r="I84" s="28"/>
      <c r="J84" s="28"/>
      <c r="K84" s="30"/>
    </row>
    <row r="85" spans="4:11" x14ac:dyDescent="0.2">
      <c r="D85" s="28"/>
      <c r="E85" s="28"/>
      <c r="F85" s="28"/>
      <c r="G85" s="28"/>
      <c r="H85" s="28"/>
      <c r="I85" s="28"/>
      <c r="J85" s="28"/>
      <c r="K85" s="30"/>
    </row>
    <row r="86" spans="4:11" x14ac:dyDescent="0.2">
      <c r="D86" s="28"/>
      <c r="E86" s="28"/>
      <c r="F86" s="28"/>
      <c r="G86" s="28"/>
      <c r="H86" s="28"/>
      <c r="I86" s="28"/>
      <c r="J86" s="28"/>
      <c r="K86" s="30"/>
    </row>
    <row r="87" spans="4:11" x14ac:dyDescent="0.2">
      <c r="D87" s="28"/>
      <c r="E87" s="28"/>
      <c r="F87" s="28"/>
      <c r="G87" s="28"/>
      <c r="H87" s="28"/>
      <c r="I87" s="28"/>
      <c r="J87" s="28"/>
      <c r="K87" s="30"/>
    </row>
    <row r="88" spans="4:11" x14ac:dyDescent="0.2">
      <c r="D88" s="28"/>
      <c r="E88" s="28"/>
      <c r="F88" s="28"/>
      <c r="G88" s="28"/>
      <c r="H88" s="28"/>
      <c r="I88" s="28"/>
      <c r="J88" s="28"/>
      <c r="K88" s="30"/>
    </row>
    <row r="89" spans="4:11" x14ac:dyDescent="0.2">
      <c r="D89" s="28"/>
      <c r="E89" s="28"/>
      <c r="F89" s="28"/>
      <c r="G89" s="28"/>
      <c r="H89" s="28"/>
      <c r="I89" s="28"/>
      <c r="J89" s="28"/>
      <c r="K89" s="30"/>
    </row>
    <row r="90" spans="4:11" x14ac:dyDescent="0.2">
      <c r="D90" s="28"/>
      <c r="E90" s="28"/>
      <c r="F90" s="28"/>
      <c r="G90" s="28"/>
      <c r="H90" s="28"/>
      <c r="I90" s="28"/>
      <c r="J90" s="28"/>
      <c r="K90" s="30"/>
    </row>
    <row r="91" spans="4:11" x14ac:dyDescent="0.2">
      <c r="D91" s="28"/>
      <c r="E91" s="28"/>
      <c r="F91" s="28"/>
      <c r="G91" s="28"/>
      <c r="H91" s="28"/>
      <c r="I91" s="28"/>
      <c r="J91" s="28"/>
      <c r="K91" s="30"/>
    </row>
    <row r="92" spans="4:11" x14ac:dyDescent="0.2">
      <c r="D92" s="28"/>
      <c r="E92" s="28"/>
      <c r="F92" s="28"/>
      <c r="G92" s="28"/>
      <c r="H92" s="28"/>
      <c r="I92" s="28"/>
      <c r="J92" s="28"/>
      <c r="K92" s="30"/>
    </row>
    <row r="93" spans="4:11" x14ac:dyDescent="0.2">
      <c r="D93" s="28"/>
      <c r="E93" s="28"/>
      <c r="F93" s="28"/>
      <c r="G93" s="28"/>
      <c r="H93" s="28"/>
      <c r="I93" s="28"/>
      <c r="J93" s="28"/>
      <c r="K93" s="30"/>
    </row>
    <row r="94" spans="4:11" x14ac:dyDescent="0.2">
      <c r="D94" s="28"/>
      <c r="E94" s="28"/>
      <c r="F94" s="28"/>
      <c r="G94" s="28"/>
      <c r="H94" s="28"/>
      <c r="I94" s="28"/>
      <c r="J94" s="28"/>
      <c r="K94" s="30"/>
    </row>
    <row r="95" spans="4:11" x14ac:dyDescent="0.2">
      <c r="D95" s="28"/>
      <c r="E95" s="28"/>
      <c r="F95" s="28"/>
      <c r="G95" s="28"/>
      <c r="H95" s="28"/>
      <c r="I95" s="28"/>
      <c r="J95" s="28"/>
      <c r="K95" s="30"/>
    </row>
    <row r="96" spans="4:11" x14ac:dyDescent="0.2">
      <c r="D96" s="28"/>
      <c r="E96" s="28"/>
      <c r="F96" s="28"/>
      <c r="G96" s="28"/>
      <c r="H96" s="28"/>
      <c r="I96" s="28"/>
      <c r="J96" s="28"/>
      <c r="K96" s="30"/>
    </row>
    <row r="97" spans="4:11" x14ac:dyDescent="0.2">
      <c r="D97" s="28"/>
      <c r="E97" s="28"/>
      <c r="F97" s="28"/>
      <c r="G97" s="28"/>
      <c r="H97" s="28"/>
      <c r="I97" s="28"/>
      <c r="J97" s="28"/>
      <c r="K97" s="30"/>
    </row>
    <row r="98" spans="4:11" x14ac:dyDescent="0.2">
      <c r="D98" s="28"/>
      <c r="E98" s="28"/>
      <c r="F98" s="28"/>
      <c r="G98" s="28"/>
      <c r="H98" s="28"/>
      <c r="I98" s="28"/>
      <c r="J98" s="28"/>
      <c r="K98" s="30"/>
    </row>
    <row r="99" spans="4:11" x14ac:dyDescent="0.2">
      <c r="D99" s="28"/>
      <c r="E99" s="28"/>
      <c r="F99" s="28"/>
      <c r="G99" s="28"/>
      <c r="H99" s="28"/>
      <c r="I99" s="28"/>
      <c r="J99" s="28"/>
      <c r="K99" s="30"/>
    </row>
    <row r="100" spans="4:11" x14ac:dyDescent="0.2">
      <c r="D100" s="28"/>
      <c r="E100" s="28"/>
      <c r="F100" s="28"/>
      <c r="G100" s="28"/>
      <c r="H100" s="28"/>
      <c r="I100" s="28"/>
      <c r="J100" s="28"/>
      <c r="K100" s="30"/>
    </row>
    <row r="101" spans="4:11" x14ac:dyDescent="0.2">
      <c r="D101" s="28"/>
      <c r="E101" s="28"/>
      <c r="F101" s="28"/>
      <c r="G101" s="28"/>
      <c r="H101" s="28"/>
      <c r="I101" s="28"/>
      <c r="J101" s="28"/>
      <c r="K101" s="30"/>
    </row>
    <row r="102" spans="4:11" x14ac:dyDescent="0.2">
      <c r="D102" s="28"/>
      <c r="E102" s="28"/>
      <c r="F102" s="28"/>
      <c r="G102" s="28"/>
      <c r="H102" s="28"/>
      <c r="I102" s="28"/>
      <c r="J102" s="28"/>
      <c r="K102" s="30"/>
    </row>
    <row r="103" spans="4:11" x14ac:dyDescent="0.2">
      <c r="D103" s="28"/>
      <c r="E103" s="28"/>
      <c r="F103" s="28"/>
      <c r="G103" s="28"/>
      <c r="H103" s="28"/>
      <c r="I103" s="28"/>
      <c r="J103" s="28"/>
      <c r="K103" s="30"/>
    </row>
    <row r="104" spans="4:11" x14ac:dyDescent="0.2">
      <c r="D104" s="28"/>
      <c r="E104" s="28"/>
      <c r="F104" s="28"/>
      <c r="G104" s="28"/>
      <c r="H104" s="28"/>
      <c r="I104" s="28"/>
      <c r="J104" s="28"/>
      <c r="K104" s="30"/>
    </row>
    <row r="105" spans="4:11" x14ac:dyDescent="0.2">
      <c r="D105" s="28"/>
      <c r="E105" s="28"/>
      <c r="F105" s="28"/>
      <c r="G105" s="28"/>
      <c r="H105" s="28"/>
      <c r="I105" s="28"/>
      <c r="J105" s="28"/>
      <c r="K105" s="30"/>
    </row>
    <row r="106" spans="4:11" x14ac:dyDescent="0.2">
      <c r="D106" s="28"/>
      <c r="E106" s="28"/>
      <c r="F106" s="28"/>
      <c r="G106" s="28"/>
      <c r="H106" s="28"/>
      <c r="I106" s="28"/>
      <c r="J106" s="28"/>
      <c r="K106" s="30"/>
    </row>
    <row r="107" spans="4:11" x14ac:dyDescent="0.2">
      <c r="D107" s="28"/>
      <c r="E107" s="28"/>
      <c r="F107" s="28"/>
      <c r="G107" s="28"/>
      <c r="H107" s="28"/>
      <c r="I107" s="28"/>
      <c r="J107" s="28"/>
      <c r="K107" s="30"/>
    </row>
    <row r="108" spans="4:11" x14ac:dyDescent="0.2">
      <c r="D108" s="28"/>
      <c r="E108" s="28"/>
      <c r="F108" s="28"/>
      <c r="G108" s="28"/>
      <c r="H108" s="28"/>
      <c r="I108" s="28"/>
      <c r="J108" s="28"/>
      <c r="K108" s="30"/>
    </row>
    <row r="109" spans="4:11" x14ac:dyDescent="0.2">
      <c r="D109" s="28"/>
      <c r="E109" s="28"/>
      <c r="F109" s="28"/>
      <c r="G109" s="28"/>
      <c r="H109" s="28"/>
      <c r="I109" s="28"/>
      <c r="J109" s="28"/>
      <c r="K109" s="30"/>
    </row>
    <row r="110" spans="4:11" x14ac:dyDescent="0.2">
      <c r="D110" s="28"/>
      <c r="E110" s="28"/>
      <c r="F110" s="28"/>
      <c r="G110" s="28"/>
      <c r="H110" s="28"/>
      <c r="I110" s="28"/>
      <c r="J110" s="28"/>
      <c r="K110" s="30"/>
    </row>
    <row r="111" spans="4:11" x14ac:dyDescent="0.2">
      <c r="D111" s="28"/>
      <c r="E111" s="28"/>
      <c r="F111" s="28"/>
      <c r="G111" s="28"/>
      <c r="H111" s="28"/>
      <c r="I111" s="28"/>
      <c r="J111" s="28"/>
      <c r="K111" s="30"/>
    </row>
    <row r="112" spans="4:11" x14ac:dyDescent="0.2">
      <c r="D112" s="28"/>
      <c r="E112" s="28"/>
      <c r="F112" s="28"/>
      <c r="G112" s="28"/>
      <c r="H112" s="28"/>
      <c r="I112" s="28"/>
      <c r="J112" s="28"/>
      <c r="K112" s="30"/>
    </row>
    <row r="113" spans="4:11" x14ac:dyDescent="0.2">
      <c r="D113" s="28"/>
      <c r="E113" s="28"/>
      <c r="F113" s="28"/>
      <c r="G113" s="28"/>
      <c r="H113" s="28"/>
      <c r="I113" s="28"/>
      <c r="J113" s="28"/>
      <c r="K113" s="30"/>
    </row>
    <row r="114" spans="4:11" x14ac:dyDescent="0.2">
      <c r="D114" s="28"/>
      <c r="E114" s="28"/>
      <c r="F114" s="28"/>
      <c r="G114" s="28"/>
      <c r="H114" s="28"/>
      <c r="I114" s="28"/>
      <c r="J114" s="28"/>
      <c r="K114" s="30"/>
    </row>
    <row r="115" spans="4:11" x14ac:dyDescent="0.2">
      <c r="D115" s="28"/>
      <c r="E115" s="28"/>
      <c r="F115" s="28"/>
      <c r="G115" s="28"/>
      <c r="H115" s="28"/>
      <c r="I115" s="28"/>
      <c r="J115" s="28"/>
      <c r="K115" s="30"/>
    </row>
    <row r="116" spans="4:11" x14ac:dyDescent="0.2">
      <c r="D116" s="28"/>
      <c r="E116" s="28"/>
      <c r="F116" s="28"/>
      <c r="G116" s="28"/>
      <c r="H116" s="28"/>
      <c r="I116" s="28"/>
      <c r="J116" s="28"/>
      <c r="K116" s="30"/>
    </row>
    <row r="117" spans="4:11" x14ac:dyDescent="0.2">
      <c r="D117" s="28"/>
      <c r="E117" s="28"/>
      <c r="F117" s="28"/>
      <c r="G117" s="28"/>
      <c r="H117" s="28"/>
      <c r="I117" s="28"/>
      <c r="J117" s="28"/>
      <c r="K117" s="30"/>
    </row>
    <row r="118" spans="4:11" x14ac:dyDescent="0.2">
      <c r="D118" s="28"/>
      <c r="E118" s="28"/>
      <c r="F118" s="28"/>
      <c r="G118" s="28"/>
      <c r="H118" s="28"/>
      <c r="I118" s="28"/>
      <c r="J118" s="28"/>
      <c r="K118" s="30"/>
    </row>
    <row r="119" spans="4:11" x14ac:dyDescent="0.2">
      <c r="D119" s="28"/>
      <c r="E119" s="28"/>
      <c r="F119" s="28"/>
      <c r="G119" s="28"/>
      <c r="H119" s="28"/>
      <c r="I119" s="28"/>
      <c r="J119" s="28"/>
      <c r="K119" s="30"/>
    </row>
    <row r="120" spans="4:11" x14ac:dyDescent="0.2">
      <c r="D120" s="28"/>
      <c r="E120" s="28"/>
      <c r="F120" s="28"/>
      <c r="G120" s="28"/>
      <c r="H120" s="28"/>
      <c r="I120" s="28"/>
      <c r="J120" s="28"/>
      <c r="K120" s="30"/>
    </row>
    <row r="121" spans="4:11" x14ac:dyDescent="0.2">
      <c r="D121" s="28"/>
      <c r="E121" s="28"/>
      <c r="F121" s="28"/>
      <c r="G121" s="28"/>
      <c r="H121" s="28"/>
      <c r="I121" s="28"/>
      <c r="J121" s="28"/>
      <c r="K121" s="30"/>
    </row>
    <row r="122" spans="4:11" x14ac:dyDescent="0.2">
      <c r="K122" s="30"/>
    </row>
    <row r="123" spans="4:11" x14ac:dyDescent="0.2">
      <c r="K123" s="30"/>
    </row>
    <row r="124" spans="4:11" x14ac:dyDescent="0.2">
      <c r="K124" s="30"/>
    </row>
    <row r="125" spans="4:11" x14ac:dyDescent="0.2">
      <c r="K125" s="30"/>
    </row>
    <row r="126" spans="4:11" x14ac:dyDescent="0.2">
      <c r="K126" s="30"/>
    </row>
    <row r="127" spans="4:11" x14ac:dyDescent="0.2">
      <c r="K127" s="30"/>
    </row>
    <row r="128" spans="4:11" x14ac:dyDescent="0.2">
      <c r="K128" s="30"/>
    </row>
    <row r="129" spans="11:11" x14ac:dyDescent="0.2">
      <c r="K129" s="30"/>
    </row>
    <row r="130" spans="11:11" x14ac:dyDescent="0.2">
      <c r="K130" s="30"/>
    </row>
    <row r="131" spans="11:11" x14ac:dyDescent="0.2">
      <c r="K131" s="30"/>
    </row>
    <row r="132" spans="11:11" x14ac:dyDescent="0.2">
      <c r="K132" s="30"/>
    </row>
    <row r="133" spans="11:11" x14ac:dyDescent="0.2">
      <c r="K133" s="30"/>
    </row>
    <row r="134" spans="11:11" x14ac:dyDescent="0.2">
      <c r="K134" s="30"/>
    </row>
    <row r="135" spans="11:11" x14ac:dyDescent="0.2">
      <c r="K135" s="30"/>
    </row>
    <row r="136" spans="11:11" x14ac:dyDescent="0.2">
      <c r="K136" s="30"/>
    </row>
    <row r="137" spans="11:11" x14ac:dyDescent="0.2">
      <c r="K137" s="30"/>
    </row>
    <row r="138" spans="11:11" x14ac:dyDescent="0.2">
      <c r="K138" s="30"/>
    </row>
    <row r="139" spans="11:11" x14ac:dyDescent="0.2">
      <c r="K139" s="30"/>
    </row>
    <row r="140" spans="11:11" x14ac:dyDescent="0.2">
      <c r="K140" s="30"/>
    </row>
    <row r="141" spans="11:11" x14ac:dyDescent="0.2">
      <c r="K141" s="30"/>
    </row>
    <row r="142" spans="11:11" x14ac:dyDescent="0.2">
      <c r="K142" s="30"/>
    </row>
    <row r="143" spans="11:11" x14ac:dyDescent="0.2">
      <c r="K143" s="30"/>
    </row>
    <row r="144" spans="11:11" x14ac:dyDescent="0.2">
      <c r="K144" s="30"/>
    </row>
    <row r="145" spans="11:11" x14ac:dyDescent="0.2">
      <c r="K145" s="30"/>
    </row>
    <row r="146" spans="11:11" x14ac:dyDescent="0.2">
      <c r="K146" s="30"/>
    </row>
    <row r="147" spans="11:11" x14ac:dyDescent="0.2">
      <c r="K147" s="30"/>
    </row>
    <row r="148" spans="11:11" x14ac:dyDescent="0.2">
      <c r="K148" s="30"/>
    </row>
    <row r="149" spans="11:11" x14ac:dyDescent="0.2">
      <c r="K149" s="30"/>
    </row>
    <row r="150" spans="11:11" x14ac:dyDescent="0.2">
      <c r="K150" s="30"/>
    </row>
    <row r="151" spans="11:11" x14ac:dyDescent="0.2">
      <c r="K151" s="30"/>
    </row>
    <row r="152" spans="11:11" x14ac:dyDescent="0.2">
      <c r="K152" s="30"/>
    </row>
    <row r="153" spans="11:11" x14ac:dyDescent="0.2">
      <c r="K153" s="30"/>
    </row>
    <row r="154" spans="11:11" x14ac:dyDescent="0.2">
      <c r="K154" s="30"/>
    </row>
    <row r="155" spans="11:11" x14ac:dyDescent="0.2">
      <c r="K155" s="30"/>
    </row>
    <row r="156" spans="11:11" x14ac:dyDescent="0.2">
      <c r="K156" s="30"/>
    </row>
    <row r="157" spans="11:11" x14ac:dyDescent="0.2">
      <c r="K157" s="30"/>
    </row>
    <row r="158" spans="11:11" x14ac:dyDescent="0.2">
      <c r="K158" s="30"/>
    </row>
    <row r="159" spans="11:11" x14ac:dyDescent="0.2">
      <c r="K159" s="30"/>
    </row>
    <row r="160" spans="11:11" x14ac:dyDescent="0.2">
      <c r="K160" s="30"/>
    </row>
    <row r="161" spans="11:11" x14ac:dyDescent="0.2">
      <c r="K161" s="30"/>
    </row>
    <row r="162" spans="11:11" x14ac:dyDescent="0.2">
      <c r="K162" s="30"/>
    </row>
    <row r="163" spans="11:11" x14ac:dyDescent="0.2">
      <c r="K163" s="30"/>
    </row>
    <row r="164" spans="11:11" x14ac:dyDescent="0.2">
      <c r="K164" s="30"/>
    </row>
    <row r="165" spans="11:11" x14ac:dyDescent="0.2">
      <c r="K165" s="30"/>
    </row>
    <row r="166" spans="11:11" x14ac:dyDescent="0.2">
      <c r="K166" s="30"/>
    </row>
    <row r="167" spans="11:11" x14ac:dyDescent="0.2">
      <c r="K167" s="30"/>
    </row>
    <row r="168" spans="11:11" x14ac:dyDescent="0.2">
      <c r="K168" s="30"/>
    </row>
    <row r="169" spans="11:11" x14ac:dyDescent="0.2">
      <c r="K169" s="30"/>
    </row>
    <row r="170" spans="11:11" x14ac:dyDescent="0.2">
      <c r="K170" s="30"/>
    </row>
    <row r="171" spans="11:11" x14ac:dyDescent="0.2">
      <c r="K171" s="30"/>
    </row>
    <row r="172" spans="11:11" x14ac:dyDescent="0.2">
      <c r="K172" s="30"/>
    </row>
    <row r="173" spans="11:11" x14ac:dyDescent="0.2">
      <c r="K173" s="30"/>
    </row>
    <row r="174" spans="11:11" x14ac:dyDescent="0.2">
      <c r="K174" s="30"/>
    </row>
    <row r="175" spans="11:11" x14ac:dyDescent="0.2">
      <c r="K175" s="30"/>
    </row>
    <row r="176" spans="11:11" x14ac:dyDescent="0.2">
      <c r="K176" s="30"/>
    </row>
    <row r="177" spans="11:11" x14ac:dyDescent="0.2">
      <c r="K177" s="30"/>
    </row>
    <row r="178" spans="11:11" x14ac:dyDescent="0.2">
      <c r="K178" s="30"/>
    </row>
    <row r="179" spans="11:11" x14ac:dyDescent="0.2">
      <c r="K179" s="30"/>
    </row>
    <row r="180" spans="11:11" x14ac:dyDescent="0.2">
      <c r="K180" s="30"/>
    </row>
    <row r="181" spans="11:11" x14ac:dyDescent="0.2">
      <c r="K181" s="30"/>
    </row>
  </sheetData>
  <mergeCells count="9">
    <mergeCell ref="A53:B53"/>
    <mergeCell ref="A2:K2"/>
    <mergeCell ref="A3:K3"/>
    <mergeCell ref="A7:A8"/>
    <mergeCell ref="A4:K4"/>
    <mergeCell ref="A5:K5"/>
    <mergeCell ref="K7:K8"/>
    <mergeCell ref="I7:J8"/>
    <mergeCell ref="B7:H7"/>
  </mergeCells>
  <phoneticPr fontId="3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  <ignoredErrors>
    <ignoredError sqref="D9 F36 D36 F13 G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theme="6" tint="0.39997558519241921"/>
  </sheetPr>
  <dimension ref="A1:U187"/>
  <sheetViews>
    <sheetView showGridLines="0" showZeros="0" topLeftCell="A2" workbookViewId="0">
      <selection activeCell="Q11" sqref="Q11"/>
    </sheetView>
  </sheetViews>
  <sheetFormatPr baseColWidth="10" defaultColWidth="11.42578125" defaultRowHeight="12.75" x14ac:dyDescent="0.2"/>
  <cols>
    <col min="1" max="1" width="4.85546875" style="27" customWidth="1"/>
    <col min="2" max="2" width="32.28515625" style="27" customWidth="1"/>
    <col min="3" max="3" width="11" style="27" customWidth="1"/>
    <col min="4" max="4" width="11.7109375" style="27" customWidth="1"/>
    <col min="5" max="5" width="10.85546875" style="27" customWidth="1"/>
    <col min="6" max="6" width="12.7109375" style="27" customWidth="1"/>
    <col min="7" max="7" width="13.42578125" style="27" customWidth="1"/>
    <col min="8" max="8" width="12.85546875" style="27" customWidth="1"/>
    <col min="9" max="9" width="11.85546875" style="27" customWidth="1"/>
    <col min="10" max="10" width="10" style="27" customWidth="1"/>
    <col min="11" max="11" width="7.28515625" style="27" hidden="1" customWidth="1"/>
    <col min="12" max="12" width="12.7109375" style="27" customWidth="1"/>
    <col min="13" max="13" width="14.28515625" customWidth="1"/>
    <col min="14" max="14" width="19.140625" customWidth="1"/>
    <col min="15" max="16" width="11.7109375" bestFit="1" customWidth="1"/>
  </cols>
  <sheetData>
    <row r="1" spans="1:16" hidden="1" x14ac:dyDescent="0.2"/>
    <row r="2" spans="1:16" ht="15.75" x14ac:dyDescent="0.25">
      <c r="A2" s="609" t="s">
        <v>386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</row>
    <row r="3" spans="1:16" ht="15.75" x14ac:dyDescent="0.25">
      <c r="A3" s="609" t="s">
        <v>387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6" ht="15" x14ac:dyDescent="0.25">
      <c r="A4" s="610" t="s">
        <v>389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P4" t="s">
        <v>6</v>
      </c>
    </row>
    <row r="5" spans="1:16" ht="15" x14ac:dyDescent="0.25">
      <c r="A5" s="610" t="s">
        <v>550</v>
      </c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</row>
    <row r="6" spans="1:16" ht="6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6" ht="0.75" customHeight="1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6" ht="12.75" customHeight="1" x14ac:dyDescent="0.2">
      <c r="A8" s="667" t="s">
        <v>377</v>
      </c>
      <c r="B8" s="664" t="s">
        <v>0</v>
      </c>
      <c r="C8" s="655" t="s">
        <v>31</v>
      </c>
      <c r="D8" s="655"/>
      <c r="E8" s="655"/>
      <c r="F8" s="657" t="s">
        <v>86</v>
      </c>
      <c r="G8" s="657"/>
      <c r="H8" s="670" t="s">
        <v>491</v>
      </c>
      <c r="I8" s="657" t="s">
        <v>75</v>
      </c>
      <c r="J8" s="673" t="s">
        <v>307</v>
      </c>
      <c r="K8" s="674"/>
      <c r="L8" s="661" t="s">
        <v>379</v>
      </c>
    </row>
    <row r="9" spans="1:16" ht="4.5" customHeight="1" thickBot="1" x14ac:dyDescent="0.25">
      <c r="A9" s="668"/>
      <c r="B9" s="665"/>
      <c r="C9" s="656"/>
      <c r="D9" s="656"/>
      <c r="E9" s="656"/>
      <c r="F9" s="658"/>
      <c r="G9" s="658"/>
      <c r="H9" s="671"/>
      <c r="I9" s="659"/>
      <c r="J9" s="675"/>
      <c r="K9" s="676"/>
      <c r="L9" s="662"/>
    </row>
    <row r="10" spans="1:16" ht="23.25" customHeight="1" x14ac:dyDescent="0.2">
      <c r="A10" s="669"/>
      <c r="B10" s="666"/>
      <c r="C10" s="173" t="s">
        <v>87</v>
      </c>
      <c r="D10" s="173" t="s">
        <v>12</v>
      </c>
      <c r="E10" s="173" t="s">
        <v>2</v>
      </c>
      <c r="F10" s="174" t="s">
        <v>36</v>
      </c>
      <c r="G10" s="174" t="s">
        <v>41</v>
      </c>
      <c r="H10" s="672"/>
      <c r="I10" s="660"/>
      <c r="J10" s="677"/>
      <c r="K10" s="678"/>
      <c r="L10" s="663"/>
    </row>
    <row r="11" spans="1:16" ht="19.5" customHeight="1" x14ac:dyDescent="0.2">
      <c r="A11" s="112" t="s">
        <v>88</v>
      </c>
      <c r="B11" s="113" t="s">
        <v>89</v>
      </c>
      <c r="C11" s="114">
        <f>SUM(C12+C16+C20+C21+C22+C27+C29)</f>
        <v>125299729</v>
      </c>
      <c r="D11" s="114">
        <f>+D12+D16+D20+D21+D22+D29</f>
        <v>124433084</v>
      </c>
      <c r="E11" s="114">
        <f>SUM(E12+E16+E20+E21+E22+E27+E29)</f>
        <v>51000665</v>
      </c>
      <c r="F11" s="164">
        <f>+F12+F16+F20+F22+F29+F21</f>
        <v>8205470.5199999996</v>
      </c>
      <c r="G11" s="164">
        <v>41091877.510000005</v>
      </c>
      <c r="H11" s="560">
        <f>+H12+H16+H20+H22+H29+H21</f>
        <v>35791178.200000003</v>
      </c>
      <c r="I11" s="114">
        <f>SUM(I12+I16+I20+I21+I22+I27+I29)</f>
        <v>38960226.240000002</v>
      </c>
      <c r="J11" s="114">
        <f>+E11-G11</f>
        <v>9908787.4899999946</v>
      </c>
      <c r="K11" s="114">
        <f t="shared" ref="K11:K26" si="0">+D11-G11</f>
        <v>83341206.489999995</v>
      </c>
      <c r="L11" s="150">
        <f t="shared" ref="L11:L19" si="1">+G11*100/E11</f>
        <v>80.571258257122736</v>
      </c>
      <c r="N11" s="45"/>
    </row>
    <row r="12" spans="1:16" ht="17.25" customHeight="1" x14ac:dyDescent="0.2">
      <c r="A12" s="78" t="s">
        <v>90</v>
      </c>
      <c r="B12" s="79" t="s">
        <v>91</v>
      </c>
      <c r="C12" s="80">
        <f>SUM(C13:C15)</f>
        <v>83395405</v>
      </c>
      <c r="D12" s="80">
        <f>+D13+D14+D15</f>
        <v>82647320</v>
      </c>
      <c r="E12" s="80">
        <f>SUM(E13:E15)</f>
        <v>34561313</v>
      </c>
      <c r="F12" s="165">
        <f>SUM(F13:F15)</f>
        <v>5865251.3699999992</v>
      </c>
      <c r="G12" s="165">
        <v>4923367.96</v>
      </c>
      <c r="H12" s="165">
        <f>SUM(H13:H15)</f>
        <v>27887817.149999999</v>
      </c>
      <c r="I12" s="80">
        <f>SUM(I13:I15)</f>
        <v>27887817.149999999</v>
      </c>
      <c r="J12" s="80">
        <f t="shared" ref="J12:J33" si="2">+E12-G12</f>
        <v>29637945.039999999</v>
      </c>
      <c r="K12" s="80">
        <f t="shared" si="0"/>
        <v>77723952.040000007</v>
      </c>
      <c r="L12" s="151">
        <f t="shared" si="1"/>
        <v>14.245315159178125</v>
      </c>
      <c r="N12" s="45"/>
    </row>
    <row r="13" spans="1:16" x14ac:dyDescent="0.2">
      <c r="A13" s="75" t="s">
        <v>92</v>
      </c>
      <c r="B13" s="76" t="s">
        <v>91</v>
      </c>
      <c r="C13" s="77">
        <v>71073045</v>
      </c>
      <c r="D13" s="77">
        <v>70040045</v>
      </c>
      <c r="E13" s="77">
        <v>28360891</v>
      </c>
      <c r="F13" s="166">
        <v>5175422.22</v>
      </c>
      <c r="G13" s="166">
        <v>25127366.52</v>
      </c>
      <c r="H13" s="166">
        <v>25127366.52</v>
      </c>
      <c r="I13" s="77">
        <v>25127366.52</v>
      </c>
      <c r="J13" s="77">
        <f t="shared" si="2"/>
        <v>3233524.4800000004</v>
      </c>
      <c r="K13" s="77">
        <f t="shared" si="0"/>
        <v>44912678.480000004</v>
      </c>
      <c r="L13" s="152">
        <f t="shared" si="1"/>
        <v>88.598649880217096</v>
      </c>
      <c r="N13" s="45"/>
      <c r="O13" t="s">
        <v>6</v>
      </c>
    </row>
    <row r="14" spans="1:16" x14ac:dyDescent="0.2">
      <c r="A14" s="75" t="s">
        <v>93</v>
      </c>
      <c r="B14" s="76" t="s">
        <v>94</v>
      </c>
      <c r="C14" s="77">
        <v>3944236</v>
      </c>
      <c r="D14" s="77">
        <v>3844236</v>
      </c>
      <c r="E14" s="77">
        <v>1510703</v>
      </c>
      <c r="F14" s="166">
        <v>245008.3</v>
      </c>
      <c r="G14" s="166">
        <v>1108806</v>
      </c>
      <c r="H14" s="166">
        <v>1108806</v>
      </c>
      <c r="I14" s="77">
        <v>1108806</v>
      </c>
      <c r="J14" s="77">
        <f t="shared" si="2"/>
        <v>401897</v>
      </c>
      <c r="K14" s="77">
        <f t="shared" si="0"/>
        <v>2735430</v>
      </c>
      <c r="L14" s="152">
        <f t="shared" si="1"/>
        <v>73.396690150214837</v>
      </c>
      <c r="N14" s="45"/>
    </row>
    <row r="15" spans="1:16" x14ac:dyDescent="0.2">
      <c r="A15" s="75" t="s">
        <v>95</v>
      </c>
      <c r="B15" s="76" t="s">
        <v>96</v>
      </c>
      <c r="C15" s="77">
        <v>8378124</v>
      </c>
      <c r="D15" s="77">
        <v>8763039</v>
      </c>
      <c r="E15" s="77">
        <v>4689719</v>
      </c>
      <c r="F15" s="166">
        <v>444820.85</v>
      </c>
      <c r="G15" s="166">
        <v>1651644.63</v>
      </c>
      <c r="H15" s="166">
        <v>1651644.63</v>
      </c>
      <c r="I15" s="77">
        <v>1651644.63</v>
      </c>
      <c r="J15" s="77">
        <f t="shared" si="2"/>
        <v>3038074.37</v>
      </c>
      <c r="K15" s="77">
        <f t="shared" si="0"/>
        <v>7111394.3700000001</v>
      </c>
      <c r="L15" s="152">
        <f t="shared" si="1"/>
        <v>35.218413512621972</v>
      </c>
      <c r="N15" s="45"/>
    </row>
    <row r="16" spans="1:16" ht="15" customHeight="1" x14ac:dyDescent="0.2">
      <c r="A16" s="551" t="s">
        <v>97</v>
      </c>
      <c r="B16" s="79" t="s">
        <v>98</v>
      </c>
      <c r="C16" s="80">
        <f t="shared" ref="C16:I16" si="3">SUM(C17:C19)</f>
        <v>17439165</v>
      </c>
      <c r="D16" s="80">
        <f t="shared" si="3"/>
        <v>17244165</v>
      </c>
      <c r="E16" s="80">
        <f t="shared" si="3"/>
        <v>6393687</v>
      </c>
      <c r="F16" s="165">
        <f>SUM(F17:F19)</f>
        <v>1138456.04</v>
      </c>
      <c r="G16" s="165">
        <v>5688528.5600000005</v>
      </c>
      <c r="H16" s="165">
        <f t="shared" ref="H16" si="4">SUM(H17:H19)</f>
        <v>5688528.5599999996</v>
      </c>
      <c r="I16" s="80">
        <f t="shared" si="3"/>
        <v>5688528.5599999996</v>
      </c>
      <c r="J16" s="80">
        <f t="shared" si="2"/>
        <v>705158.43999999948</v>
      </c>
      <c r="K16" s="80">
        <f t="shared" si="0"/>
        <v>11555636.439999999</v>
      </c>
      <c r="L16" s="151">
        <f t="shared" si="1"/>
        <v>88.971020320513034</v>
      </c>
      <c r="N16" s="45"/>
    </row>
    <row r="17" spans="1:14" ht="13.9" customHeight="1" x14ac:dyDescent="0.2">
      <c r="A17" s="75" t="s">
        <v>99</v>
      </c>
      <c r="B17" s="76" t="s">
        <v>100</v>
      </c>
      <c r="C17" s="77">
        <v>223154</v>
      </c>
      <c r="D17" s="77">
        <v>223154</v>
      </c>
      <c r="E17" s="77">
        <v>53143</v>
      </c>
      <c r="F17" s="166">
        <v>10352.09</v>
      </c>
      <c r="G17" s="166">
        <v>41945.279999999999</v>
      </c>
      <c r="H17" s="166">
        <v>41945.279999999999</v>
      </c>
      <c r="I17" s="77">
        <v>41945.279999999999</v>
      </c>
      <c r="J17" s="77">
        <f t="shared" si="2"/>
        <v>11197.720000000001</v>
      </c>
      <c r="K17" s="77">
        <f t="shared" si="0"/>
        <v>181208.72</v>
      </c>
      <c r="L17" s="152">
        <f t="shared" si="1"/>
        <v>78.929078147639387</v>
      </c>
      <c r="N17" s="45"/>
    </row>
    <row r="18" spans="1:14" ht="13.9" customHeight="1" x14ac:dyDescent="0.2">
      <c r="A18" s="147" t="s">
        <v>427</v>
      </c>
      <c r="B18" s="76" t="s">
        <v>101</v>
      </c>
      <c r="C18" s="77">
        <v>1488300</v>
      </c>
      <c r="D18" s="77">
        <v>1443300</v>
      </c>
      <c r="E18" s="77">
        <v>575125</v>
      </c>
      <c r="F18" s="167">
        <v>92955.82</v>
      </c>
      <c r="G18" s="166">
        <v>477980.77000000008</v>
      </c>
      <c r="H18" s="166">
        <v>477980.77</v>
      </c>
      <c r="I18" s="77">
        <v>477980.77</v>
      </c>
      <c r="J18" s="77">
        <f t="shared" si="2"/>
        <v>97144.229999999923</v>
      </c>
      <c r="K18" s="77">
        <f t="shared" si="0"/>
        <v>965319.23</v>
      </c>
      <c r="L18" s="152">
        <f t="shared" si="1"/>
        <v>83.109023255813966</v>
      </c>
      <c r="N18" s="45"/>
    </row>
    <row r="19" spans="1:14" ht="15.6" customHeight="1" x14ac:dyDescent="0.2">
      <c r="A19" s="75" t="s">
        <v>102</v>
      </c>
      <c r="B19" s="76" t="s">
        <v>103</v>
      </c>
      <c r="C19" s="77">
        <v>15727711</v>
      </c>
      <c r="D19" s="77">
        <v>15577711</v>
      </c>
      <c r="E19" s="77">
        <v>5765419</v>
      </c>
      <c r="F19" s="167">
        <v>1035148.13</v>
      </c>
      <c r="G19" s="166">
        <v>5168602.5100000007</v>
      </c>
      <c r="H19" s="166">
        <v>5168602.51</v>
      </c>
      <c r="I19" s="77">
        <v>5168602.51</v>
      </c>
      <c r="J19" s="77">
        <f t="shared" si="2"/>
        <v>596816.48999999929</v>
      </c>
      <c r="K19" s="77">
        <f t="shared" si="0"/>
        <v>10409108.489999998</v>
      </c>
      <c r="L19" s="152">
        <f t="shared" si="1"/>
        <v>89.648341430171868</v>
      </c>
      <c r="N19" s="45"/>
    </row>
    <row r="20" spans="1:14" x14ac:dyDescent="0.2">
      <c r="A20" s="551" t="s">
        <v>104</v>
      </c>
      <c r="B20" s="79" t="s">
        <v>105</v>
      </c>
      <c r="C20" s="80">
        <v>228000</v>
      </c>
      <c r="D20" s="80">
        <v>228000</v>
      </c>
      <c r="E20" s="80">
        <v>95000</v>
      </c>
      <c r="F20" s="165">
        <v>17100</v>
      </c>
      <c r="G20" s="165">
        <v>87850</v>
      </c>
      <c r="H20" s="165">
        <v>90800</v>
      </c>
      <c r="I20" s="80">
        <v>87850</v>
      </c>
      <c r="J20" s="80">
        <f>+E20-G20</f>
        <v>7150</v>
      </c>
      <c r="K20" s="80">
        <f t="shared" si="0"/>
        <v>140150</v>
      </c>
      <c r="L20" s="151">
        <f>+G20*100/E20</f>
        <v>92.473684210526315</v>
      </c>
      <c r="N20" s="45"/>
    </row>
    <row r="21" spans="1:14" x14ac:dyDescent="0.2">
      <c r="A21" s="551" t="s">
        <v>106</v>
      </c>
      <c r="B21" s="79" t="s">
        <v>107</v>
      </c>
      <c r="C21" s="80">
        <v>8407425</v>
      </c>
      <c r="D21" s="80">
        <v>8120865</v>
      </c>
      <c r="E21" s="80">
        <v>2515923</v>
      </c>
      <c r="F21" s="165">
        <v>9673.17</v>
      </c>
      <c r="G21" s="165">
        <v>2024145.9</v>
      </c>
      <c r="H21" s="165">
        <v>2024145.9</v>
      </c>
      <c r="I21" s="80">
        <v>2024145.9</v>
      </c>
      <c r="J21" s="80">
        <f t="shared" si="2"/>
        <v>491777.10000000009</v>
      </c>
      <c r="K21" s="80">
        <f t="shared" si="0"/>
        <v>6096719.0999999996</v>
      </c>
      <c r="L21" s="151" t="s">
        <v>6</v>
      </c>
      <c r="N21" s="45"/>
    </row>
    <row r="22" spans="1:14" ht="14.25" customHeight="1" x14ac:dyDescent="0.2">
      <c r="A22" s="78" t="s">
        <v>108</v>
      </c>
      <c r="B22" s="79" t="s">
        <v>109</v>
      </c>
      <c r="C22" s="80">
        <f t="shared" ref="C22:I22" si="5">SUM(C23:C26)</f>
        <v>15829734</v>
      </c>
      <c r="D22" s="80">
        <f t="shared" si="5"/>
        <v>15779734</v>
      </c>
      <c r="E22" s="80">
        <f t="shared" si="5"/>
        <v>7021742</v>
      </c>
      <c r="F22" s="165">
        <f>SUM(F23:F26)</f>
        <v>1099818.08</v>
      </c>
      <c r="G22" s="165">
        <v>5286986.99</v>
      </c>
      <c r="H22" s="165"/>
      <c r="I22" s="80">
        <f t="shared" si="5"/>
        <v>3165722.6999999997</v>
      </c>
      <c r="J22" s="80">
        <f t="shared" si="2"/>
        <v>1734755.0099999998</v>
      </c>
      <c r="K22" s="80">
        <f t="shared" si="0"/>
        <v>10492747.01</v>
      </c>
      <c r="L22" s="151">
        <f>+G22*100/E22</f>
        <v>75.294520789855284</v>
      </c>
      <c r="M22" s="7"/>
      <c r="N22" s="45"/>
    </row>
    <row r="23" spans="1:14" ht="15" customHeight="1" x14ac:dyDescent="0.2">
      <c r="A23" s="75" t="s">
        <v>110</v>
      </c>
      <c r="B23" s="77" t="s">
        <v>111</v>
      </c>
      <c r="C23" s="77">
        <v>13304646</v>
      </c>
      <c r="D23" s="77">
        <v>13254646</v>
      </c>
      <c r="E23" s="77">
        <v>5938547</v>
      </c>
      <c r="F23" s="166">
        <v>931842.14</v>
      </c>
      <c r="G23" s="166">
        <v>4483033.5999999996</v>
      </c>
      <c r="H23" s="166"/>
      <c r="I23" s="77">
        <v>2685659.28</v>
      </c>
      <c r="J23" s="77">
        <f t="shared" si="2"/>
        <v>1455513.4000000004</v>
      </c>
      <c r="K23" s="77">
        <f t="shared" si="0"/>
        <v>8771612.4000000004</v>
      </c>
      <c r="L23" s="152">
        <f>+G23*100/E23</f>
        <v>75.490412048603801</v>
      </c>
      <c r="N23" s="45"/>
    </row>
    <row r="24" spans="1:14" ht="13.5" customHeight="1" x14ac:dyDescent="0.2">
      <c r="A24" s="75" t="s">
        <v>112</v>
      </c>
      <c r="B24" s="76" t="s">
        <v>113</v>
      </c>
      <c r="C24" s="77">
        <v>1515055</v>
      </c>
      <c r="D24" s="77">
        <v>1515055</v>
      </c>
      <c r="E24" s="77">
        <v>650216</v>
      </c>
      <c r="F24" s="166">
        <v>105107.65</v>
      </c>
      <c r="G24" s="166">
        <v>503781.25</v>
      </c>
      <c r="H24" s="166"/>
      <c r="I24" s="77">
        <v>293031.61</v>
      </c>
      <c r="J24" s="77">
        <f t="shared" si="2"/>
        <v>146434.75</v>
      </c>
      <c r="K24" s="77">
        <f t="shared" si="0"/>
        <v>1011273.75</v>
      </c>
      <c r="L24" s="152">
        <f>+G24*100/E24</f>
        <v>77.479060804409613</v>
      </c>
      <c r="N24" s="45"/>
    </row>
    <row r="25" spans="1:14" ht="13.5" customHeight="1" x14ac:dyDescent="0.2">
      <c r="A25" s="75" t="s">
        <v>114</v>
      </c>
      <c r="B25" s="76" t="s">
        <v>115</v>
      </c>
      <c r="C25" s="77">
        <v>707023</v>
      </c>
      <c r="D25" s="77">
        <v>707023</v>
      </c>
      <c r="E25" s="77">
        <v>303385</v>
      </c>
      <c r="F25" s="166">
        <v>49176.77</v>
      </c>
      <c r="G25" s="166">
        <v>235739.47999999998</v>
      </c>
      <c r="H25" s="166"/>
      <c r="I25" s="77">
        <v>136198.62</v>
      </c>
      <c r="J25" s="77">
        <v>42469.75</v>
      </c>
      <c r="K25" s="77">
        <f t="shared" si="0"/>
        <v>471283.52</v>
      </c>
      <c r="L25" s="152">
        <f>+G25*100/E25</f>
        <v>77.703076948431857</v>
      </c>
      <c r="N25" s="45"/>
    </row>
    <row r="26" spans="1:14" ht="13.5" customHeight="1" x14ac:dyDescent="0.2">
      <c r="A26" s="75" t="s">
        <v>116</v>
      </c>
      <c r="B26" s="76" t="s">
        <v>117</v>
      </c>
      <c r="C26" s="77">
        <v>303010</v>
      </c>
      <c r="D26" s="77">
        <v>303010</v>
      </c>
      <c r="E26" s="77">
        <v>129594</v>
      </c>
      <c r="F26" s="166">
        <v>13691.52</v>
      </c>
      <c r="G26" s="166">
        <v>64432.66</v>
      </c>
      <c r="H26" s="166"/>
      <c r="I26" s="77">
        <v>50833.19</v>
      </c>
      <c r="J26" s="77">
        <f t="shared" si="2"/>
        <v>65161.34</v>
      </c>
      <c r="K26" s="77">
        <f t="shared" si="0"/>
        <v>238577.34</v>
      </c>
      <c r="L26" s="152">
        <f>+G26*100/E26</f>
        <v>49.718860441069801</v>
      </c>
      <c r="N26" s="45"/>
    </row>
    <row r="27" spans="1:14" ht="1.5" hidden="1" customHeight="1" x14ac:dyDescent="0.2">
      <c r="A27" s="78" t="s">
        <v>118</v>
      </c>
      <c r="B27" s="79" t="s">
        <v>119</v>
      </c>
      <c r="C27" s="80">
        <f>SUM(C28:C28)</f>
        <v>0</v>
      </c>
      <c r="D27" s="80" t="e">
        <f>SUM(D28:D28)</f>
        <v>#REF!</v>
      </c>
      <c r="E27" s="80">
        <v>0</v>
      </c>
      <c r="F27" s="80">
        <v>0</v>
      </c>
      <c r="G27" s="165">
        <v>0</v>
      </c>
      <c r="H27" s="165"/>
      <c r="I27" s="80">
        <f>SUM(I28)</f>
        <v>0</v>
      </c>
      <c r="J27" s="80">
        <f t="shared" si="2"/>
        <v>0</v>
      </c>
      <c r="K27" s="80" t="e">
        <f>SUM(K28:K28)</f>
        <v>#REF!</v>
      </c>
      <c r="L27" s="152"/>
      <c r="N27" s="45"/>
    </row>
    <row r="28" spans="1:14" ht="9.75" hidden="1" customHeight="1" x14ac:dyDescent="0.2">
      <c r="A28" s="75" t="s">
        <v>366</v>
      </c>
      <c r="B28" s="76" t="s">
        <v>367</v>
      </c>
      <c r="C28" s="77">
        <v>0</v>
      </c>
      <c r="D28" s="77" t="e">
        <f>+C28+#REF!</f>
        <v>#REF!</v>
      </c>
      <c r="E28" s="77">
        <v>0</v>
      </c>
      <c r="F28" s="77">
        <v>0</v>
      </c>
      <c r="G28" s="166">
        <v>0</v>
      </c>
      <c r="H28" s="166"/>
      <c r="I28" s="77">
        <v>0</v>
      </c>
      <c r="J28" s="77">
        <f t="shared" si="2"/>
        <v>0</v>
      </c>
      <c r="K28" s="77" t="e">
        <f t="shared" ref="K28:K33" si="6">+D28-G28</f>
        <v>#REF!</v>
      </c>
      <c r="L28" s="152"/>
      <c r="N28" s="45"/>
    </row>
    <row r="29" spans="1:14" ht="13.5" customHeight="1" x14ac:dyDescent="0.2">
      <c r="A29" s="78" t="s">
        <v>120</v>
      </c>
      <c r="B29" s="79" t="s">
        <v>121</v>
      </c>
      <c r="C29" s="77">
        <v>0</v>
      </c>
      <c r="D29" s="80">
        <f>SUM(D30:D35)</f>
        <v>413000</v>
      </c>
      <c r="E29" s="80">
        <f>SUM(E30:E35)</f>
        <v>413000</v>
      </c>
      <c r="F29" s="80">
        <f>SUM(F30:F35)</f>
        <v>75171.86</v>
      </c>
      <c r="G29" s="165">
        <v>116548.91</v>
      </c>
      <c r="H29" s="165">
        <f>+H30</f>
        <v>99886.59</v>
      </c>
      <c r="I29" s="80">
        <f>SUM(I30:I35)</f>
        <v>106161.93</v>
      </c>
      <c r="J29" s="80">
        <f t="shared" si="2"/>
        <v>296451.08999999997</v>
      </c>
      <c r="K29" s="80">
        <f t="shared" si="6"/>
        <v>296451.08999999997</v>
      </c>
      <c r="L29" s="151"/>
      <c r="N29" s="45"/>
    </row>
    <row r="30" spans="1:14" ht="14.1" customHeight="1" x14ac:dyDescent="0.2">
      <c r="A30" s="75" t="s">
        <v>122</v>
      </c>
      <c r="B30" s="76" t="s">
        <v>123</v>
      </c>
      <c r="C30" s="77">
        <v>0</v>
      </c>
      <c r="D30" s="77">
        <v>266000</v>
      </c>
      <c r="E30" s="77">
        <v>266000</v>
      </c>
      <c r="F30" s="77">
        <v>64951.98</v>
      </c>
      <c r="G30" s="166">
        <v>99886.59</v>
      </c>
      <c r="H30" s="166">
        <v>99886.59</v>
      </c>
      <c r="I30" s="77">
        <v>99886.59</v>
      </c>
      <c r="J30" s="77">
        <f t="shared" si="2"/>
        <v>166113.41</v>
      </c>
      <c r="K30" s="77">
        <f t="shared" si="6"/>
        <v>166113.41</v>
      </c>
      <c r="L30" s="152"/>
      <c r="N30" s="45"/>
    </row>
    <row r="31" spans="1:14" ht="14.1" customHeight="1" x14ac:dyDescent="0.2">
      <c r="A31" s="75" t="s">
        <v>124</v>
      </c>
      <c r="B31" s="76" t="s">
        <v>408</v>
      </c>
      <c r="C31" s="77">
        <v>0</v>
      </c>
      <c r="D31" s="77">
        <v>12000</v>
      </c>
      <c r="E31" s="77">
        <v>12000</v>
      </c>
      <c r="F31" s="77"/>
      <c r="G31" s="166">
        <v>0</v>
      </c>
      <c r="H31" s="166"/>
      <c r="I31" s="77"/>
      <c r="J31" s="77">
        <f t="shared" si="2"/>
        <v>12000</v>
      </c>
      <c r="K31" s="77">
        <f t="shared" si="6"/>
        <v>12000</v>
      </c>
      <c r="L31" s="152"/>
      <c r="N31" s="45"/>
    </row>
    <row r="32" spans="1:14" ht="14.1" customHeight="1" x14ac:dyDescent="0.2">
      <c r="A32" s="75" t="s">
        <v>346</v>
      </c>
      <c r="B32" s="76" t="s">
        <v>347</v>
      </c>
      <c r="C32" s="77">
        <v>0</v>
      </c>
      <c r="D32" s="77">
        <v>5000</v>
      </c>
      <c r="E32" s="77">
        <v>5000</v>
      </c>
      <c r="F32" s="77"/>
      <c r="G32" s="166">
        <v>0</v>
      </c>
      <c r="H32" s="166"/>
      <c r="I32" s="77"/>
      <c r="J32" s="77">
        <f t="shared" si="2"/>
        <v>5000</v>
      </c>
      <c r="K32" s="77">
        <f t="shared" si="6"/>
        <v>5000</v>
      </c>
      <c r="L32" s="152"/>
      <c r="N32" s="45"/>
    </row>
    <row r="33" spans="1:18" ht="12.75" customHeight="1" x14ac:dyDescent="0.2">
      <c r="A33" s="75" t="s">
        <v>332</v>
      </c>
      <c r="B33" s="76" t="s">
        <v>333</v>
      </c>
      <c r="C33" s="77">
        <v>0</v>
      </c>
      <c r="D33" s="77">
        <v>55000</v>
      </c>
      <c r="E33" s="77">
        <v>55000</v>
      </c>
      <c r="F33" s="77"/>
      <c r="G33" s="166">
        <v>0</v>
      </c>
      <c r="H33" s="166"/>
      <c r="I33" s="77"/>
      <c r="J33" s="77">
        <f t="shared" si="2"/>
        <v>55000</v>
      </c>
      <c r="K33" s="77">
        <f t="shared" si="6"/>
        <v>55000</v>
      </c>
      <c r="L33" s="152"/>
      <c r="N33" s="45"/>
    </row>
    <row r="34" spans="1:18" ht="13.5" hidden="1" customHeight="1" x14ac:dyDescent="0.2">
      <c r="A34" s="75" t="s">
        <v>498</v>
      </c>
      <c r="B34" s="76" t="s">
        <v>459</v>
      </c>
      <c r="C34" s="77">
        <v>0</v>
      </c>
      <c r="D34" s="77"/>
      <c r="E34" s="77"/>
      <c r="F34" s="77"/>
      <c r="G34" s="166"/>
      <c r="H34" s="166"/>
      <c r="I34" s="77"/>
      <c r="J34" s="77"/>
      <c r="K34" s="77"/>
      <c r="L34" s="152"/>
      <c r="N34" s="45"/>
    </row>
    <row r="35" spans="1:18" ht="14.1" customHeight="1" x14ac:dyDescent="0.2">
      <c r="A35" s="75" t="s">
        <v>323</v>
      </c>
      <c r="B35" s="76" t="s">
        <v>458</v>
      </c>
      <c r="C35" s="77">
        <v>0</v>
      </c>
      <c r="D35" s="77">
        <v>75000</v>
      </c>
      <c r="E35" s="77">
        <v>75000</v>
      </c>
      <c r="F35" s="77">
        <v>10219.879999999999</v>
      </c>
      <c r="G35" s="166">
        <v>16662.32</v>
      </c>
      <c r="H35" s="166"/>
      <c r="I35" s="81">
        <v>6275.34</v>
      </c>
      <c r="J35" s="77">
        <f>+E35-G35</f>
        <v>58337.68</v>
      </c>
      <c r="K35" s="77">
        <f>+D35-G35</f>
        <v>58337.68</v>
      </c>
      <c r="L35" s="152"/>
      <c r="N35" s="45"/>
    </row>
    <row r="36" spans="1:18" ht="5.25" customHeight="1" x14ac:dyDescent="0.2">
      <c r="A36" s="75"/>
      <c r="B36" s="76"/>
      <c r="C36" s="77"/>
      <c r="D36" s="77"/>
      <c r="E36" s="77"/>
      <c r="F36" s="77">
        <v>0</v>
      </c>
      <c r="G36" s="166"/>
      <c r="H36" s="166"/>
      <c r="I36" s="77"/>
      <c r="J36" s="77"/>
      <c r="K36" s="77"/>
      <c r="L36" s="152"/>
      <c r="N36" s="45"/>
    </row>
    <row r="37" spans="1:18" ht="20.25" customHeight="1" x14ac:dyDescent="0.2">
      <c r="A37" s="115" t="s">
        <v>125</v>
      </c>
      <c r="B37" s="120" t="s">
        <v>126</v>
      </c>
      <c r="C37" s="121">
        <f>C38+C45+C54++C55+C58+C67+C73+C76+C62+C83</f>
        <v>7293008</v>
      </c>
      <c r="D37" s="121">
        <f>D38+D45+D54++D55+D58+D67+D73+D76+D62+D83</f>
        <v>6835043</v>
      </c>
      <c r="E37" s="121">
        <f>E38+E45+E54++E55+E58+E67+E73+E76+E62+E83</f>
        <v>5157317</v>
      </c>
      <c r="F37" s="121">
        <f>F38+F45+F54++F55+F58+F67+F73+F76+F62+F83</f>
        <v>707010.93</v>
      </c>
      <c r="G37" s="553">
        <v>2627137.12</v>
      </c>
      <c r="H37" s="553">
        <f>H38+H45+H54++H55+H58+H67+H73+H76+H62+H83</f>
        <v>1679451.0099999998</v>
      </c>
      <c r="I37" s="121">
        <f>I38+I45+I54++I55+I58+I67+I73+I76+I62+I83</f>
        <v>1420006.6300000001</v>
      </c>
      <c r="J37" s="121">
        <f>J38+J45+J54++J55+J58+J67+J73+J76+J62+J83</f>
        <v>2530179.8799999994</v>
      </c>
      <c r="K37" s="121">
        <f>K38+K45+K54++K55+K58+K67+K73+K76+K62+K83</f>
        <v>4207905.88</v>
      </c>
      <c r="L37" s="153">
        <f>+G37*100/E37</f>
        <v>50.939996901489671</v>
      </c>
      <c r="N37" s="45"/>
      <c r="P37" s="45"/>
      <c r="R37" s="45"/>
    </row>
    <row r="38" spans="1:18" ht="15.75" customHeight="1" x14ac:dyDescent="0.2">
      <c r="A38" s="78">
        <v>100</v>
      </c>
      <c r="B38" s="79" t="s">
        <v>127</v>
      </c>
      <c r="C38" s="80">
        <f>SUM(C39:C44)</f>
        <v>151437</v>
      </c>
      <c r="D38" s="80">
        <f>SUM(D39:D44)</f>
        <v>123337</v>
      </c>
      <c r="E38" s="80">
        <f>SUM(E39:E44)</f>
        <v>109337</v>
      </c>
      <c r="F38" s="80">
        <f>SUM(F39:F44)</f>
        <v>21252.35</v>
      </c>
      <c r="G38" s="165">
        <v>41097.97</v>
      </c>
      <c r="H38" s="165">
        <f>SUM(H39:H44)</f>
        <v>9324.7799999999988</v>
      </c>
      <c r="I38" s="80">
        <f>SUM(I39:I44)</f>
        <v>9560.98</v>
      </c>
      <c r="J38" s="80">
        <f t="shared" ref="J38:J52" si="7">+E38-G38</f>
        <v>68239.03</v>
      </c>
      <c r="K38" s="80">
        <f t="shared" ref="K38:K51" si="8">+D38-G38</f>
        <v>82239.03</v>
      </c>
      <c r="L38" s="152">
        <f>+G38*100/E38</f>
        <v>37.588346122538574</v>
      </c>
      <c r="N38" s="45"/>
    </row>
    <row r="39" spans="1:18" ht="15" customHeight="1" x14ac:dyDescent="0.2">
      <c r="A39" s="82" t="s">
        <v>128</v>
      </c>
      <c r="B39" s="77" t="s">
        <v>129</v>
      </c>
      <c r="C39" s="77">
        <v>3000</v>
      </c>
      <c r="D39" s="77">
        <v>8000</v>
      </c>
      <c r="E39" s="77">
        <v>8000</v>
      </c>
      <c r="F39" s="77">
        <v>0</v>
      </c>
      <c r="G39" s="166">
        <v>0</v>
      </c>
      <c r="H39" s="166"/>
      <c r="I39" s="77">
        <v>0</v>
      </c>
      <c r="J39" s="77">
        <f t="shared" si="7"/>
        <v>8000</v>
      </c>
      <c r="K39" s="77">
        <f t="shared" si="8"/>
        <v>8000</v>
      </c>
      <c r="L39" s="152">
        <f>+G39*100/E39</f>
        <v>0</v>
      </c>
      <c r="N39" s="45"/>
    </row>
    <row r="40" spans="1:18" ht="13.5" customHeight="1" x14ac:dyDescent="0.2">
      <c r="A40" s="75" t="s">
        <v>130</v>
      </c>
      <c r="B40" s="76" t="s">
        <v>131</v>
      </c>
      <c r="C40" s="77">
        <v>2000</v>
      </c>
      <c r="D40" s="77">
        <v>10000</v>
      </c>
      <c r="E40" s="77">
        <v>10000</v>
      </c>
      <c r="F40" s="77"/>
      <c r="G40" s="166">
        <v>2728.5</v>
      </c>
      <c r="H40" s="166">
        <v>2728.5</v>
      </c>
      <c r="I40" s="77">
        <v>2728.5</v>
      </c>
      <c r="J40" s="77">
        <f t="shared" si="7"/>
        <v>7271.5</v>
      </c>
      <c r="K40" s="77">
        <f t="shared" si="8"/>
        <v>7271.5</v>
      </c>
      <c r="L40" s="152">
        <f>+G40*100/E40</f>
        <v>27.285</v>
      </c>
      <c r="N40" s="45"/>
    </row>
    <row r="41" spans="1:18" ht="11.25" customHeight="1" x14ac:dyDescent="0.2">
      <c r="A41" s="75" t="s">
        <v>132</v>
      </c>
      <c r="B41" s="76" t="s">
        <v>133</v>
      </c>
      <c r="C41" s="77">
        <v>79362</v>
      </c>
      <c r="D41" s="77">
        <v>42362</v>
      </c>
      <c r="E41" s="77">
        <v>28362</v>
      </c>
      <c r="F41" s="77"/>
      <c r="G41" s="166">
        <v>3900</v>
      </c>
      <c r="H41" s="166">
        <v>600</v>
      </c>
      <c r="I41" s="77">
        <v>600</v>
      </c>
      <c r="J41" s="77">
        <f t="shared" si="7"/>
        <v>24462</v>
      </c>
      <c r="K41" s="77">
        <f t="shared" si="8"/>
        <v>38462</v>
      </c>
      <c r="L41" s="152">
        <f>+G41*100/E41</f>
        <v>13.750793314998942</v>
      </c>
      <c r="N41" s="45"/>
    </row>
    <row r="42" spans="1:18" ht="15" customHeight="1" x14ac:dyDescent="0.2">
      <c r="A42" s="75" t="s">
        <v>134</v>
      </c>
      <c r="B42" s="76" t="s">
        <v>135</v>
      </c>
      <c r="C42" s="77">
        <v>7450</v>
      </c>
      <c r="D42" s="77">
        <v>2450</v>
      </c>
      <c r="E42" s="77">
        <v>2450</v>
      </c>
      <c r="F42" s="77"/>
      <c r="G42" s="166">
        <v>0</v>
      </c>
      <c r="H42" s="166"/>
      <c r="I42" s="77">
        <v>0</v>
      </c>
      <c r="J42" s="77">
        <f t="shared" si="7"/>
        <v>2450</v>
      </c>
      <c r="K42" s="77">
        <f t="shared" si="8"/>
        <v>2450</v>
      </c>
      <c r="L42" s="152"/>
      <c r="N42" s="45"/>
    </row>
    <row r="43" spans="1:18" ht="15" customHeight="1" x14ac:dyDescent="0.2">
      <c r="A43" s="75" t="s">
        <v>136</v>
      </c>
      <c r="B43" s="76" t="s">
        <v>137</v>
      </c>
      <c r="C43" s="77">
        <v>12400</v>
      </c>
      <c r="D43" s="77">
        <f>8400</f>
        <v>8400</v>
      </c>
      <c r="E43" s="77">
        <f>8400</f>
        <v>8400</v>
      </c>
      <c r="F43" s="77"/>
      <c r="G43" s="166">
        <v>0</v>
      </c>
      <c r="H43" s="166"/>
      <c r="I43" s="77">
        <v>0</v>
      </c>
      <c r="J43" s="77">
        <f t="shared" si="7"/>
        <v>8400</v>
      </c>
      <c r="K43" s="77">
        <f t="shared" si="8"/>
        <v>8400</v>
      </c>
      <c r="L43" s="152"/>
      <c r="N43" s="45"/>
    </row>
    <row r="44" spans="1:18" ht="15.6" customHeight="1" x14ac:dyDescent="0.2">
      <c r="A44" s="75" t="s">
        <v>138</v>
      </c>
      <c r="B44" s="76" t="s">
        <v>139</v>
      </c>
      <c r="C44" s="77">
        <v>47225</v>
      </c>
      <c r="D44" s="77">
        <v>52125</v>
      </c>
      <c r="E44" s="77">
        <v>52125</v>
      </c>
      <c r="F44" s="77">
        <v>21252.35</v>
      </c>
      <c r="G44" s="166">
        <v>34469.47</v>
      </c>
      <c r="H44" s="166">
        <v>5996.28</v>
      </c>
      <c r="I44" s="77">
        <v>6232.48</v>
      </c>
      <c r="J44" s="77">
        <f t="shared" si="7"/>
        <v>17655.53</v>
      </c>
      <c r="K44" s="77">
        <f t="shared" si="8"/>
        <v>17655.53</v>
      </c>
      <c r="L44" s="152">
        <f t="shared" ref="L44:L51" si="9">+G44*100/E44</f>
        <v>66.128479616306961</v>
      </c>
      <c r="N44" s="45"/>
    </row>
    <row r="45" spans="1:18" x14ac:dyDescent="0.2">
      <c r="A45" s="83" t="s">
        <v>140</v>
      </c>
      <c r="B45" s="80" t="s">
        <v>141</v>
      </c>
      <c r="C45" s="80">
        <f>SUM(C46:C53)</f>
        <v>2652943</v>
      </c>
      <c r="D45" s="80">
        <f>SUM(D46:D53)</f>
        <v>3365443</v>
      </c>
      <c r="E45" s="80">
        <f>SUM(E46:E53)</f>
        <v>2022705</v>
      </c>
      <c r="F45" s="80">
        <f>SUM(F46:F52)</f>
        <v>568735.96</v>
      </c>
      <c r="G45" s="165">
        <v>1745258.02</v>
      </c>
      <c r="H45" s="165">
        <f>SUM(H46:H53)</f>
        <v>1330614.2</v>
      </c>
      <c r="I45" s="80">
        <f>SUM(I46:I53)</f>
        <v>1124704.04</v>
      </c>
      <c r="J45" s="77">
        <f t="shared" si="7"/>
        <v>277446.98</v>
      </c>
      <c r="K45" s="80">
        <f t="shared" si="8"/>
        <v>1620184.98</v>
      </c>
      <c r="L45" s="151">
        <f t="shared" si="9"/>
        <v>86.283369052827766</v>
      </c>
      <c r="N45" s="45"/>
      <c r="O45" s="45"/>
      <c r="P45" s="45"/>
      <c r="Q45" s="45"/>
    </row>
    <row r="46" spans="1:18" ht="12" customHeight="1" x14ac:dyDescent="0.2">
      <c r="A46" s="82" t="s">
        <v>142</v>
      </c>
      <c r="B46" s="77" t="s">
        <v>143</v>
      </c>
      <c r="C46" s="77">
        <v>109200</v>
      </c>
      <c r="D46" s="77">
        <v>109200</v>
      </c>
      <c r="E46" s="77">
        <v>49800</v>
      </c>
      <c r="F46" s="77">
        <v>9940.2900000000009</v>
      </c>
      <c r="G46" s="166">
        <v>38814.910000000003</v>
      </c>
      <c r="H46" s="166">
        <v>38814.910000000003</v>
      </c>
      <c r="I46" s="77">
        <v>38814.910000000003</v>
      </c>
      <c r="J46" s="77">
        <f t="shared" si="7"/>
        <v>10985.089999999997</v>
      </c>
      <c r="K46" s="77">
        <f t="shared" si="8"/>
        <v>70385.09</v>
      </c>
      <c r="L46" s="152">
        <f t="shared" si="9"/>
        <v>77.941586345381538</v>
      </c>
      <c r="N46" s="45"/>
    </row>
    <row r="47" spans="1:18" ht="14.25" customHeight="1" x14ac:dyDescent="0.2">
      <c r="A47" s="75" t="s">
        <v>144</v>
      </c>
      <c r="B47" s="76" t="s">
        <v>145</v>
      </c>
      <c r="C47" s="77">
        <v>43100</v>
      </c>
      <c r="D47" s="77">
        <v>51600</v>
      </c>
      <c r="E47" s="77">
        <v>28800</v>
      </c>
      <c r="F47" s="77">
        <v>7217.69</v>
      </c>
      <c r="G47" s="166">
        <v>9135.77</v>
      </c>
      <c r="H47" s="166">
        <v>4207.7700000000004</v>
      </c>
      <c r="I47" s="77">
        <v>1790.08</v>
      </c>
      <c r="J47" s="77">
        <f t="shared" si="7"/>
        <v>19664.23</v>
      </c>
      <c r="K47" s="77">
        <f t="shared" si="8"/>
        <v>42464.229999999996</v>
      </c>
      <c r="L47" s="152">
        <f t="shared" si="9"/>
        <v>31.72142361111111</v>
      </c>
      <c r="N47" s="45"/>
    </row>
    <row r="48" spans="1:18" ht="13.5" customHeight="1" x14ac:dyDescent="0.2">
      <c r="A48" s="75" t="s">
        <v>146</v>
      </c>
      <c r="B48" s="76" t="s">
        <v>147</v>
      </c>
      <c r="C48" s="77">
        <v>4500</v>
      </c>
      <c r="D48" s="77">
        <v>4500</v>
      </c>
      <c r="E48" s="77">
        <v>4500</v>
      </c>
      <c r="F48" s="77">
        <v>0</v>
      </c>
      <c r="G48" s="166">
        <v>50</v>
      </c>
      <c r="H48" s="166">
        <v>50</v>
      </c>
      <c r="I48" s="77">
        <v>0</v>
      </c>
      <c r="J48" s="77">
        <f>+E48-G48</f>
        <v>4450</v>
      </c>
      <c r="K48" s="77">
        <f t="shared" si="8"/>
        <v>4450</v>
      </c>
      <c r="L48" s="152">
        <f t="shared" si="9"/>
        <v>1.1111111111111112</v>
      </c>
      <c r="N48" s="45"/>
    </row>
    <row r="49" spans="1:21" ht="13.5" customHeight="1" x14ac:dyDescent="0.2">
      <c r="A49" s="75" t="s">
        <v>148</v>
      </c>
      <c r="B49" s="76" t="s">
        <v>149</v>
      </c>
      <c r="C49" s="77">
        <f>2717526-700000</f>
        <v>2017526</v>
      </c>
      <c r="D49" s="77">
        <f>2717526-700000+250000</f>
        <v>2267526</v>
      </c>
      <c r="E49" s="77">
        <f>1485256-318198</f>
        <v>1167058</v>
      </c>
      <c r="F49" s="77">
        <v>295462.28999999998</v>
      </c>
      <c r="G49" s="166">
        <v>1012621.55</v>
      </c>
      <c r="H49" s="166">
        <v>1012621.55</v>
      </c>
      <c r="I49" s="77">
        <v>1012621.55</v>
      </c>
      <c r="J49" s="77">
        <f t="shared" si="7"/>
        <v>154436.44999999995</v>
      </c>
      <c r="K49" s="77">
        <f t="shared" si="8"/>
        <v>1254904.45</v>
      </c>
      <c r="L49" s="152">
        <f t="shared" si="9"/>
        <v>86.767028716653329</v>
      </c>
      <c r="N49" s="45"/>
    </row>
    <row r="50" spans="1:21" ht="15" customHeight="1" x14ac:dyDescent="0.2">
      <c r="A50" s="75" t="s">
        <v>150</v>
      </c>
      <c r="B50" s="76" t="s">
        <v>151</v>
      </c>
      <c r="C50" s="77">
        <v>243600</v>
      </c>
      <c r="D50" s="77">
        <v>243600</v>
      </c>
      <c r="E50" s="77">
        <v>110730</v>
      </c>
      <c r="F50" s="77">
        <v>26259.49</v>
      </c>
      <c r="G50" s="166">
        <v>71839.070000000007</v>
      </c>
      <c r="H50" s="166">
        <v>71839.06</v>
      </c>
      <c r="I50" s="77">
        <v>45579.58</v>
      </c>
      <c r="J50" s="77">
        <f t="shared" si="7"/>
        <v>38890.929999999993</v>
      </c>
      <c r="K50" s="77">
        <f t="shared" si="8"/>
        <v>171760.93</v>
      </c>
      <c r="L50" s="152">
        <f t="shared" si="9"/>
        <v>64.877693488666139</v>
      </c>
      <c r="N50" s="45"/>
    </row>
    <row r="51" spans="1:21" ht="13.15" customHeight="1" x14ac:dyDescent="0.2">
      <c r="A51" s="75">
        <v>116</v>
      </c>
      <c r="B51" s="76" t="s">
        <v>403</v>
      </c>
      <c r="C51" s="77">
        <v>204417</v>
      </c>
      <c r="D51" s="77">
        <v>658417</v>
      </c>
      <c r="E51" s="77">
        <v>631217</v>
      </c>
      <c r="F51" s="552">
        <v>229856.2</v>
      </c>
      <c r="G51" s="166">
        <v>612796.72</v>
      </c>
      <c r="H51" s="166">
        <v>203080.91</v>
      </c>
      <c r="I51" s="77">
        <v>25897.919999999998</v>
      </c>
      <c r="J51" s="77">
        <f t="shared" si="7"/>
        <v>18420.280000000028</v>
      </c>
      <c r="K51" s="77">
        <f t="shared" si="8"/>
        <v>45620.280000000028</v>
      </c>
      <c r="L51" s="152">
        <f t="shared" si="9"/>
        <v>97.081783285304425</v>
      </c>
      <c r="N51" s="45"/>
    </row>
    <row r="52" spans="1:21" ht="13.5" customHeight="1" x14ac:dyDescent="0.2">
      <c r="A52" s="75">
        <v>117</v>
      </c>
      <c r="B52" s="76" t="s">
        <v>409</v>
      </c>
      <c r="C52" s="77">
        <v>30000</v>
      </c>
      <c r="D52" s="77">
        <v>30000</v>
      </c>
      <c r="E52" s="77">
        <v>30000</v>
      </c>
      <c r="F52" s="77"/>
      <c r="G52" s="166">
        <v>0</v>
      </c>
      <c r="H52" s="166"/>
      <c r="I52" s="77"/>
      <c r="J52" s="77">
        <f t="shared" si="7"/>
        <v>30000</v>
      </c>
      <c r="K52" s="77"/>
      <c r="L52" s="152" t="s">
        <v>6</v>
      </c>
      <c r="N52" s="45"/>
    </row>
    <row r="53" spans="1:21" ht="13.5" customHeight="1" x14ac:dyDescent="0.2">
      <c r="A53" s="75">
        <v>119</v>
      </c>
      <c r="B53" s="76" t="s">
        <v>462</v>
      </c>
      <c r="C53" s="77">
        <v>600</v>
      </c>
      <c r="D53" s="77">
        <v>600</v>
      </c>
      <c r="E53" s="77">
        <v>600</v>
      </c>
      <c r="F53" s="77"/>
      <c r="G53" s="166"/>
      <c r="H53" s="166"/>
      <c r="I53" s="77"/>
      <c r="J53" s="77"/>
      <c r="K53" s="77"/>
      <c r="L53" s="152"/>
      <c r="N53" s="45"/>
    </row>
    <row r="54" spans="1:21" ht="12.75" customHeight="1" x14ac:dyDescent="0.2">
      <c r="A54" s="78">
        <v>120</v>
      </c>
      <c r="B54" s="80" t="s">
        <v>153</v>
      </c>
      <c r="C54" s="80">
        <v>87500</v>
      </c>
      <c r="D54" s="80">
        <v>18900</v>
      </c>
      <c r="E54" s="80">
        <v>18900</v>
      </c>
      <c r="F54" s="80">
        <v>258.92</v>
      </c>
      <c r="G54" s="165">
        <v>9280.89</v>
      </c>
      <c r="H54" s="165">
        <v>8043.78</v>
      </c>
      <c r="I54" s="80">
        <v>8043.78</v>
      </c>
      <c r="J54" s="80">
        <f t="shared" ref="J54:J64" si="10">+E54-G54</f>
        <v>9619.11</v>
      </c>
      <c r="K54" s="80">
        <f t="shared" ref="K54:K67" si="11">+D54-G54</f>
        <v>9619.11</v>
      </c>
      <c r="L54" s="151">
        <f t="shared" ref="L54:L66" si="12">+G54*100/E54</f>
        <v>49.105238095238093</v>
      </c>
      <c r="M54" s="7"/>
      <c r="N54" s="45"/>
      <c r="U54">
        <f ca="1">U54</f>
        <v>0</v>
      </c>
    </row>
    <row r="55" spans="1:21" ht="13.5" customHeight="1" x14ac:dyDescent="0.2">
      <c r="A55" s="83" t="s">
        <v>154</v>
      </c>
      <c r="B55" s="80" t="s">
        <v>155</v>
      </c>
      <c r="C55" s="80">
        <f>SUM(C56:C57)</f>
        <v>163284</v>
      </c>
      <c r="D55" s="80">
        <f>SUM(D56:D57)</f>
        <v>37184</v>
      </c>
      <c r="E55" s="80">
        <f>SUM(E56:E57)</f>
        <v>37184</v>
      </c>
      <c r="F55" s="80">
        <f>F56</f>
        <v>0</v>
      </c>
      <c r="G55" s="165">
        <v>6072.68</v>
      </c>
      <c r="H55" s="165">
        <f>+H56</f>
        <v>4828</v>
      </c>
      <c r="I55" s="80">
        <f>SUM(I56:I57)</f>
        <v>3602.91</v>
      </c>
      <c r="J55" s="80">
        <f t="shared" si="10"/>
        <v>31111.32</v>
      </c>
      <c r="K55" s="80">
        <f t="shared" si="11"/>
        <v>31111.32</v>
      </c>
      <c r="L55" s="151">
        <f t="shared" si="12"/>
        <v>16.331432874354562</v>
      </c>
      <c r="M55" s="7"/>
      <c r="N55" s="45"/>
    </row>
    <row r="56" spans="1:21" ht="14.25" customHeight="1" x14ac:dyDescent="0.2">
      <c r="A56" s="75" t="s">
        <v>156</v>
      </c>
      <c r="B56" s="77" t="s">
        <v>157</v>
      </c>
      <c r="C56" s="77">
        <v>81769</v>
      </c>
      <c r="D56" s="77">
        <v>22669</v>
      </c>
      <c r="E56" s="77">
        <v>22669</v>
      </c>
      <c r="F56" s="77"/>
      <c r="G56" s="166">
        <v>6072.68</v>
      </c>
      <c r="H56" s="166">
        <v>4828</v>
      </c>
      <c r="I56" s="77">
        <v>3602.91</v>
      </c>
      <c r="J56" s="77">
        <f t="shared" si="10"/>
        <v>16596.32</v>
      </c>
      <c r="K56" s="77">
        <f t="shared" si="11"/>
        <v>16596.32</v>
      </c>
      <c r="L56" s="152">
        <f t="shared" si="12"/>
        <v>26.788477656711809</v>
      </c>
      <c r="M56" s="7"/>
      <c r="N56" s="45"/>
    </row>
    <row r="57" spans="1:21" ht="15" customHeight="1" x14ac:dyDescent="0.2">
      <c r="A57" s="75" t="s">
        <v>324</v>
      </c>
      <c r="B57" s="77" t="s">
        <v>325</v>
      </c>
      <c r="C57" s="77">
        <v>81515</v>
      </c>
      <c r="D57" s="77">
        <v>14515</v>
      </c>
      <c r="E57" s="77">
        <v>14515</v>
      </c>
      <c r="F57" s="77">
        <v>0</v>
      </c>
      <c r="G57" s="166">
        <v>0</v>
      </c>
      <c r="H57" s="166"/>
      <c r="I57" s="77">
        <v>0</v>
      </c>
      <c r="J57" s="77">
        <f t="shared" si="10"/>
        <v>14515</v>
      </c>
      <c r="K57" s="77">
        <f t="shared" si="11"/>
        <v>14515</v>
      </c>
      <c r="L57" s="152">
        <f t="shared" si="12"/>
        <v>0</v>
      </c>
      <c r="M57" s="7"/>
      <c r="N57" s="45"/>
    </row>
    <row r="58" spans="1:21" x14ac:dyDescent="0.2">
      <c r="A58" s="83" t="s">
        <v>158</v>
      </c>
      <c r="B58" s="80" t="s">
        <v>159</v>
      </c>
      <c r="C58" s="80">
        <f>SUM(C59:C61)</f>
        <v>981486</v>
      </c>
      <c r="D58" s="80">
        <f>SUM(D59:D61)</f>
        <v>386836</v>
      </c>
      <c r="E58" s="80">
        <f>SUM(E59:E61)</f>
        <v>305919</v>
      </c>
      <c r="F58" s="80">
        <f>SUM(F59:F61)</f>
        <v>12981</v>
      </c>
      <c r="G58" s="165">
        <v>112668</v>
      </c>
      <c r="H58" s="165">
        <f>SUM(H59:H61)</f>
        <v>112668</v>
      </c>
      <c r="I58" s="80">
        <f>SUM(I59:I61)</f>
        <v>111468</v>
      </c>
      <c r="J58" s="80">
        <f t="shared" si="10"/>
        <v>193251</v>
      </c>
      <c r="K58" s="80">
        <f t="shared" si="11"/>
        <v>274168</v>
      </c>
      <c r="L58" s="151">
        <f t="shared" si="12"/>
        <v>36.829356790522979</v>
      </c>
      <c r="M58" s="7"/>
      <c r="N58" s="45"/>
    </row>
    <row r="59" spans="1:21" ht="15.75" customHeight="1" x14ac:dyDescent="0.2">
      <c r="A59" s="82" t="s">
        <v>160</v>
      </c>
      <c r="B59" s="77" t="s">
        <v>161</v>
      </c>
      <c r="C59" s="77">
        <v>621226</v>
      </c>
      <c r="D59" s="77">
        <v>289376</v>
      </c>
      <c r="E59" s="77">
        <v>222846</v>
      </c>
      <c r="F59" s="77">
        <v>7699</v>
      </c>
      <c r="G59" s="166">
        <v>100538</v>
      </c>
      <c r="H59" s="166">
        <v>100538</v>
      </c>
      <c r="I59" s="77">
        <v>99386</v>
      </c>
      <c r="J59" s="77">
        <f t="shared" si="10"/>
        <v>122308</v>
      </c>
      <c r="K59" s="77">
        <f t="shared" si="11"/>
        <v>188838</v>
      </c>
      <c r="L59" s="152">
        <f>+G59*100/E59</f>
        <v>45.115460901250188</v>
      </c>
      <c r="N59" s="45"/>
    </row>
    <row r="60" spans="1:21" ht="13.5" customHeight="1" x14ac:dyDescent="0.2">
      <c r="A60" s="75" t="s">
        <v>162</v>
      </c>
      <c r="B60" s="76" t="s">
        <v>163</v>
      </c>
      <c r="C60" s="77">
        <v>227583</v>
      </c>
      <c r="D60" s="77">
        <v>47583</v>
      </c>
      <c r="E60" s="77">
        <v>47583</v>
      </c>
      <c r="F60" s="77">
        <v>3150</v>
      </c>
      <c r="G60" s="166">
        <v>9900</v>
      </c>
      <c r="H60" s="166">
        <v>9900</v>
      </c>
      <c r="I60" s="77">
        <v>9900</v>
      </c>
      <c r="J60" s="77">
        <f t="shared" si="10"/>
        <v>37683</v>
      </c>
      <c r="K60" s="77">
        <f t="shared" si="11"/>
        <v>37683</v>
      </c>
      <c r="L60" s="152">
        <f t="shared" si="12"/>
        <v>20.805749952714205</v>
      </c>
      <c r="N60" s="45"/>
    </row>
    <row r="61" spans="1:21" ht="12" customHeight="1" x14ac:dyDescent="0.2">
      <c r="A61" s="75">
        <v>143</v>
      </c>
      <c r="B61" s="76" t="s">
        <v>164</v>
      </c>
      <c r="C61" s="77">
        <v>132677</v>
      </c>
      <c r="D61" s="77">
        <v>49877</v>
      </c>
      <c r="E61" s="77">
        <v>35490</v>
      </c>
      <c r="F61" s="77">
        <v>2132</v>
      </c>
      <c r="G61" s="166">
        <v>2230</v>
      </c>
      <c r="H61" s="166">
        <v>2230</v>
      </c>
      <c r="I61" s="77">
        <v>2182</v>
      </c>
      <c r="J61" s="77">
        <f t="shared" si="10"/>
        <v>33260</v>
      </c>
      <c r="K61" s="77">
        <f t="shared" si="11"/>
        <v>47647</v>
      </c>
      <c r="L61" s="152">
        <f t="shared" si="12"/>
        <v>6.2834601296139754</v>
      </c>
      <c r="N61" s="45"/>
    </row>
    <row r="62" spans="1:21" x14ac:dyDescent="0.2">
      <c r="A62" s="83" t="s">
        <v>165</v>
      </c>
      <c r="B62" s="80" t="s">
        <v>166</v>
      </c>
      <c r="C62" s="80">
        <f>SUM(C63:C65)</f>
        <v>448811</v>
      </c>
      <c r="D62" s="80">
        <f>SUM(D63:D66)</f>
        <v>285511</v>
      </c>
      <c r="E62" s="80">
        <f>+E63+E64+E65+E66</f>
        <v>200240</v>
      </c>
      <c r="F62" s="80">
        <f>SUM(F63:F66)</f>
        <v>4998.51</v>
      </c>
      <c r="G62" s="165">
        <v>28738.199999999997</v>
      </c>
      <c r="H62" s="165">
        <f>+H63+H64+H65+H66</f>
        <v>20788.21</v>
      </c>
      <c r="I62" s="80">
        <f>SUM(I63:I66)</f>
        <v>18764.850000000002</v>
      </c>
      <c r="J62" s="80">
        <f t="shared" si="10"/>
        <v>171501.8</v>
      </c>
      <c r="K62" s="80">
        <f t="shared" si="11"/>
        <v>256772.8</v>
      </c>
      <c r="L62" s="151">
        <f t="shared" si="12"/>
        <v>14.351877746703954</v>
      </c>
      <c r="M62" s="7"/>
      <c r="N62" s="45"/>
      <c r="O62" s="45" t="s">
        <v>6</v>
      </c>
      <c r="P62" s="45" t="s">
        <v>6</v>
      </c>
    </row>
    <row r="63" spans="1:21" ht="15" customHeight="1" x14ac:dyDescent="0.2">
      <c r="A63" s="82" t="s">
        <v>167</v>
      </c>
      <c r="B63" s="77" t="s">
        <v>161</v>
      </c>
      <c r="C63" s="77">
        <v>251809</v>
      </c>
      <c r="D63" s="77">
        <v>138009</v>
      </c>
      <c r="E63" s="77">
        <v>85960</v>
      </c>
      <c r="F63" s="77">
        <v>3246.34</v>
      </c>
      <c r="G63" s="166">
        <v>22063.85</v>
      </c>
      <c r="H63" s="166">
        <v>19863.07</v>
      </c>
      <c r="I63" s="77">
        <v>18470.11</v>
      </c>
      <c r="J63" s="77">
        <f t="shared" si="10"/>
        <v>63896.15</v>
      </c>
      <c r="K63" s="82">
        <f t="shared" si="11"/>
        <v>115945.15</v>
      </c>
      <c r="L63" s="152">
        <f t="shared" si="12"/>
        <v>25.667577943229411</v>
      </c>
      <c r="N63" s="45"/>
    </row>
    <row r="64" spans="1:21" ht="12.75" customHeight="1" x14ac:dyDescent="0.2">
      <c r="A64" s="75" t="s">
        <v>168</v>
      </c>
      <c r="B64" s="76" t="s">
        <v>163</v>
      </c>
      <c r="C64" s="77">
        <v>158402</v>
      </c>
      <c r="D64" s="77">
        <v>115402</v>
      </c>
      <c r="E64" s="77">
        <v>86000</v>
      </c>
      <c r="F64" s="77">
        <v>1201.78</v>
      </c>
      <c r="G64" s="166">
        <v>5367.07</v>
      </c>
      <c r="H64" s="166"/>
      <c r="I64" s="77">
        <v>0</v>
      </c>
      <c r="J64" s="77">
        <f t="shared" si="10"/>
        <v>80632.929999999993</v>
      </c>
      <c r="K64" s="82">
        <f t="shared" si="11"/>
        <v>110034.93</v>
      </c>
      <c r="L64" s="152">
        <f t="shared" si="12"/>
        <v>6.2407790697674415</v>
      </c>
      <c r="N64" s="45"/>
    </row>
    <row r="65" spans="1:16" ht="12.75" customHeight="1" x14ac:dyDescent="0.2">
      <c r="A65" s="75">
        <v>153</v>
      </c>
      <c r="B65" s="76" t="s">
        <v>169</v>
      </c>
      <c r="C65" s="77">
        <v>38600</v>
      </c>
      <c r="D65" s="77">
        <v>26600</v>
      </c>
      <c r="E65" s="77">
        <v>22780</v>
      </c>
      <c r="F65" s="77">
        <v>432.46</v>
      </c>
      <c r="G65" s="166">
        <v>616.28</v>
      </c>
      <c r="H65" s="561">
        <v>234.14</v>
      </c>
      <c r="I65" s="77">
        <v>158.66</v>
      </c>
      <c r="J65" s="111" t="s">
        <v>455</v>
      </c>
      <c r="K65" s="163">
        <f>+D65-G65</f>
        <v>25983.72</v>
      </c>
      <c r="L65" s="152">
        <f t="shared" si="12"/>
        <v>2.7053555750658473</v>
      </c>
      <c r="N65" s="45"/>
    </row>
    <row r="66" spans="1:16" ht="14.1" customHeight="1" x14ac:dyDescent="0.2">
      <c r="A66" s="75">
        <v>154</v>
      </c>
      <c r="B66" s="76" t="s">
        <v>370</v>
      </c>
      <c r="C66" s="77"/>
      <c r="D66" s="77">
        <v>5500</v>
      </c>
      <c r="E66" s="77">
        <v>5500</v>
      </c>
      <c r="F66" s="77">
        <v>117.93</v>
      </c>
      <c r="G66" s="166">
        <v>691</v>
      </c>
      <c r="H66" s="166">
        <v>691</v>
      </c>
      <c r="I66" s="77">
        <v>136.08000000000001</v>
      </c>
      <c r="J66" s="77">
        <f>+E66-G66</f>
        <v>4809</v>
      </c>
      <c r="K66" s="82">
        <f t="shared" si="11"/>
        <v>4809</v>
      </c>
      <c r="L66" s="152">
        <f t="shared" si="12"/>
        <v>12.563636363636364</v>
      </c>
      <c r="N66" s="45"/>
    </row>
    <row r="67" spans="1:16" ht="15.75" customHeight="1" x14ac:dyDescent="0.2">
      <c r="A67" s="83" t="s">
        <v>170</v>
      </c>
      <c r="B67" s="80" t="s">
        <v>171</v>
      </c>
      <c r="C67" s="80">
        <f>SUM(C68:C72)</f>
        <v>1492093</v>
      </c>
      <c r="D67" s="80">
        <f>SUM(D68:D72)</f>
        <v>1543893</v>
      </c>
      <c r="E67" s="80">
        <f>SUM(E68:E72)</f>
        <v>1517716</v>
      </c>
      <c r="F67" s="80">
        <f>+F68+F69+F70+F72+F71</f>
        <v>42329.75</v>
      </c>
      <c r="G67" s="165">
        <v>397913.26</v>
      </c>
      <c r="H67" s="165">
        <f>+H68+H69+H70+H72+H71</f>
        <v>103094.52</v>
      </c>
      <c r="I67" s="80">
        <f>+I68+I69+I70+I72+I71</f>
        <v>94680.77</v>
      </c>
      <c r="J67" s="80">
        <f>+E67-G67</f>
        <v>1119802.74</v>
      </c>
      <c r="K67" s="83">
        <f t="shared" si="11"/>
        <v>1145979.74</v>
      </c>
      <c r="L67" s="151">
        <f>+G67*100/E67</f>
        <v>26.217899791528851</v>
      </c>
      <c r="N67" s="45"/>
      <c r="O67" s="45" t="s">
        <v>6</v>
      </c>
    </row>
    <row r="68" spans="1:16" ht="0.75" customHeight="1" x14ac:dyDescent="0.2">
      <c r="A68" s="75">
        <v>162</v>
      </c>
      <c r="B68" s="77" t="s">
        <v>456</v>
      </c>
      <c r="C68" s="77">
        <v>0</v>
      </c>
      <c r="D68" s="77">
        <v>0</v>
      </c>
      <c r="E68" s="77">
        <v>0</v>
      </c>
      <c r="F68" s="77"/>
      <c r="G68" s="166"/>
      <c r="H68" s="166"/>
      <c r="I68" s="77"/>
      <c r="J68" s="77"/>
      <c r="K68" s="83"/>
      <c r="L68" s="151"/>
      <c r="N68" s="45"/>
    </row>
    <row r="69" spans="1:16" ht="13.5" customHeight="1" x14ac:dyDescent="0.2">
      <c r="A69" s="82" t="s">
        <v>316</v>
      </c>
      <c r="B69" s="77" t="s">
        <v>317</v>
      </c>
      <c r="C69" s="77">
        <v>3400</v>
      </c>
      <c r="D69" s="77">
        <v>3400</v>
      </c>
      <c r="E69" s="77">
        <v>3400</v>
      </c>
      <c r="F69" s="77"/>
      <c r="G69" s="166">
        <v>0</v>
      </c>
      <c r="H69" s="166"/>
      <c r="I69" s="77"/>
      <c r="J69" s="77">
        <f>+E69-G69</f>
        <v>3400</v>
      </c>
      <c r="K69" s="82">
        <f>+D69-G69</f>
        <v>3400</v>
      </c>
      <c r="L69" s="152" t="s">
        <v>6</v>
      </c>
      <c r="N69" s="45"/>
    </row>
    <row r="70" spans="1:16" ht="13.5" customHeight="1" x14ac:dyDescent="0.2">
      <c r="A70" s="82" t="s">
        <v>172</v>
      </c>
      <c r="B70" s="77" t="s">
        <v>173</v>
      </c>
      <c r="C70" s="77">
        <v>106950</v>
      </c>
      <c r="D70" s="77">
        <v>254950</v>
      </c>
      <c r="E70" s="77">
        <v>254950</v>
      </c>
      <c r="F70" s="77">
        <v>17526.7</v>
      </c>
      <c r="G70" s="166">
        <v>35103.56</v>
      </c>
      <c r="H70" s="166">
        <v>892.5</v>
      </c>
      <c r="I70" s="77">
        <v>0</v>
      </c>
      <c r="J70" s="77">
        <f>+E70-G70</f>
        <v>219846.44</v>
      </c>
      <c r="K70" s="82">
        <f>+D70-G70</f>
        <v>219846.44</v>
      </c>
      <c r="L70" s="152">
        <f>+G70*100/E70</f>
        <v>13.768801725828594</v>
      </c>
      <c r="N70" s="45"/>
    </row>
    <row r="71" spans="1:16" ht="15" customHeight="1" x14ac:dyDescent="0.2">
      <c r="A71" s="75">
        <v>165</v>
      </c>
      <c r="B71" s="77" t="s">
        <v>174</v>
      </c>
      <c r="C71" s="77">
        <v>737884</v>
      </c>
      <c r="D71" s="77">
        <v>703684</v>
      </c>
      <c r="E71" s="77">
        <v>586175</v>
      </c>
      <c r="F71" s="77">
        <v>14564.5</v>
      </c>
      <c r="G71" s="166">
        <v>281964.90000000002</v>
      </c>
      <c r="H71" s="166">
        <v>78427.460000000006</v>
      </c>
      <c r="I71" s="77">
        <v>76973.570000000007</v>
      </c>
      <c r="J71" s="77">
        <f>+E71-G71</f>
        <v>304210.09999999998</v>
      </c>
      <c r="K71" s="82">
        <f>+D71-G71</f>
        <v>421719.1</v>
      </c>
      <c r="L71" s="152">
        <f>+G71*100/E71</f>
        <v>48.102512048449704</v>
      </c>
      <c r="N71" s="45"/>
    </row>
    <row r="72" spans="1:16" ht="12.75" customHeight="1" x14ac:dyDescent="0.2">
      <c r="A72" s="75" t="s">
        <v>175</v>
      </c>
      <c r="B72" s="76" t="s">
        <v>176</v>
      </c>
      <c r="C72" s="77">
        <v>643859</v>
      </c>
      <c r="D72" s="77">
        <v>581859</v>
      </c>
      <c r="E72" s="77">
        <f>419654+253537</f>
        <v>673191</v>
      </c>
      <c r="F72" s="77">
        <v>10238.549999999999</v>
      </c>
      <c r="G72" s="166">
        <v>80844.800000000003</v>
      </c>
      <c r="H72" s="166">
        <v>23774.560000000001</v>
      </c>
      <c r="I72" s="77">
        <v>17707.2</v>
      </c>
      <c r="J72" s="77">
        <f>+E72-G72</f>
        <v>592346.19999999995</v>
      </c>
      <c r="K72" s="77">
        <f>+D72-G72</f>
        <v>501014.2</v>
      </c>
      <c r="L72" s="152">
        <f>+G72*100/E72</f>
        <v>12.009192042080182</v>
      </c>
      <c r="N72" s="45"/>
    </row>
    <row r="73" spans="1:16" x14ac:dyDescent="0.2">
      <c r="A73" s="84">
        <v>170</v>
      </c>
      <c r="B73" s="93" t="s">
        <v>339</v>
      </c>
      <c r="C73" s="80">
        <f>SUM(C74:C75)</f>
        <v>305833</v>
      </c>
      <c r="D73" s="80">
        <f>SUM(D74:D75)</f>
        <v>207478</v>
      </c>
      <c r="E73" s="80">
        <f>SUM(E74:E75)</f>
        <v>78855</v>
      </c>
      <c r="F73" s="80">
        <f>SUM(F75:F75)</f>
        <v>5017</v>
      </c>
      <c r="G73" s="165">
        <v>24917.760000000002</v>
      </c>
      <c r="H73" s="165">
        <f>+H75</f>
        <v>24917.759999999998</v>
      </c>
      <c r="I73" s="80">
        <f>+I75</f>
        <v>10335.75</v>
      </c>
      <c r="J73" s="80">
        <f>+E73-G73</f>
        <v>53937.24</v>
      </c>
      <c r="K73" s="80">
        <f>+D73-G73</f>
        <v>182560.24</v>
      </c>
      <c r="L73" s="151">
        <f>+G73*100/E73</f>
        <v>31.599467376830891</v>
      </c>
      <c r="N73" s="45"/>
    </row>
    <row r="74" spans="1:16" x14ac:dyDescent="0.2">
      <c r="A74" s="168">
        <v>171</v>
      </c>
      <c r="B74" s="169" t="s">
        <v>463</v>
      </c>
      <c r="C74" s="77">
        <v>137125</v>
      </c>
      <c r="D74" s="77">
        <v>40425</v>
      </c>
      <c r="E74" s="77">
        <v>10425</v>
      </c>
      <c r="F74" s="80"/>
      <c r="G74" s="165"/>
      <c r="H74" s="165"/>
      <c r="I74" s="80"/>
      <c r="J74" s="80"/>
      <c r="K74" s="80"/>
      <c r="L74" s="151"/>
      <c r="N74" s="45"/>
    </row>
    <row r="75" spans="1:16" ht="15" customHeight="1" x14ac:dyDescent="0.2">
      <c r="A75" s="75" t="s">
        <v>177</v>
      </c>
      <c r="B75" s="76" t="s">
        <v>178</v>
      </c>
      <c r="C75" s="77">
        <v>168708</v>
      </c>
      <c r="D75" s="77">
        <v>167053</v>
      </c>
      <c r="E75" s="77">
        <v>68430</v>
      </c>
      <c r="F75" s="77">
        <v>5017</v>
      </c>
      <c r="G75" s="166">
        <v>24917.760000000002</v>
      </c>
      <c r="H75" s="166">
        <v>24917.759999999998</v>
      </c>
      <c r="I75" s="77">
        <v>10335.75</v>
      </c>
      <c r="J75" s="77">
        <f t="shared" ref="J75:J83" si="13">+E75-G75</f>
        <v>43512.24</v>
      </c>
      <c r="K75" s="77">
        <f t="shared" ref="K75:K83" si="14">+D75-G75</f>
        <v>142135.24</v>
      </c>
      <c r="L75" s="152">
        <f>+G75*100/E75</f>
        <v>36.413502849627356</v>
      </c>
      <c r="N75" s="45"/>
    </row>
    <row r="76" spans="1:16" x14ac:dyDescent="0.2">
      <c r="A76" s="83" t="s">
        <v>179</v>
      </c>
      <c r="B76" s="80" t="s">
        <v>180</v>
      </c>
      <c r="C76" s="80">
        <f>SUM(C77:C82)</f>
        <v>1009621</v>
      </c>
      <c r="D76" s="80">
        <f>SUM(D77:D82)</f>
        <v>760921</v>
      </c>
      <c r="E76" s="80">
        <f>SUM(E77:E82)</f>
        <v>760921</v>
      </c>
      <c r="F76" s="80">
        <f>SUM(F77:F82)</f>
        <v>23950.78</v>
      </c>
      <c r="G76" s="165">
        <v>221049.82</v>
      </c>
      <c r="H76" s="165">
        <f t="shared" ref="H76" si="15">SUM(H77:H82)</f>
        <v>44021.380000000005</v>
      </c>
      <c r="I76" s="80">
        <f t="shared" ref="I76" si="16">SUM(I77:I82)</f>
        <v>26208</v>
      </c>
      <c r="J76" s="80">
        <f t="shared" si="13"/>
        <v>539871.17999999993</v>
      </c>
      <c r="K76" s="80">
        <f t="shared" si="14"/>
        <v>539871.17999999993</v>
      </c>
      <c r="L76" s="151">
        <f>+G76*100/E76</f>
        <v>29.050298256980685</v>
      </c>
      <c r="M76" s="7"/>
      <c r="N76" s="45"/>
      <c r="P76" s="45"/>
    </row>
    <row r="77" spans="1:16" ht="14.25" customHeight="1" x14ac:dyDescent="0.2">
      <c r="A77" s="75">
        <v>181</v>
      </c>
      <c r="B77" s="77" t="s">
        <v>181</v>
      </c>
      <c r="C77" s="77">
        <v>150000</v>
      </c>
      <c r="D77" s="77">
        <v>45000</v>
      </c>
      <c r="E77" s="77">
        <v>45000</v>
      </c>
      <c r="F77" s="77">
        <v>0</v>
      </c>
      <c r="G77" s="166">
        <v>0</v>
      </c>
      <c r="H77" s="166"/>
      <c r="I77" s="77">
        <v>0</v>
      </c>
      <c r="J77" s="77">
        <f t="shared" si="13"/>
        <v>45000</v>
      </c>
      <c r="K77" s="77">
        <f t="shared" si="14"/>
        <v>45000</v>
      </c>
      <c r="L77" s="152" t="s">
        <v>6</v>
      </c>
      <c r="N77" s="45"/>
    </row>
    <row r="78" spans="1:16" ht="14.25" customHeight="1" x14ac:dyDescent="0.2">
      <c r="A78" s="82" t="s">
        <v>182</v>
      </c>
      <c r="B78" s="77" t="s">
        <v>326</v>
      </c>
      <c r="C78" s="77">
        <v>370682</v>
      </c>
      <c r="D78" s="77">
        <v>241182</v>
      </c>
      <c r="E78" s="77">
        <v>241182</v>
      </c>
      <c r="F78" s="77">
        <v>6163.53</v>
      </c>
      <c r="G78" s="166">
        <v>93865.709999999992</v>
      </c>
      <c r="H78" s="166">
        <v>28828.99</v>
      </c>
      <c r="I78" s="77">
        <v>21120.17</v>
      </c>
      <c r="J78" s="77">
        <f t="shared" si="13"/>
        <v>147316.29</v>
      </c>
      <c r="K78" s="77">
        <f t="shared" si="14"/>
        <v>147316.29</v>
      </c>
      <c r="L78" s="152">
        <f>+G78*100/E78</f>
        <v>38.919036246486058</v>
      </c>
      <c r="N78" s="45"/>
    </row>
    <row r="79" spans="1:16" ht="12.75" customHeight="1" x14ac:dyDescent="0.2">
      <c r="A79" s="75">
        <v>183</v>
      </c>
      <c r="B79" s="77" t="s">
        <v>327</v>
      </c>
      <c r="C79" s="77">
        <v>25883</v>
      </c>
      <c r="D79" s="77">
        <v>12883</v>
      </c>
      <c r="E79" s="77">
        <v>12883</v>
      </c>
      <c r="F79" s="77"/>
      <c r="G79" s="166">
        <v>0</v>
      </c>
      <c r="H79" s="166"/>
      <c r="I79" s="77">
        <v>0</v>
      </c>
      <c r="J79" s="77">
        <f t="shared" si="13"/>
        <v>12883</v>
      </c>
      <c r="K79" s="77">
        <f t="shared" si="14"/>
        <v>12883</v>
      </c>
      <c r="L79" s="152"/>
      <c r="N79" s="45"/>
    </row>
    <row r="80" spans="1:16" ht="12" customHeight="1" x14ac:dyDescent="0.2">
      <c r="A80" s="75">
        <v>184</v>
      </c>
      <c r="B80" s="77" t="s">
        <v>328</v>
      </c>
      <c r="C80" s="77">
        <v>58665</v>
      </c>
      <c r="D80" s="77">
        <v>11165</v>
      </c>
      <c r="E80" s="77">
        <v>11165</v>
      </c>
      <c r="F80" s="77"/>
      <c r="G80" s="166">
        <v>0</v>
      </c>
      <c r="H80" s="166"/>
      <c r="I80" s="77">
        <v>0</v>
      </c>
      <c r="J80" s="77">
        <f t="shared" si="13"/>
        <v>11165</v>
      </c>
      <c r="K80" s="77">
        <f t="shared" si="14"/>
        <v>11165</v>
      </c>
      <c r="L80" s="152"/>
      <c r="N80" s="45"/>
    </row>
    <row r="81" spans="1:17" ht="12.75" customHeight="1" x14ac:dyDescent="0.2">
      <c r="A81" s="75">
        <v>185</v>
      </c>
      <c r="B81" s="77" t="s">
        <v>335</v>
      </c>
      <c r="C81" s="77">
        <v>24831</v>
      </c>
      <c r="D81" s="77">
        <v>41231</v>
      </c>
      <c r="E81" s="77">
        <v>41231</v>
      </c>
      <c r="F81" s="77">
        <v>7425.8</v>
      </c>
      <c r="G81" s="166">
        <v>31829.06</v>
      </c>
      <c r="H81" s="166">
        <v>3392.45</v>
      </c>
      <c r="I81" s="77">
        <v>2241.65</v>
      </c>
      <c r="J81" s="77">
        <f t="shared" si="13"/>
        <v>9401.9399999999987</v>
      </c>
      <c r="K81" s="77">
        <f t="shared" si="14"/>
        <v>9401.9399999999987</v>
      </c>
      <c r="L81" s="152"/>
      <c r="N81" s="45"/>
    </row>
    <row r="82" spans="1:17" ht="13.5" customHeight="1" x14ac:dyDescent="0.2">
      <c r="A82" s="75">
        <v>189</v>
      </c>
      <c r="B82" s="76" t="s">
        <v>183</v>
      </c>
      <c r="C82" s="77">
        <v>379560</v>
      </c>
      <c r="D82" s="77">
        <v>409460</v>
      </c>
      <c r="E82" s="77">
        <v>409460</v>
      </c>
      <c r="F82" s="77">
        <v>10361.450000000001</v>
      </c>
      <c r="G82" s="166">
        <v>95355.05</v>
      </c>
      <c r="H82" s="166">
        <v>11799.94</v>
      </c>
      <c r="I82" s="77">
        <v>2846.18</v>
      </c>
      <c r="J82" s="77">
        <f t="shared" si="13"/>
        <v>314104.95</v>
      </c>
      <c r="K82" s="77">
        <f t="shared" si="14"/>
        <v>314104.95</v>
      </c>
      <c r="L82" s="152"/>
      <c r="N82" s="45"/>
    </row>
    <row r="83" spans="1:17" ht="12" customHeight="1" x14ac:dyDescent="0.2">
      <c r="A83" s="85">
        <v>190</v>
      </c>
      <c r="B83" s="79" t="s">
        <v>383</v>
      </c>
      <c r="C83" s="80">
        <f>+C85+C89</f>
        <v>0</v>
      </c>
      <c r="D83" s="80">
        <f>SUM(D84:D92)</f>
        <v>105540</v>
      </c>
      <c r="E83" s="80">
        <f>SUM(E84:E92)</f>
        <v>105540</v>
      </c>
      <c r="F83" s="80">
        <f>SUM(F84:F93)</f>
        <v>27486.659999999996</v>
      </c>
      <c r="G83" s="165">
        <v>40140.519999999997</v>
      </c>
      <c r="H83" s="165">
        <f>SUM(H84:H92)</f>
        <v>21150.38</v>
      </c>
      <c r="I83" s="80">
        <f>SUM(I84:I92)</f>
        <v>12637.550000000001</v>
      </c>
      <c r="J83" s="80">
        <f t="shared" si="13"/>
        <v>65399.48</v>
      </c>
      <c r="K83" s="80">
        <f t="shared" si="14"/>
        <v>65399.48</v>
      </c>
      <c r="L83" s="151">
        <f>+G83*100/E83</f>
        <v>38.033465984460861</v>
      </c>
      <c r="N83" s="45"/>
    </row>
    <row r="84" spans="1:17" ht="13.5" hidden="1" customHeight="1" x14ac:dyDescent="0.2">
      <c r="A84" s="86">
        <v>191</v>
      </c>
      <c r="B84" s="76" t="s">
        <v>391</v>
      </c>
      <c r="C84" s="80"/>
      <c r="D84" s="77">
        <f>SUM(C84:C84)</f>
        <v>0</v>
      </c>
      <c r="E84" s="77">
        <v>0</v>
      </c>
      <c r="F84" s="80">
        <v>0</v>
      </c>
      <c r="G84" s="166">
        <v>0</v>
      </c>
      <c r="H84" s="166"/>
      <c r="I84" s="77"/>
      <c r="J84" s="80"/>
      <c r="K84" s="80"/>
      <c r="L84" s="152"/>
      <c r="N84" s="45"/>
    </row>
    <row r="85" spans="1:17" ht="12.75" customHeight="1" x14ac:dyDescent="0.2">
      <c r="A85" s="86">
        <v>192</v>
      </c>
      <c r="B85" s="76" t="s">
        <v>384</v>
      </c>
      <c r="C85" s="77"/>
      <c r="D85" s="77">
        <v>8550</v>
      </c>
      <c r="E85" s="77">
        <v>8550</v>
      </c>
      <c r="F85" s="77"/>
      <c r="G85" s="166"/>
      <c r="H85" s="166"/>
      <c r="I85" s="77"/>
      <c r="J85" s="77">
        <f>+E85-G85</f>
        <v>8550</v>
      </c>
      <c r="K85" s="77">
        <f>+D85-G85</f>
        <v>8550</v>
      </c>
      <c r="L85" s="152">
        <f>+G85*100/E85</f>
        <v>0</v>
      </c>
      <c r="N85" s="45"/>
    </row>
    <row r="86" spans="1:17" ht="13.5" hidden="1" customHeight="1" x14ac:dyDescent="0.2">
      <c r="A86" s="86">
        <v>193</v>
      </c>
      <c r="B86" s="76" t="s">
        <v>392</v>
      </c>
      <c r="C86" s="77"/>
      <c r="D86" s="77"/>
      <c r="E86" s="77">
        <v>0</v>
      </c>
      <c r="F86" s="77"/>
      <c r="G86" s="166"/>
      <c r="H86" s="166"/>
      <c r="I86" s="77"/>
      <c r="J86" s="77">
        <f>+E86-G86</f>
        <v>0</v>
      </c>
      <c r="K86" s="77">
        <f>+D86-G86</f>
        <v>0</v>
      </c>
      <c r="L86" s="152" t="s">
        <v>6</v>
      </c>
      <c r="N86" s="45"/>
    </row>
    <row r="87" spans="1:17" ht="13.5" customHeight="1" x14ac:dyDescent="0.2">
      <c r="A87" s="86">
        <v>194</v>
      </c>
      <c r="B87" s="76" t="s">
        <v>499</v>
      </c>
      <c r="C87" s="77"/>
      <c r="D87" s="77">
        <v>100</v>
      </c>
      <c r="E87" s="77">
        <v>100</v>
      </c>
      <c r="F87" s="77">
        <v>0</v>
      </c>
      <c r="G87" s="166">
        <v>64.2</v>
      </c>
      <c r="H87" s="166"/>
      <c r="I87" s="77">
        <v>64.2</v>
      </c>
      <c r="J87" s="77">
        <f>+E87-G87</f>
        <v>35.799999999999997</v>
      </c>
      <c r="K87" s="77"/>
      <c r="L87" s="152"/>
      <c r="N87" s="45"/>
    </row>
    <row r="88" spans="1:17" ht="13.5" customHeight="1" x14ac:dyDescent="0.2">
      <c r="A88" s="86">
        <v>195</v>
      </c>
      <c r="B88" s="76" t="s">
        <v>393</v>
      </c>
      <c r="C88" s="77"/>
      <c r="D88" s="77">
        <v>4500</v>
      </c>
      <c r="E88" s="77">
        <v>4500</v>
      </c>
      <c r="F88" s="77">
        <v>84</v>
      </c>
      <c r="G88" s="166">
        <v>1046</v>
      </c>
      <c r="H88" s="166">
        <v>1046</v>
      </c>
      <c r="I88" s="77">
        <v>1040</v>
      </c>
      <c r="J88" s="77"/>
      <c r="K88" s="77"/>
      <c r="L88" s="152">
        <f>+G88*100/E88</f>
        <v>23.244444444444444</v>
      </c>
      <c r="N88" s="45"/>
    </row>
    <row r="89" spans="1:17" ht="13.5" customHeight="1" x14ac:dyDescent="0.2">
      <c r="A89" s="86">
        <v>196</v>
      </c>
      <c r="B89" s="76" t="s">
        <v>385</v>
      </c>
      <c r="C89" s="77"/>
      <c r="D89" s="77">
        <v>17000</v>
      </c>
      <c r="E89" s="77">
        <v>17000</v>
      </c>
      <c r="F89" s="77">
        <v>1268.3</v>
      </c>
      <c r="G89" s="166">
        <v>10267.109999999999</v>
      </c>
      <c r="H89" s="166">
        <v>10267.11</v>
      </c>
      <c r="I89" s="77">
        <v>9729.11</v>
      </c>
      <c r="J89" s="77">
        <f>+E89-G89</f>
        <v>6732.8900000000012</v>
      </c>
      <c r="K89" s="77">
        <f>+D89-G89</f>
        <v>6732.8900000000012</v>
      </c>
      <c r="L89" s="152">
        <f>+G89*100/E89</f>
        <v>60.394764705882345</v>
      </c>
      <c r="N89" s="45"/>
    </row>
    <row r="90" spans="1:17" ht="13.5" customHeight="1" x14ac:dyDescent="0.2">
      <c r="A90" s="86">
        <v>197</v>
      </c>
      <c r="B90" s="76" t="s">
        <v>394</v>
      </c>
      <c r="C90" s="77"/>
      <c r="D90" s="77">
        <v>27420</v>
      </c>
      <c r="E90" s="77">
        <v>27420</v>
      </c>
      <c r="F90" s="77">
        <v>9438.83</v>
      </c>
      <c r="G90" s="166">
        <v>9603.83</v>
      </c>
      <c r="H90" s="166">
        <v>8133.83</v>
      </c>
      <c r="I90" s="77">
        <v>165</v>
      </c>
      <c r="J90" s="77">
        <f>+E90-G90</f>
        <v>17816.169999999998</v>
      </c>
      <c r="K90" s="77">
        <f>+D90-G90</f>
        <v>17816.169999999998</v>
      </c>
      <c r="L90" s="152">
        <f t="shared" ref="L90:L92" si="17">+G90*100/E90</f>
        <v>35.024908825674693</v>
      </c>
      <c r="N90" s="45"/>
    </row>
    <row r="91" spans="1:17" ht="0.75" customHeight="1" x14ac:dyDescent="0.2">
      <c r="A91" s="86">
        <v>198</v>
      </c>
      <c r="B91" s="76" t="s">
        <v>392</v>
      </c>
      <c r="C91" s="89"/>
      <c r="D91" s="77"/>
      <c r="E91" s="77"/>
      <c r="F91" s="77"/>
      <c r="G91" s="166"/>
      <c r="H91" s="166"/>
      <c r="I91" s="77"/>
      <c r="J91" s="77">
        <f>+E91-G91</f>
        <v>0</v>
      </c>
      <c r="K91" s="77"/>
      <c r="L91" s="152" t="e">
        <f t="shared" si="17"/>
        <v>#DIV/0!</v>
      </c>
      <c r="N91" s="45"/>
    </row>
    <row r="92" spans="1:17" ht="13.5" customHeight="1" x14ac:dyDescent="0.2">
      <c r="A92" s="87">
        <v>199</v>
      </c>
      <c r="B92" s="94" t="s">
        <v>395</v>
      </c>
      <c r="C92" s="95"/>
      <c r="D92" s="77">
        <v>47970</v>
      </c>
      <c r="E92" s="77">
        <v>47970</v>
      </c>
      <c r="F92" s="77">
        <v>16695.53</v>
      </c>
      <c r="G92" s="166">
        <v>19159.379999999997</v>
      </c>
      <c r="H92" s="166">
        <v>1703.44</v>
      </c>
      <c r="I92" s="77">
        <v>1639.24</v>
      </c>
      <c r="J92" s="77">
        <f>+E92-G92</f>
        <v>28810.620000000003</v>
      </c>
      <c r="K92" s="77">
        <f>+D92-G92</f>
        <v>28810.620000000003</v>
      </c>
      <c r="L92" s="152">
        <f t="shared" si="17"/>
        <v>39.940337711069411</v>
      </c>
      <c r="N92" s="45"/>
    </row>
    <row r="93" spans="1:17" ht="15" customHeight="1" thickBot="1" x14ac:dyDescent="0.25">
      <c r="A93" s="86"/>
      <c r="B93" s="96"/>
      <c r="C93" s="97"/>
      <c r="D93" s="97"/>
      <c r="E93" s="97"/>
      <c r="F93" s="97"/>
      <c r="G93" s="554"/>
      <c r="H93" s="554"/>
      <c r="I93" s="97"/>
      <c r="J93" s="97"/>
      <c r="K93" s="97"/>
      <c r="L93" s="152"/>
      <c r="N93" s="45"/>
    </row>
    <row r="94" spans="1:17" ht="15.75" customHeight="1" thickBot="1" x14ac:dyDescent="0.25">
      <c r="A94" s="116" t="s">
        <v>185</v>
      </c>
      <c r="B94" s="116" t="s">
        <v>186</v>
      </c>
      <c r="C94" s="117">
        <f>+C95+C98+C104+C110+C114+C120+C128+C134+C143+C144</f>
        <v>3042561</v>
      </c>
      <c r="D94" s="117">
        <f>+D95+D98+D104+D110+D114+D120+D128+D134+D143+D144</f>
        <v>3809121</v>
      </c>
      <c r="E94" s="117">
        <f>+E95+E98+E104+E110+E114+E120+E128+E134+E143+E144</f>
        <v>3669233</v>
      </c>
      <c r="F94" s="177">
        <f>+F95+F98+F104+F110+F114+F120+F128+F134+F143+F144</f>
        <v>465970</v>
      </c>
      <c r="G94" s="177">
        <v>1561810.44</v>
      </c>
      <c r="H94" s="562">
        <f>+H95+H98+H104+H110+H114+H120+H128+H134+H143+H144</f>
        <v>674806.27</v>
      </c>
      <c r="I94" s="117">
        <f>+I95+I98+I104+I110+I114+I120+I128+I134+I143+I144</f>
        <v>582906.22</v>
      </c>
      <c r="J94" s="118">
        <f>+E94-G94+1</f>
        <v>2107423.56</v>
      </c>
      <c r="K94" s="117">
        <f t="shared" ref="K94:K125" si="18">+D94-G94</f>
        <v>2247310.56</v>
      </c>
      <c r="L94" s="154">
        <f t="shared" ref="L94:L114" si="19">+G94*100/E94</f>
        <v>42.565038524400059</v>
      </c>
      <c r="N94" s="45"/>
      <c r="O94" s="45"/>
      <c r="P94" s="45"/>
      <c r="Q94" t="s">
        <v>6</v>
      </c>
    </row>
    <row r="95" spans="1:17" ht="16.5" customHeight="1" x14ac:dyDescent="0.2">
      <c r="A95" s="88" t="s">
        <v>187</v>
      </c>
      <c r="B95" s="122" t="s">
        <v>188</v>
      </c>
      <c r="C95" s="123">
        <f>SUM(C96:C97)</f>
        <v>185018</v>
      </c>
      <c r="D95" s="123">
        <f>SUM(D96:D97)</f>
        <v>95018</v>
      </c>
      <c r="E95" s="123">
        <f>SUM(E96:E97)</f>
        <v>95018</v>
      </c>
      <c r="F95" s="180">
        <f>SUM(F96:F97)</f>
        <v>1706.84</v>
      </c>
      <c r="G95" s="179">
        <v>19547.41</v>
      </c>
      <c r="H95" s="178">
        <f t="shared" ref="H95" si="20">SUM(H96:H97)</f>
        <v>18408.86</v>
      </c>
      <c r="I95" s="123">
        <f t="shared" ref="I95" si="21">SUM(I96:I97)</f>
        <v>16194.32</v>
      </c>
      <c r="J95" s="99">
        <f t="shared" ref="J95:J102" si="22">+E95-G95</f>
        <v>75470.59</v>
      </c>
      <c r="K95" s="123">
        <f t="shared" si="18"/>
        <v>75470.59</v>
      </c>
      <c r="L95" s="155">
        <f t="shared" si="19"/>
        <v>20.572323138773704</v>
      </c>
      <c r="N95" s="594"/>
    </row>
    <row r="96" spans="1:17" ht="13.5" customHeight="1" x14ac:dyDescent="0.2">
      <c r="A96" s="89" t="s">
        <v>189</v>
      </c>
      <c r="B96" s="101" t="s">
        <v>190</v>
      </c>
      <c r="C96" s="101">
        <v>168849</v>
      </c>
      <c r="D96" s="101">
        <v>83849</v>
      </c>
      <c r="E96" s="124">
        <v>83849</v>
      </c>
      <c r="F96" s="584">
        <v>1358.5</v>
      </c>
      <c r="G96" s="166">
        <v>14346.46</v>
      </c>
      <c r="H96" s="166">
        <v>13450.46</v>
      </c>
      <c r="I96" s="101">
        <v>11331.67</v>
      </c>
      <c r="J96" s="77">
        <f t="shared" si="22"/>
        <v>69502.540000000008</v>
      </c>
      <c r="K96" s="101">
        <f t="shared" si="18"/>
        <v>69502.540000000008</v>
      </c>
      <c r="L96" s="156">
        <f t="shared" si="19"/>
        <v>17.109876086775035</v>
      </c>
      <c r="N96" s="45"/>
    </row>
    <row r="97" spans="1:17" ht="13.5" customHeight="1" x14ac:dyDescent="0.2">
      <c r="A97" s="86" t="s">
        <v>191</v>
      </c>
      <c r="B97" s="125" t="s">
        <v>192</v>
      </c>
      <c r="C97" s="101">
        <v>16169</v>
      </c>
      <c r="D97" s="101">
        <v>11169</v>
      </c>
      <c r="E97" s="89">
        <v>11169</v>
      </c>
      <c r="F97" s="584">
        <v>348.34</v>
      </c>
      <c r="G97" s="166">
        <v>5200.95</v>
      </c>
      <c r="H97" s="166">
        <v>4958.3999999999996</v>
      </c>
      <c r="I97" s="101">
        <v>4862.6499999999996</v>
      </c>
      <c r="J97" s="77">
        <f t="shared" si="22"/>
        <v>5968.05</v>
      </c>
      <c r="K97" s="101">
        <f t="shared" si="18"/>
        <v>5968.05</v>
      </c>
      <c r="L97" s="156">
        <f t="shared" si="19"/>
        <v>46.565941445071182</v>
      </c>
      <c r="N97" s="45"/>
      <c r="O97" s="45"/>
    </row>
    <row r="98" spans="1:17" x14ac:dyDescent="0.2">
      <c r="A98" s="90" t="s">
        <v>193</v>
      </c>
      <c r="B98" s="110" t="s">
        <v>194</v>
      </c>
      <c r="C98" s="110">
        <f>SUM(C99:C103)</f>
        <v>196410</v>
      </c>
      <c r="D98" s="110">
        <f>SUM(D99:D103)</f>
        <v>369010</v>
      </c>
      <c r="E98" s="100">
        <f>SUM(E99:E103)</f>
        <v>369010</v>
      </c>
      <c r="F98" s="563">
        <f>SUM(F99:F103)</f>
        <v>25747.4</v>
      </c>
      <c r="G98" s="165">
        <v>58382.45</v>
      </c>
      <c r="H98" s="563">
        <f>SUM(H99:H103)</f>
        <v>37335.240000000005</v>
      </c>
      <c r="I98" s="100">
        <f t="shared" ref="I98" si="23">SUM(I99:I103)</f>
        <v>30888.280000000002</v>
      </c>
      <c r="J98" s="80">
        <f t="shared" si="22"/>
        <v>310627.55</v>
      </c>
      <c r="K98" s="110">
        <f t="shared" si="18"/>
        <v>310627.55</v>
      </c>
      <c r="L98" s="156">
        <f t="shared" si="19"/>
        <v>15.821373404514782</v>
      </c>
      <c r="N98" s="45"/>
    </row>
    <row r="99" spans="1:17" ht="12" customHeight="1" x14ac:dyDescent="0.2">
      <c r="A99" s="89" t="s">
        <v>195</v>
      </c>
      <c r="B99" s="101" t="s">
        <v>196</v>
      </c>
      <c r="C99" s="101">
        <v>32960</v>
      </c>
      <c r="D99" s="101">
        <v>38660</v>
      </c>
      <c r="E99" s="89">
        <v>38660</v>
      </c>
      <c r="F99" s="584">
        <v>11006.98</v>
      </c>
      <c r="G99" s="166">
        <v>22705.63</v>
      </c>
      <c r="H99" s="166">
        <v>22225.200000000001</v>
      </c>
      <c r="I99" s="101">
        <v>20468.54</v>
      </c>
      <c r="J99" s="77">
        <f t="shared" si="22"/>
        <v>15954.369999999999</v>
      </c>
      <c r="K99" s="101">
        <f t="shared" si="18"/>
        <v>15954.369999999999</v>
      </c>
      <c r="L99" s="156">
        <f t="shared" si="19"/>
        <v>58.731583031557165</v>
      </c>
      <c r="N99" s="45"/>
    </row>
    <row r="100" spans="1:17" ht="12" customHeight="1" x14ac:dyDescent="0.2">
      <c r="A100" s="86" t="s">
        <v>197</v>
      </c>
      <c r="B100" s="125" t="s">
        <v>198</v>
      </c>
      <c r="C100" s="101">
        <v>37749</v>
      </c>
      <c r="D100" s="101">
        <v>51749</v>
      </c>
      <c r="E100" s="89">
        <v>51749</v>
      </c>
      <c r="F100" s="584">
        <v>5983</v>
      </c>
      <c r="G100" s="166">
        <v>7385.45</v>
      </c>
      <c r="H100" s="166">
        <v>1415.28</v>
      </c>
      <c r="I100" s="101">
        <v>200.04</v>
      </c>
      <c r="J100" s="77">
        <f t="shared" si="22"/>
        <v>44363.55</v>
      </c>
      <c r="K100" s="101">
        <f t="shared" si="18"/>
        <v>44363.55</v>
      </c>
      <c r="L100" s="156">
        <f t="shared" si="19"/>
        <v>14.271676747376761</v>
      </c>
      <c r="N100" s="45"/>
    </row>
    <row r="101" spans="1:17" ht="12" customHeight="1" x14ac:dyDescent="0.2">
      <c r="A101" s="86" t="s">
        <v>199</v>
      </c>
      <c r="B101" s="125" t="s">
        <v>200</v>
      </c>
      <c r="C101" s="101">
        <v>40776</v>
      </c>
      <c r="D101" s="101">
        <v>28776</v>
      </c>
      <c r="E101" s="89">
        <v>28776</v>
      </c>
      <c r="F101" s="584">
        <v>26.22</v>
      </c>
      <c r="G101" s="166">
        <v>1357.17</v>
      </c>
      <c r="H101" s="166">
        <v>1347.54</v>
      </c>
      <c r="I101" s="101">
        <v>1328.25</v>
      </c>
      <c r="J101" s="77">
        <f t="shared" si="22"/>
        <v>27418.83</v>
      </c>
      <c r="K101" s="101">
        <f t="shared" si="18"/>
        <v>27418.83</v>
      </c>
      <c r="L101" s="156">
        <f t="shared" si="19"/>
        <v>4.7163261050875729</v>
      </c>
      <c r="N101" s="45"/>
    </row>
    <row r="102" spans="1:17" ht="13.5" customHeight="1" x14ac:dyDescent="0.2">
      <c r="A102" s="86" t="s">
        <v>201</v>
      </c>
      <c r="B102" s="125" t="s">
        <v>202</v>
      </c>
      <c r="C102" s="101">
        <v>81833</v>
      </c>
      <c r="D102" s="101">
        <v>236333</v>
      </c>
      <c r="E102" s="89">
        <v>236333</v>
      </c>
      <c r="F102" s="584">
        <v>0</v>
      </c>
      <c r="G102" s="166">
        <v>17376.96</v>
      </c>
      <c r="H102" s="166">
        <v>11606.78</v>
      </c>
      <c r="I102" s="101">
        <v>8589.7099999999991</v>
      </c>
      <c r="J102" s="77">
        <f t="shared" si="22"/>
        <v>218956.04</v>
      </c>
      <c r="K102" s="101">
        <f t="shared" si="18"/>
        <v>218956.04</v>
      </c>
      <c r="L102" s="156">
        <f t="shared" si="19"/>
        <v>7.3527437979461183</v>
      </c>
      <c r="N102" s="45"/>
    </row>
    <row r="103" spans="1:17" ht="13.5" customHeight="1" x14ac:dyDescent="0.2">
      <c r="A103" s="86" t="s">
        <v>203</v>
      </c>
      <c r="B103" s="125" t="s">
        <v>204</v>
      </c>
      <c r="C103" s="77">
        <v>3092</v>
      </c>
      <c r="D103" s="77">
        <v>13492</v>
      </c>
      <c r="E103" s="77">
        <v>13492</v>
      </c>
      <c r="F103" s="584">
        <v>8731.2000000000007</v>
      </c>
      <c r="G103" s="166">
        <v>9557.2400000000016</v>
      </c>
      <c r="H103" s="166">
        <v>740.44</v>
      </c>
      <c r="I103" s="101">
        <v>301.74</v>
      </c>
      <c r="J103" s="77" t="s">
        <v>6</v>
      </c>
      <c r="K103" s="101">
        <f t="shared" si="18"/>
        <v>3934.7599999999984</v>
      </c>
      <c r="L103" s="156">
        <f t="shared" si="19"/>
        <v>70.83634746516455</v>
      </c>
      <c r="N103" s="45"/>
    </row>
    <row r="104" spans="1:17" ht="20.25" customHeight="1" x14ac:dyDescent="0.2">
      <c r="A104" s="91" t="s">
        <v>205</v>
      </c>
      <c r="B104" s="123" t="s">
        <v>206</v>
      </c>
      <c r="C104" s="123">
        <f>SUM(C105:C109)</f>
        <v>361282</v>
      </c>
      <c r="D104" s="123">
        <f>SUM(D105:D109)</f>
        <v>428582</v>
      </c>
      <c r="E104" s="98">
        <f>SUM(E105:E109)</f>
        <v>428582</v>
      </c>
      <c r="F104" s="180">
        <f>SUM(F105:F109)</f>
        <v>65329.820000000007</v>
      </c>
      <c r="G104" s="180">
        <v>193469.36</v>
      </c>
      <c r="H104" s="180">
        <f t="shared" ref="H104" si="24">SUM(H105:H109)</f>
        <v>75985.100000000006</v>
      </c>
      <c r="I104" s="98">
        <f t="shared" ref="I104" si="25">SUM(I105:I109)</f>
        <v>48634.22</v>
      </c>
      <c r="J104" s="99">
        <f>+E104-G104</f>
        <v>235112.64</v>
      </c>
      <c r="K104" s="123">
        <f t="shared" si="18"/>
        <v>235112.64</v>
      </c>
      <c r="L104" s="156">
        <f t="shared" si="19"/>
        <v>45.141737170483125</v>
      </c>
      <c r="M104" s="7"/>
      <c r="N104" s="594"/>
      <c r="O104" s="45"/>
      <c r="P104" s="45"/>
      <c r="Q104" s="45"/>
    </row>
    <row r="105" spans="1:17" ht="12" customHeight="1" x14ac:dyDescent="0.2">
      <c r="A105" s="89" t="s">
        <v>207</v>
      </c>
      <c r="B105" s="101" t="s">
        <v>208</v>
      </c>
      <c r="C105" s="101">
        <v>59850</v>
      </c>
      <c r="D105" s="101">
        <v>209850</v>
      </c>
      <c r="E105" s="101">
        <f>209850</f>
        <v>209850</v>
      </c>
      <c r="F105" s="584">
        <v>40800</v>
      </c>
      <c r="G105" s="166">
        <v>97668</v>
      </c>
      <c r="H105" s="166">
        <v>46572.91</v>
      </c>
      <c r="I105" s="101">
        <v>32934.89</v>
      </c>
      <c r="J105" s="77">
        <f>+E105-G105</f>
        <v>112182</v>
      </c>
      <c r="K105" s="101">
        <f t="shared" si="18"/>
        <v>112182</v>
      </c>
      <c r="L105" s="156">
        <f t="shared" si="19"/>
        <v>46.541815582558968</v>
      </c>
      <c r="N105" s="45"/>
    </row>
    <row r="106" spans="1:17" ht="12" customHeight="1" x14ac:dyDescent="0.2">
      <c r="A106" s="86">
        <v>222</v>
      </c>
      <c r="B106" s="101" t="s">
        <v>318</v>
      </c>
      <c r="C106" s="101">
        <v>71432</v>
      </c>
      <c r="D106" s="101">
        <v>83432</v>
      </c>
      <c r="E106" s="124">
        <v>83432</v>
      </c>
      <c r="F106" s="584">
        <v>15178.61</v>
      </c>
      <c r="G106" s="166">
        <v>68968.44</v>
      </c>
      <c r="H106" s="166">
        <v>14992.75</v>
      </c>
      <c r="I106" s="101">
        <v>7726.54</v>
      </c>
      <c r="J106" s="77">
        <v>11127.96</v>
      </c>
      <c r="K106" s="101">
        <f t="shared" si="18"/>
        <v>14463.559999999998</v>
      </c>
      <c r="L106" s="156">
        <f t="shared" si="19"/>
        <v>82.664253523827782</v>
      </c>
      <c r="N106" s="45"/>
    </row>
    <row r="107" spans="1:17" ht="16.149999999999999" customHeight="1" x14ac:dyDescent="0.2">
      <c r="A107" s="86" t="s">
        <v>209</v>
      </c>
      <c r="B107" s="125" t="s">
        <v>210</v>
      </c>
      <c r="C107" s="101">
        <v>150000</v>
      </c>
      <c r="D107" s="101">
        <v>92300</v>
      </c>
      <c r="E107" s="89">
        <v>92300</v>
      </c>
      <c r="F107" s="584">
        <v>8190</v>
      </c>
      <c r="G107" s="166">
        <v>22208.75</v>
      </c>
      <c r="H107" s="166">
        <v>9931.25</v>
      </c>
      <c r="I107" s="101">
        <v>7005.94</v>
      </c>
      <c r="J107" s="77">
        <f t="shared" ref="J107:J126" si="26">+E107-G107</f>
        <v>70091.25</v>
      </c>
      <c r="K107" s="101">
        <f t="shared" si="18"/>
        <v>70091.25</v>
      </c>
      <c r="L107" s="156">
        <f t="shared" si="19"/>
        <v>24.06148429035753</v>
      </c>
      <c r="N107" s="45"/>
    </row>
    <row r="108" spans="1:17" ht="14.25" customHeight="1" x14ac:dyDescent="0.2">
      <c r="A108" s="86" t="s">
        <v>211</v>
      </c>
      <c r="B108" s="125" t="s">
        <v>212</v>
      </c>
      <c r="C108" s="101">
        <v>50000</v>
      </c>
      <c r="D108" s="101">
        <v>30000</v>
      </c>
      <c r="E108" s="89">
        <v>30000</v>
      </c>
      <c r="F108" s="584">
        <v>1146.23</v>
      </c>
      <c r="G108" s="166">
        <v>4362.6899999999996</v>
      </c>
      <c r="H108" s="166">
        <v>4241.6899999999996</v>
      </c>
      <c r="I108" s="101">
        <v>720.35</v>
      </c>
      <c r="J108" s="77">
        <f t="shared" si="26"/>
        <v>25637.31</v>
      </c>
      <c r="K108" s="101">
        <f t="shared" si="18"/>
        <v>25637.31</v>
      </c>
      <c r="L108" s="156">
        <f t="shared" si="19"/>
        <v>14.542299999999997</v>
      </c>
      <c r="N108" s="45"/>
    </row>
    <row r="109" spans="1:17" ht="14.45" customHeight="1" x14ac:dyDescent="0.2">
      <c r="A109" s="86">
        <v>229</v>
      </c>
      <c r="B109" s="125" t="s">
        <v>213</v>
      </c>
      <c r="C109" s="101">
        <v>30000</v>
      </c>
      <c r="D109" s="101">
        <v>13000</v>
      </c>
      <c r="E109" s="89">
        <v>13000</v>
      </c>
      <c r="F109" s="584">
        <v>14.98</v>
      </c>
      <c r="G109" s="166">
        <v>261.48</v>
      </c>
      <c r="H109" s="166">
        <v>246.5</v>
      </c>
      <c r="I109" s="101">
        <v>246.5</v>
      </c>
      <c r="J109" s="77">
        <f t="shared" si="26"/>
        <v>12738.52</v>
      </c>
      <c r="K109" s="101">
        <f t="shared" si="18"/>
        <v>12738.52</v>
      </c>
      <c r="L109" s="156">
        <f t="shared" si="19"/>
        <v>2.0113846153846153</v>
      </c>
      <c r="N109" s="45"/>
    </row>
    <row r="110" spans="1:17" ht="16.5" customHeight="1" x14ac:dyDescent="0.2">
      <c r="A110" s="91" t="s">
        <v>214</v>
      </c>
      <c r="B110" s="123" t="s">
        <v>215</v>
      </c>
      <c r="C110" s="123">
        <f>SUM(C111:C113)</f>
        <v>249812</v>
      </c>
      <c r="D110" s="123">
        <f>SUM(D111:D113)</f>
        <v>148812</v>
      </c>
      <c r="E110" s="98">
        <f>SUM(E111:E113)</f>
        <v>122430</v>
      </c>
      <c r="F110" s="180">
        <f>SUM(F111:F113)</f>
        <v>5343.1</v>
      </c>
      <c r="G110" s="165">
        <v>40803.379999999997</v>
      </c>
      <c r="H110" s="180">
        <f t="shared" ref="H110" si="27">SUM(H111:H113)</f>
        <v>30749.870000000003</v>
      </c>
      <c r="I110" s="98">
        <f t="shared" ref="I110" si="28">SUM(I111:I113)</f>
        <v>23452.38</v>
      </c>
      <c r="J110" s="99">
        <f t="shared" si="26"/>
        <v>81626.62</v>
      </c>
      <c r="K110" s="123">
        <f t="shared" si="18"/>
        <v>108008.62</v>
      </c>
      <c r="L110" s="155">
        <f t="shared" si="19"/>
        <v>33.327926161888421</v>
      </c>
      <c r="N110" s="594"/>
    </row>
    <row r="111" spans="1:17" ht="12.75" customHeight="1" x14ac:dyDescent="0.2">
      <c r="A111" s="89" t="s">
        <v>216</v>
      </c>
      <c r="B111" s="101" t="s">
        <v>217</v>
      </c>
      <c r="C111" s="101">
        <v>47890</v>
      </c>
      <c r="D111" s="101">
        <v>28890</v>
      </c>
      <c r="E111" s="89">
        <v>28890</v>
      </c>
      <c r="F111" s="584">
        <v>871.84</v>
      </c>
      <c r="G111" s="166">
        <v>10532.38</v>
      </c>
      <c r="H111" s="166">
        <v>7519.47</v>
      </c>
      <c r="I111" s="101">
        <v>7519.47</v>
      </c>
      <c r="J111" s="77">
        <f t="shared" si="26"/>
        <v>18357.620000000003</v>
      </c>
      <c r="K111" s="101">
        <f t="shared" si="18"/>
        <v>18357.620000000003</v>
      </c>
      <c r="L111" s="156">
        <f t="shared" si="19"/>
        <v>36.456836275527863</v>
      </c>
      <c r="N111" s="45"/>
    </row>
    <row r="112" spans="1:17" ht="12.75" customHeight="1" x14ac:dyDescent="0.2">
      <c r="A112" s="86" t="s">
        <v>218</v>
      </c>
      <c r="B112" s="125" t="s">
        <v>219</v>
      </c>
      <c r="C112" s="101">
        <v>137050</v>
      </c>
      <c r="D112" s="101">
        <v>83050</v>
      </c>
      <c r="E112" s="89">
        <v>67553</v>
      </c>
      <c r="F112" s="584">
        <v>4213.3900000000003</v>
      </c>
      <c r="G112" s="166">
        <v>26561.65</v>
      </c>
      <c r="H112" s="166">
        <v>19741.47</v>
      </c>
      <c r="I112" s="101">
        <v>12691.36</v>
      </c>
      <c r="J112" s="77">
        <f t="shared" si="26"/>
        <v>40991.35</v>
      </c>
      <c r="K112" s="101">
        <f t="shared" si="18"/>
        <v>56488.35</v>
      </c>
      <c r="L112" s="156">
        <f t="shared" si="19"/>
        <v>39.319719331487867</v>
      </c>
      <c r="N112" s="45"/>
    </row>
    <row r="113" spans="1:16" ht="15" customHeight="1" x14ac:dyDescent="0.2">
      <c r="A113" s="86" t="s">
        <v>220</v>
      </c>
      <c r="B113" s="125" t="s">
        <v>221</v>
      </c>
      <c r="C113" s="101">
        <v>64872</v>
      </c>
      <c r="D113" s="101">
        <v>36872</v>
      </c>
      <c r="E113" s="89">
        <v>25987</v>
      </c>
      <c r="F113" s="584">
        <v>257.87</v>
      </c>
      <c r="G113" s="166">
        <v>3709.3500000000004</v>
      </c>
      <c r="H113" s="166">
        <v>3488.93</v>
      </c>
      <c r="I113" s="101">
        <v>3241.55</v>
      </c>
      <c r="J113" s="77">
        <f t="shared" si="26"/>
        <v>22277.65</v>
      </c>
      <c r="K113" s="101">
        <f t="shared" si="18"/>
        <v>33162.65</v>
      </c>
      <c r="L113" s="156">
        <f t="shared" si="19"/>
        <v>14.273867703082313</v>
      </c>
      <c r="N113" s="45"/>
    </row>
    <row r="114" spans="1:16" ht="15" customHeight="1" x14ac:dyDescent="0.2">
      <c r="A114" s="91" t="s">
        <v>222</v>
      </c>
      <c r="B114" s="123" t="s">
        <v>223</v>
      </c>
      <c r="C114" s="123">
        <f>SUM(C115:C119)</f>
        <v>258848</v>
      </c>
      <c r="D114" s="123">
        <f>SUM(D115:D119)</f>
        <v>224248</v>
      </c>
      <c r="E114" s="98">
        <f>SUM(E115:E119)</f>
        <v>210211</v>
      </c>
      <c r="F114" s="180">
        <f>SUM(F115:F119)</f>
        <v>20638.93</v>
      </c>
      <c r="G114" s="179">
        <v>71411.5</v>
      </c>
      <c r="H114" s="178">
        <f t="shared" ref="H114" si="29">SUM(H115:H119)</f>
        <v>27275.73</v>
      </c>
      <c r="I114" s="123">
        <f t="shared" ref="I114" si="30">SUM(I115:I119)</f>
        <v>14931.67</v>
      </c>
      <c r="J114" s="99">
        <f t="shared" si="26"/>
        <v>138799.5</v>
      </c>
      <c r="K114" s="123">
        <f t="shared" si="18"/>
        <v>152836.5</v>
      </c>
      <c r="L114" s="155">
        <f t="shared" si="19"/>
        <v>33.971343079096719</v>
      </c>
      <c r="N114" s="594"/>
    </row>
    <row r="115" spans="1:16" ht="15.75" customHeight="1" x14ac:dyDescent="0.2">
      <c r="A115" s="86" t="s">
        <v>224</v>
      </c>
      <c r="B115" s="101" t="s">
        <v>225</v>
      </c>
      <c r="C115" s="101">
        <v>3167</v>
      </c>
      <c r="D115" s="101">
        <v>3167</v>
      </c>
      <c r="E115" s="89">
        <v>3167</v>
      </c>
      <c r="F115" s="584">
        <v>96.66</v>
      </c>
      <c r="G115" s="166">
        <v>96.66</v>
      </c>
      <c r="H115" s="166">
        <v>30</v>
      </c>
      <c r="I115" s="101">
        <v>0</v>
      </c>
      <c r="J115" s="77">
        <f t="shared" si="26"/>
        <v>3070.34</v>
      </c>
      <c r="K115" s="101">
        <f t="shared" si="18"/>
        <v>3070.34</v>
      </c>
      <c r="L115" s="156" t="s">
        <v>6</v>
      </c>
      <c r="N115" s="45"/>
    </row>
    <row r="116" spans="1:16" ht="14.25" customHeight="1" x14ac:dyDescent="0.2">
      <c r="A116" s="86" t="s">
        <v>226</v>
      </c>
      <c r="B116" s="125" t="s">
        <v>227</v>
      </c>
      <c r="C116" s="101">
        <v>15000</v>
      </c>
      <c r="D116" s="101">
        <v>29600</v>
      </c>
      <c r="E116" s="89">
        <v>29600</v>
      </c>
      <c r="F116" s="584">
        <v>375.15</v>
      </c>
      <c r="G116" s="166">
        <v>801.43</v>
      </c>
      <c r="H116" s="166">
        <v>236.04</v>
      </c>
      <c r="I116" s="101">
        <v>200.14</v>
      </c>
      <c r="J116" s="77">
        <f t="shared" si="26"/>
        <v>28798.57</v>
      </c>
      <c r="K116" s="101">
        <f t="shared" si="18"/>
        <v>28798.57</v>
      </c>
      <c r="L116" s="156">
        <v>0</v>
      </c>
      <c r="N116" s="45"/>
    </row>
    <row r="117" spans="1:16" ht="17.25" customHeight="1" x14ac:dyDescent="0.2">
      <c r="A117" s="86" t="s">
        <v>228</v>
      </c>
      <c r="B117" s="125" t="s">
        <v>229</v>
      </c>
      <c r="C117" s="101">
        <v>91798</v>
      </c>
      <c r="D117" s="101">
        <v>72598</v>
      </c>
      <c r="E117" s="89">
        <v>71874</v>
      </c>
      <c r="F117" s="584">
        <v>4037.22</v>
      </c>
      <c r="G117" s="166">
        <v>23413.030000000002</v>
      </c>
      <c r="H117" s="166">
        <v>9560.6200000000008</v>
      </c>
      <c r="I117" s="101">
        <v>7671.65</v>
      </c>
      <c r="J117" s="77">
        <f t="shared" si="26"/>
        <v>48460.97</v>
      </c>
      <c r="K117" s="101">
        <f t="shared" si="18"/>
        <v>49184.97</v>
      </c>
      <c r="L117" s="156">
        <f>+G117*100/E117</f>
        <v>32.575103653616054</v>
      </c>
      <c r="N117" s="45"/>
    </row>
    <row r="118" spans="1:16" ht="16.5" customHeight="1" x14ac:dyDescent="0.2">
      <c r="A118" s="86" t="s">
        <v>230</v>
      </c>
      <c r="B118" s="125" t="s">
        <v>231</v>
      </c>
      <c r="C118" s="101">
        <v>27414</v>
      </c>
      <c r="D118" s="101">
        <v>12414</v>
      </c>
      <c r="E118" s="89">
        <v>11393</v>
      </c>
      <c r="F118" s="584">
        <v>81.319999999999993</v>
      </c>
      <c r="G118" s="166">
        <v>81.319999999999993</v>
      </c>
      <c r="H118" s="166"/>
      <c r="I118" s="101">
        <v>0</v>
      </c>
      <c r="J118" s="77">
        <f t="shared" si="26"/>
        <v>11311.68</v>
      </c>
      <c r="K118" s="101">
        <f t="shared" si="18"/>
        <v>12332.68</v>
      </c>
      <c r="L118" s="156" t="s">
        <v>6</v>
      </c>
      <c r="N118" s="45"/>
    </row>
    <row r="119" spans="1:16" ht="16.5" customHeight="1" x14ac:dyDescent="0.2">
      <c r="A119" s="86" t="s">
        <v>232</v>
      </c>
      <c r="B119" s="125" t="s">
        <v>233</v>
      </c>
      <c r="C119" s="101">
        <v>121469</v>
      </c>
      <c r="D119" s="101">
        <v>106469</v>
      </c>
      <c r="E119" s="124">
        <v>94177</v>
      </c>
      <c r="F119" s="584">
        <v>16048.58</v>
      </c>
      <c r="G119" s="166">
        <v>47019.06</v>
      </c>
      <c r="H119" s="166">
        <v>17449.07</v>
      </c>
      <c r="I119" s="101">
        <v>7059.88</v>
      </c>
      <c r="J119" s="77">
        <f t="shared" si="26"/>
        <v>47157.94</v>
      </c>
      <c r="K119" s="101">
        <f t="shared" si="18"/>
        <v>59449.94</v>
      </c>
      <c r="L119" s="156">
        <f t="shared" ref="L119:L128" si="31">+G119*100/E119</f>
        <v>49.926266498189577</v>
      </c>
      <c r="N119" s="45"/>
      <c r="P119" s="45" t="s">
        <v>6</v>
      </c>
    </row>
    <row r="120" spans="1:16" ht="20.25" customHeight="1" x14ac:dyDescent="0.2">
      <c r="A120" s="91" t="s">
        <v>234</v>
      </c>
      <c r="B120" s="123" t="s">
        <v>235</v>
      </c>
      <c r="C120" s="123">
        <f>SUM(C121:C127)</f>
        <v>277892</v>
      </c>
      <c r="D120" s="123">
        <f>SUM(D121:D127)</f>
        <v>649412</v>
      </c>
      <c r="E120" s="98">
        <f>SUM(E121:E127)</f>
        <v>623593</v>
      </c>
      <c r="F120" s="180">
        <f>SUM(F121:F127)</f>
        <v>127753.86</v>
      </c>
      <c r="G120" s="178">
        <v>234718.03</v>
      </c>
      <c r="H120" s="180">
        <f t="shared" ref="H120" si="32">SUM(H121:H127)</f>
        <v>120462.73</v>
      </c>
      <c r="I120" s="98">
        <f t="shared" ref="I120" si="33">SUM(I121:I127)</f>
        <v>57750.070000000007</v>
      </c>
      <c r="J120" s="99">
        <f t="shared" si="26"/>
        <v>388874.97</v>
      </c>
      <c r="K120" s="123">
        <f t="shared" si="18"/>
        <v>414693.97</v>
      </c>
      <c r="L120" s="155">
        <f t="shared" si="31"/>
        <v>37.639619110541652</v>
      </c>
      <c r="N120" s="594"/>
    </row>
    <row r="121" spans="1:16" ht="14.25" customHeight="1" x14ac:dyDescent="0.2">
      <c r="A121" s="86" t="s">
        <v>236</v>
      </c>
      <c r="B121" s="125" t="s">
        <v>237</v>
      </c>
      <c r="C121" s="101">
        <v>23493</v>
      </c>
      <c r="D121" s="101">
        <v>15493</v>
      </c>
      <c r="E121" s="124">
        <v>15493</v>
      </c>
      <c r="F121" s="584">
        <v>4463.08</v>
      </c>
      <c r="G121" s="166">
        <v>5089.01</v>
      </c>
      <c r="H121" s="166">
        <v>4163.46</v>
      </c>
      <c r="I121" s="101">
        <v>1519.38</v>
      </c>
      <c r="J121" s="77">
        <f t="shared" si="26"/>
        <v>10403.99</v>
      </c>
      <c r="K121" s="101">
        <f t="shared" si="18"/>
        <v>10403.99</v>
      </c>
      <c r="L121" s="156">
        <f t="shared" si="31"/>
        <v>32.847156780481505</v>
      </c>
      <c r="N121" s="45"/>
    </row>
    <row r="122" spans="1:16" ht="16.5" customHeight="1" x14ac:dyDescent="0.2">
      <c r="A122" s="86" t="s">
        <v>238</v>
      </c>
      <c r="B122" s="125" t="s">
        <v>239</v>
      </c>
      <c r="C122" s="101">
        <v>31236</v>
      </c>
      <c r="D122" s="101">
        <v>31236</v>
      </c>
      <c r="E122" s="124">
        <v>31236</v>
      </c>
      <c r="F122" s="584">
        <v>6947.41</v>
      </c>
      <c r="G122" s="166">
        <v>12470.720000000001</v>
      </c>
      <c r="H122" s="166">
        <v>2255.86</v>
      </c>
      <c r="I122" s="101">
        <v>1537.53</v>
      </c>
      <c r="J122" s="77">
        <f t="shared" si="26"/>
        <v>18765.28</v>
      </c>
      <c r="K122" s="101">
        <f t="shared" si="18"/>
        <v>18765.28</v>
      </c>
      <c r="L122" s="156">
        <f t="shared" si="31"/>
        <v>39.92419003713664</v>
      </c>
      <c r="N122" s="45"/>
    </row>
    <row r="123" spans="1:16" ht="12.75" customHeight="1" x14ac:dyDescent="0.2">
      <c r="A123" s="86">
        <v>254</v>
      </c>
      <c r="B123" s="125" t="s">
        <v>240</v>
      </c>
      <c r="C123" s="101">
        <v>42838</v>
      </c>
      <c r="D123" s="101">
        <v>88338</v>
      </c>
      <c r="E123" s="101">
        <v>85738</v>
      </c>
      <c r="F123" s="585">
        <v>947.11</v>
      </c>
      <c r="G123" s="166">
        <v>18190.38</v>
      </c>
      <c r="H123" s="166">
        <v>12394.32</v>
      </c>
      <c r="I123" s="101">
        <v>11647.28</v>
      </c>
      <c r="J123" s="77">
        <f t="shared" si="26"/>
        <v>67547.62</v>
      </c>
      <c r="K123" s="101">
        <f t="shared" si="18"/>
        <v>70147.62</v>
      </c>
      <c r="L123" s="156">
        <f t="shared" si="31"/>
        <v>21.216240173551984</v>
      </c>
      <c r="N123" s="45"/>
    </row>
    <row r="124" spans="1:16" ht="18" customHeight="1" x14ac:dyDescent="0.2">
      <c r="A124" s="86" t="s">
        <v>241</v>
      </c>
      <c r="B124" s="125" t="s">
        <v>242</v>
      </c>
      <c r="C124" s="101">
        <v>60539</v>
      </c>
      <c r="D124" s="101">
        <v>200344</v>
      </c>
      <c r="E124" s="101">
        <v>200344</v>
      </c>
      <c r="F124" s="558">
        <v>31527.360000000001</v>
      </c>
      <c r="G124" s="166">
        <v>58009.630000000005</v>
      </c>
      <c r="H124" s="166">
        <v>26750.84</v>
      </c>
      <c r="I124" s="101">
        <v>11087.97</v>
      </c>
      <c r="J124" s="77">
        <f t="shared" si="26"/>
        <v>142334.37</v>
      </c>
      <c r="K124" s="101">
        <f t="shared" si="18"/>
        <v>142334.37</v>
      </c>
      <c r="L124" s="156">
        <f t="shared" si="31"/>
        <v>28.95501237870862</v>
      </c>
      <c r="N124" s="45"/>
    </row>
    <row r="125" spans="1:16" ht="17.25" customHeight="1" x14ac:dyDescent="0.2">
      <c r="A125" s="86" t="s">
        <v>243</v>
      </c>
      <c r="B125" s="125" t="s">
        <v>244</v>
      </c>
      <c r="C125" s="101">
        <v>63786</v>
      </c>
      <c r="D125" s="101">
        <v>113136</v>
      </c>
      <c r="E125" s="101">
        <v>102834</v>
      </c>
      <c r="F125" s="558">
        <v>46616.54</v>
      </c>
      <c r="G125" s="166">
        <v>59510.26</v>
      </c>
      <c r="H125" s="166">
        <v>15354.26</v>
      </c>
      <c r="I125" s="101">
        <v>10857.53</v>
      </c>
      <c r="J125" s="77">
        <f t="shared" si="26"/>
        <v>43323.74</v>
      </c>
      <c r="K125" s="101">
        <f t="shared" si="18"/>
        <v>53625.74</v>
      </c>
      <c r="L125" s="156">
        <f t="shared" si="31"/>
        <v>57.870218021277012</v>
      </c>
      <c r="N125" s="45"/>
    </row>
    <row r="126" spans="1:16" ht="17.25" customHeight="1" x14ac:dyDescent="0.2">
      <c r="A126" s="86">
        <v>257</v>
      </c>
      <c r="B126" s="125" t="s">
        <v>245</v>
      </c>
      <c r="C126" s="101">
        <v>50835</v>
      </c>
      <c r="D126" s="101">
        <v>37835</v>
      </c>
      <c r="E126" s="101">
        <v>24918</v>
      </c>
      <c r="F126" s="558">
        <v>3526.19</v>
      </c>
      <c r="G126" s="166">
        <v>3974.03</v>
      </c>
      <c r="H126" s="166">
        <v>2777.77</v>
      </c>
      <c r="I126" s="101">
        <v>1400.14</v>
      </c>
      <c r="J126" s="77">
        <f t="shared" si="26"/>
        <v>20943.97</v>
      </c>
      <c r="K126" s="101">
        <f t="shared" ref="K126:K153" si="34">+D126-G126</f>
        <v>33860.97</v>
      </c>
      <c r="L126" s="156">
        <f t="shared" si="31"/>
        <v>15.948430853198492</v>
      </c>
      <c r="N126" s="45"/>
    </row>
    <row r="127" spans="1:16" ht="17.25" customHeight="1" x14ac:dyDescent="0.2">
      <c r="A127" s="86" t="s">
        <v>246</v>
      </c>
      <c r="B127" s="125" t="s">
        <v>247</v>
      </c>
      <c r="C127" s="101">
        <v>5165</v>
      </c>
      <c r="D127" s="101">
        <v>163030</v>
      </c>
      <c r="E127" s="101">
        <v>163030</v>
      </c>
      <c r="F127" s="557">
        <v>33726.17</v>
      </c>
      <c r="G127" s="166">
        <v>77474</v>
      </c>
      <c r="H127" s="166">
        <v>56766.22</v>
      </c>
      <c r="I127" s="101">
        <v>19700.240000000002</v>
      </c>
      <c r="J127" s="77">
        <f t="shared" ref="J127:J153" si="35">+E127-G127</f>
        <v>85556</v>
      </c>
      <c r="K127" s="101">
        <f t="shared" si="34"/>
        <v>85556</v>
      </c>
      <c r="L127" s="156">
        <f t="shared" si="31"/>
        <v>47.521315095381219</v>
      </c>
      <c r="N127" s="45"/>
    </row>
    <row r="128" spans="1:16" ht="15" customHeight="1" x14ac:dyDescent="0.2">
      <c r="A128" s="91" t="s">
        <v>248</v>
      </c>
      <c r="B128" s="123" t="s">
        <v>249</v>
      </c>
      <c r="C128" s="123">
        <f>SUM(C129:C133)</f>
        <v>475695</v>
      </c>
      <c r="D128" s="123">
        <f>SUM(D129:D133)</f>
        <v>564295</v>
      </c>
      <c r="E128" s="102">
        <f>SUM(E129:E133)</f>
        <v>564295</v>
      </c>
      <c r="F128" s="586">
        <f>SUM(F129:F133)</f>
        <v>80318.77</v>
      </c>
      <c r="G128" s="165">
        <v>275191.44</v>
      </c>
      <c r="H128" s="564">
        <f t="shared" ref="H128" si="36">SUM(H129:H133)</f>
        <v>103712.87</v>
      </c>
      <c r="I128" s="102">
        <f t="shared" ref="I128" si="37">SUM(I129:I133)</f>
        <v>80279.12</v>
      </c>
      <c r="J128" s="99">
        <f t="shared" si="35"/>
        <v>289103.56</v>
      </c>
      <c r="K128" s="123">
        <f t="shared" si="34"/>
        <v>289103.56</v>
      </c>
      <c r="L128" s="155">
        <f t="shared" si="31"/>
        <v>48.767300791252801</v>
      </c>
      <c r="N128" s="594"/>
    </row>
    <row r="129" spans="1:15" ht="13.5" customHeight="1" x14ac:dyDescent="0.2">
      <c r="A129" s="86">
        <v>261</v>
      </c>
      <c r="B129" s="101" t="s">
        <v>250</v>
      </c>
      <c r="C129" s="101">
        <v>21865</v>
      </c>
      <c r="D129" s="101">
        <v>76865</v>
      </c>
      <c r="E129" s="103">
        <v>76865</v>
      </c>
      <c r="F129" s="587">
        <v>19067.400000000001</v>
      </c>
      <c r="G129" s="166">
        <v>25171.190000000002</v>
      </c>
      <c r="H129" s="166">
        <v>3402.6</v>
      </c>
      <c r="I129" s="101">
        <v>0</v>
      </c>
      <c r="J129" s="77">
        <f t="shared" si="35"/>
        <v>51693.81</v>
      </c>
      <c r="K129" s="101">
        <f t="shared" si="34"/>
        <v>51693.81</v>
      </c>
      <c r="L129" s="156"/>
      <c r="N129" s="45"/>
    </row>
    <row r="130" spans="1:15" ht="13.5" customHeight="1" x14ac:dyDescent="0.2">
      <c r="A130" s="86" t="s">
        <v>251</v>
      </c>
      <c r="B130" s="125" t="s">
        <v>460</v>
      </c>
      <c r="C130" s="101">
        <v>169987</v>
      </c>
      <c r="D130" s="101">
        <v>182087</v>
      </c>
      <c r="E130" s="101">
        <v>182087</v>
      </c>
      <c r="F130" s="587">
        <v>44330.55</v>
      </c>
      <c r="G130" s="166">
        <v>72975.990000000005</v>
      </c>
      <c r="H130" s="166">
        <v>17061.84</v>
      </c>
      <c r="I130" s="101">
        <v>11113.57</v>
      </c>
      <c r="J130" s="77">
        <f t="shared" si="35"/>
        <v>109111.01</v>
      </c>
      <c r="K130" s="101">
        <f t="shared" si="34"/>
        <v>109111.01</v>
      </c>
      <c r="L130" s="156">
        <f t="shared" ref="L130:L139" si="38">+G130*100/E130</f>
        <v>40.077539857320957</v>
      </c>
      <c r="N130" s="45"/>
    </row>
    <row r="131" spans="1:15" ht="17.25" customHeight="1" x14ac:dyDescent="0.2">
      <c r="A131" s="86">
        <v>263</v>
      </c>
      <c r="B131" s="125" t="s">
        <v>348</v>
      </c>
      <c r="C131" s="101">
        <v>28862</v>
      </c>
      <c r="D131" s="101">
        <v>28862</v>
      </c>
      <c r="E131" s="101">
        <v>28862</v>
      </c>
      <c r="F131" s="587">
        <v>1467.91</v>
      </c>
      <c r="G131" s="166">
        <v>7212.66</v>
      </c>
      <c r="H131" s="166">
        <v>5440.48</v>
      </c>
      <c r="I131" s="101">
        <v>4032.93</v>
      </c>
      <c r="J131" s="77">
        <f t="shared" si="35"/>
        <v>21649.34</v>
      </c>
      <c r="K131" s="101">
        <f t="shared" si="34"/>
        <v>21649.34</v>
      </c>
      <c r="L131" s="156">
        <f t="shared" si="38"/>
        <v>24.990160072067077</v>
      </c>
      <c r="N131" s="45"/>
    </row>
    <row r="132" spans="1:15" ht="17.25" customHeight="1" x14ac:dyDescent="0.2">
      <c r="A132" s="86" t="s">
        <v>252</v>
      </c>
      <c r="B132" s="127" t="s">
        <v>371</v>
      </c>
      <c r="C132" s="128">
        <v>156163</v>
      </c>
      <c r="D132" s="128">
        <v>169963</v>
      </c>
      <c r="E132" s="103">
        <v>169963</v>
      </c>
      <c r="F132" s="587">
        <v>6347.49</v>
      </c>
      <c r="G132" s="166">
        <v>119337.85</v>
      </c>
      <c r="H132" s="166">
        <v>50243.26</v>
      </c>
      <c r="I132" s="101">
        <v>41865.589999999997</v>
      </c>
      <c r="J132" s="77">
        <f t="shared" si="35"/>
        <v>50625.149999999994</v>
      </c>
      <c r="K132" s="101">
        <f t="shared" si="34"/>
        <v>50625.149999999994</v>
      </c>
      <c r="L132" s="156">
        <f t="shared" si="38"/>
        <v>70.214017168442538</v>
      </c>
      <c r="N132" s="45"/>
    </row>
    <row r="133" spans="1:15" ht="15.75" customHeight="1" x14ac:dyDescent="0.2">
      <c r="A133" s="86" t="s">
        <v>253</v>
      </c>
      <c r="B133" s="127" t="s">
        <v>254</v>
      </c>
      <c r="C133" s="128">
        <v>98818</v>
      </c>
      <c r="D133" s="128">
        <v>106518</v>
      </c>
      <c r="E133" s="103">
        <v>106518</v>
      </c>
      <c r="F133" s="587">
        <v>9105.42</v>
      </c>
      <c r="G133" s="166">
        <v>50493.75</v>
      </c>
      <c r="H133" s="166">
        <v>27564.69</v>
      </c>
      <c r="I133" s="101">
        <v>23267.03</v>
      </c>
      <c r="J133" s="77">
        <f t="shared" si="35"/>
        <v>56024.25</v>
      </c>
      <c r="K133" s="101">
        <f t="shared" si="34"/>
        <v>56024.25</v>
      </c>
      <c r="L133" s="156">
        <f t="shared" si="38"/>
        <v>47.403959894102407</v>
      </c>
      <c r="N133" s="45"/>
    </row>
    <row r="134" spans="1:15" ht="20.25" customHeight="1" x14ac:dyDescent="0.2">
      <c r="A134" s="91" t="s">
        <v>255</v>
      </c>
      <c r="B134" s="129" t="s">
        <v>256</v>
      </c>
      <c r="C134" s="130">
        <f>SUM(C135:C142)</f>
        <v>829295</v>
      </c>
      <c r="D134" s="130">
        <f>SUM(D135:D142)</f>
        <v>580895</v>
      </c>
      <c r="E134" s="102">
        <f>SUM(E135:E142)</f>
        <v>507245</v>
      </c>
      <c r="F134" s="564">
        <f>SUM(F135:F142)</f>
        <v>31838.160000000003</v>
      </c>
      <c r="G134" s="179">
        <v>230333.79</v>
      </c>
      <c r="H134" s="564">
        <f>SUM(H135:H142)</f>
        <v>158479.35999999999</v>
      </c>
      <c r="I134" s="126">
        <f>SUM(I135:I142)</f>
        <v>116892.7</v>
      </c>
      <c r="J134" s="99">
        <f t="shared" si="35"/>
        <v>276911.20999999996</v>
      </c>
      <c r="K134" s="123">
        <f t="shared" si="34"/>
        <v>350561.20999999996</v>
      </c>
      <c r="L134" s="155">
        <f t="shared" si="38"/>
        <v>45.408784709558496</v>
      </c>
      <c r="M134" s="7"/>
      <c r="N134" s="594"/>
    </row>
    <row r="135" spans="1:15" ht="12.75" customHeight="1" x14ac:dyDescent="0.2">
      <c r="A135" s="86" t="s">
        <v>257</v>
      </c>
      <c r="B135" s="127" t="s">
        <v>258</v>
      </c>
      <c r="C135" s="128">
        <v>24712</v>
      </c>
      <c r="D135" s="128">
        <v>16712</v>
      </c>
      <c r="E135" s="128">
        <v>16712</v>
      </c>
      <c r="F135" s="587">
        <v>510.06</v>
      </c>
      <c r="G135" s="166">
        <v>9802.51</v>
      </c>
      <c r="H135" s="166">
        <v>9454.98</v>
      </c>
      <c r="I135" s="101">
        <v>7878.95</v>
      </c>
      <c r="J135" s="77">
        <f t="shared" si="35"/>
        <v>6909.49</v>
      </c>
      <c r="K135" s="101">
        <f t="shared" si="34"/>
        <v>6909.49</v>
      </c>
      <c r="L135" s="156">
        <f t="shared" si="38"/>
        <v>58.655516993776928</v>
      </c>
      <c r="N135" s="45"/>
    </row>
    <row r="136" spans="1:15" ht="16.5" customHeight="1" x14ac:dyDescent="0.2">
      <c r="A136" s="86" t="s">
        <v>259</v>
      </c>
      <c r="B136" s="125" t="s">
        <v>260</v>
      </c>
      <c r="C136" s="101">
        <v>88222</v>
      </c>
      <c r="D136" s="101">
        <v>55222</v>
      </c>
      <c r="E136" s="103">
        <v>28311</v>
      </c>
      <c r="F136" s="587">
        <v>87.63</v>
      </c>
      <c r="G136" s="166">
        <v>4967.0200000000004</v>
      </c>
      <c r="H136" s="166">
        <v>4879.3900000000003</v>
      </c>
      <c r="I136" s="101">
        <v>4879.3900000000003</v>
      </c>
      <c r="J136" s="77">
        <f t="shared" si="35"/>
        <v>23343.98</v>
      </c>
      <c r="K136" s="101">
        <f t="shared" si="34"/>
        <v>50254.979999999996</v>
      </c>
      <c r="L136" s="156">
        <f t="shared" si="38"/>
        <v>17.544488008194698</v>
      </c>
      <c r="N136" s="45"/>
    </row>
    <row r="137" spans="1:15" ht="13.5" customHeight="1" x14ac:dyDescent="0.2">
      <c r="A137" s="86" t="s">
        <v>261</v>
      </c>
      <c r="B137" s="125" t="s">
        <v>262</v>
      </c>
      <c r="C137" s="101">
        <v>79068</v>
      </c>
      <c r="D137" s="101">
        <v>56068</v>
      </c>
      <c r="E137" s="103">
        <v>42711</v>
      </c>
      <c r="F137" s="587">
        <v>124.92</v>
      </c>
      <c r="G137" s="166">
        <v>10175.460000000001</v>
      </c>
      <c r="H137" s="166">
        <v>6956.9</v>
      </c>
      <c r="I137" s="101">
        <v>6856.28</v>
      </c>
      <c r="J137" s="77">
        <f t="shared" si="35"/>
        <v>32535.54</v>
      </c>
      <c r="K137" s="101">
        <f t="shared" si="34"/>
        <v>45892.54</v>
      </c>
      <c r="L137" s="156">
        <f t="shared" si="38"/>
        <v>23.823979771019179</v>
      </c>
      <c r="N137" s="45"/>
    </row>
    <row r="138" spans="1:15" ht="16.5" customHeight="1" x14ac:dyDescent="0.2">
      <c r="A138" s="86" t="s">
        <v>263</v>
      </c>
      <c r="B138" s="125" t="s">
        <v>264</v>
      </c>
      <c r="C138" s="101">
        <v>180216</v>
      </c>
      <c r="D138" s="101">
        <v>160616</v>
      </c>
      <c r="E138" s="103">
        <v>127234</v>
      </c>
      <c r="F138" s="587">
        <v>10196.83</v>
      </c>
      <c r="G138" s="166">
        <v>31354.510000000002</v>
      </c>
      <c r="H138" s="166">
        <v>5835.54</v>
      </c>
      <c r="I138" s="101">
        <v>4953.8599999999997</v>
      </c>
      <c r="J138" s="77">
        <f t="shared" si="35"/>
        <v>95879.489999999991</v>
      </c>
      <c r="K138" s="101">
        <f t="shared" si="34"/>
        <v>129261.48999999999</v>
      </c>
      <c r="L138" s="156">
        <f t="shared" si="38"/>
        <v>24.643184997720734</v>
      </c>
      <c r="N138" s="45"/>
    </row>
    <row r="139" spans="1:15" ht="12.75" customHeight="1" x14ac:dyDescent="0.2">
      <c r="A139" s="86" t="s">
        <v>265</v>
      </c>
      <c r="B139" s="125" t="s">
        <v>266</v>
      </c>
      <c r="C139" s="101">
        <v>320615</v>
      </c>
      <c r="D139" s="101">
        <v>182615</v>
      </c>
      <c r="E139" s="103">
        <v>182615</v>
      </c>
      <c r="F139" s="587">
        <v>17547.72</v>
      </c>
      <c r="G139" s="166">
        <v>135426.47999999998</v>
      </c>
      <c r="H139" s="166">
        <v>104985.47</v>
      </c>
      <c r="I139" s="101">
        <v>69384.070000000007</v>
      </c>
      <c r="J139" s="77">
        <f t="shared" si="35"/>
        <v>47188.520000000019</v>
      </c>
      <c r="K139" s="101">
        <f t="shared" si="34"/>
        <v>47188.520000000019</v>
      </c>
      <c r="L139" s="156">
        <f t="shared" si="38"/>
        <v>74.159559729485522</v>
      </c>
      <c r="N139" s="45"/>
    </row>
    <row r="140" spans="1:15" ht="15" customHeight="1" x14ac:dyDescent="0.2">
      <c r="A140" s="86">
        <v>277</v>
      </c>
      <c r="B140" s="125" t="s">
        <v>267</v>
      </c>
      <c r="C140" s="101">
        <v>13843</v>
      </c>
      <c r="D140" s="101">
        <v>8843</v>
      </c>
      <c r="E140" s="103">
        <v>8843</v>
      </c>
      <c r="F140" s="587">
        <v>0</v>
      </c>
      <c r="G140" s="166">
        <v>3758.56</v>
      </c>
      <c r="H140" s="166">
        <v>3758.56</v>
      </c>
      <c r="I140" s="101">
        <v>3758.56</v>
      </c>
      <c r="J140" s="77">
        <f t="shared" si="35"/>
        <v>5084.4400000000005</v>
      </c>
      <c r="K140" s="101">
        <f t="shared" si="34"/>
        <v>5084.4400000000005</v>
      </c>
      <c r="L140" s="156"/>
      <c r="N140" s="45"/>
    </row>
    <row r="141" spans="1:15" ht="15" customHeight="1" x14ac:dyDescent="0.2">
      <c r="A141" s="86">
        <v>278</v>
      </c>
      <c r="B141" s="125" t="s">
        <v>268</v>
      </c>
      <c r="C141" s="101">
        <v>14300</v>
      </c>
      <c r="D141" s="101">
        <v>4300</v>
      </c>
      <c r="E141" s="103">
        <v>4300</v>
      </c>
      <c r="F141" s="587"/>
      <c r="G141" s="166">
        <v>0</v>
      </c>
      <c r="H141" s="166"/>
      <c r="I141" s="101">
        <v>0</v>
      </c>
      <c r="J141" s="77">
        <f t="shared" si="35"/>
        <v>4300</v>
      </c>
      <c r="K141" s="101">
        <f t="shared" si="34"/>
        <v>4300</v>
      </c>
      <c r="L141" s="156"/>
      <c r="N141" s="45"/>
    </row>
    <row r="142" spans="1:15" ht="15" customHeight="1" x14ac:dyDescent="0.2">
      <c r="A142" s="86" t="s">
        <v>269</v>
      </c>
      <c r="B142" s="125" t="s">
        <v>270</v>
      </c>
      <c r="C142" s="101">
        <v>108319</v>
      </c>
      <c r="D142" s="101">
        <v>96519</v>
      </c>
      <c r="E142" s="103">
        <v>96519</v>
      </c>
      <c r="F142" s="587">
        <v>3371</v>
      </c>
      <c r="G142" s="166">
        <v>34849.25</v>
      </c>
      <c r="H142" s="166">
        <v>22608.52</v>
      </c>
      <c r="I142" s="101">
        <v>19181.59</v>
      </c>
      <c r="J142" s="77">
        <f t="shared" si="35"/>
        <v>61669.75</v>
      </c>
      <c r="K142" s="101">
        <f t="shared" si="34"/>
        <v>61669.75</v>
      </c>
      <c r="L142" s="156">
        <f t="shared" ref="L142:L153" si="39">+G142*100/E142</f>
        <v>36.106103461494627</v>
      </c>
      <c r="N142" s="45"/>
    </row>
    <row r="143" spans="1:15" ht="15" customHeight="1" x14ac:dyDescent="0.2">
      <c r="A143" s="91" t="s">
        <v>271</v>
      </c>
      <c r="B143" s="123" t="s">
        <v>272</v>
      </c>
      <c r="C143" s="123">
        <v>208309</v>
      </c>
      <c r="D143" s="126">
        <v>256309</v>
      </c>
      <c r="E143" s="104">
        <v>256309</v>
      </c>
      <c r="F143" s="564">
        <v>40993.230000000003</v>
      </c>
      <c r="G143" s="165">
        <v>151386</v>
      </c>
      <c r="H143" s="179">
        <v>70246.53</v>
      </c>
      <c r="I143" s="123">
        <v>58471.85</v>
      </c>
      <c r="J143" s="99">
        <f t="shared" si="35"/>
        <v>104923</v>
      </c>
      <c r="K143" s="123">
        <f t="shared" si="34"/>
        <v>104923</v>
      </c>
      <c r="L143" s="155">
        <f t="shared" si="39"/>
        <v>59.063864320019974</v>
      </c>
      <c r="N143" s="594"/>
    </row>
    <row r="144" spans="1:15" ht="15" customHeight="1" x14ac:dyDescent="0.2">
      <c r="A144" s="85">
        <v>290</v>
      </c>
      <c r="B144" s="105" t="s">
        <v>273</v>
      </c>
      <c r="C144" s="105">
        <f>SUM(C145:C152)</f>
        <v>0</v>
      </c>
      <c r="D144" s="105">
        <f>SUM(D145:D153)</f>
        <v>492540</v>
      </c>
      <c r="E144" s="105">
        <f>SUM(E145:E153)</f>
        <v>492540</v>
      </c>
      <c r="F144" s="588">
        <f>SUM(F145:F153)</f>
        <v>66299.890000000014</v>
      </c>
      <c r="G144" s="165">
        <v>286567.08</v>
      </c>
      <c r="H144" s="179">
        <f>SUM(H145:H153)</f>
        <v>32149.979999999996</v>
      </c>
      <c r="I144" s="105">
        <f>SUM(I145:I153)</f>
        <v>135411.60999999999</v>
      </c>
      <c r="J144" s="80">
        <f t="shared" si="35"/>
        <v>205972.91999999998</v>
      </c>
      <c r="K144" s="105">
        <f t="shared" si="34"/>
        <v>205972.91999999998</v>
      </c>
      <c r="L144" s="155">
        <f t="shared" si="39"/>
        <v>58.181483737361432</v>
      </c>
      <c r="N144" s="594"/>
      <c r="O144" s="45" t="s">
        <v>6</v>
      </c>
    </row>
    <row r="145" spans="1:14" ht="15" customHeight="1" x14ac:dyDescent="0.2">
      <c r="A145" s="86">
        <v>291</v>
      </c>
      <c r="B145" s="106" t="s">
        <v>274</v>
      </c>
      <c r="C145" s="105"/>
      <c r="D145" s="107">
        <v>14000</v>
      </c>
      <c r="E145" s="107">
        <v>14000</v>
      </c>
      <c r="F145" s="109">
        <v>879.5</v>
      </c>
      <c r="G145" s="109">
        <v>4645</v>
      </c>
      <c r="H145" s="166">
        <v>4645</v>
      </c>
      <c r="I145" s="107">
        <v>4093</v>
      </c>
      <c r="J145" s="77">
        <f t="shared" si="35"/>
        <v>9355</v>
      </c>
      <c r="K145" s="107">
        <f t="shared" si="34"/>
        <v>9355</v>
      </c>
      <c r="L145" s="156">
        <f t="shared" si="39"/>
        <v>33.178571428571431</v>
      </c>
      <c r="N145" s="45"/>
    </row>
    <row r="146" spans="1:14" ht="15" customHeight="1" x14ac:dyDescent="0.2">
      <c r="A146" s="87">
        <v>292</v>
      </c>
      <c r="B146" s="106" t="s">
        <v>358</v>
      </c>
      <c r="C146" s="108"/>
      <c r="D146" s="107">
        <v>5410</v>
      </c>
      <c r="E146" s="107">
        <v>5410</v>
      </c>
      <c r="F146" s="109">
        <v>3632.44</v>
      </c>
      <c r="G146" s="109">
        <v>4034.34</v>
      </c>
      <c r="H146" s="166">
        <v>98.55</v>
      </c>
      <c r="I146" s="107">
        <v>401.9</v>
      </c>
      <c r="J146" s="77">
        <f t="shared" si="35"/>
        <v>1375.6599999999999</v>
      </c>
      <c r="K146" s="107">
        <f t="shared" si="34"/>
        <v>1375.6599999999999</v>
      </c>
      <c r="L146" s="156">
        <f t="shared" si="39"/>
        <v>74.57190388170055</v>
      </c>
      <c r="N146" s="45"/>
    </row>
    <row r="147" spans="1:14" ht="15" customHeight="1" x14ac:dyDescent="0.2">
      <c r="A147" s="86">
        <v>293</v>
      </c>
      <c r="B147" s="106" t="s">
        <v>275</v>
      </c>
      <c r="C147" s="107"/>
      <c r="D147" s="107">
        <v>202600</v>
      </c>
      <c r="E147" s="107">
        <v>202600</v>
      </c>
      <c r="F147" s="109">
        <v>0</v>
      </c>
      <c r="G147" s="109">
        <v>97133.17</v>
      </c>
      <c r="H147" s="166">
        <v>16642.62</v>
      </c>
      <c r="I147" s="107">
        <v>759.36</v>
      </c>
      <c r="J147" s="77">
        <f t="shared" si="35"/>
        <v>105466.83</v>
      </c>
      <c r="K147" s="107">
        <f t="shared" si="34"/>
        <v>105466.83</v>
      </c>
      <c r="L147" s="156">
        <f t="shared" si="39"/>
        <v>47.94332181638697</v>
      </c>
      <c r="N147" s="45"/>
    </row>
    <row r="148" spans="1:14" ht="15" customHeight="1" x14ac:dyDescent="0.2">
      <c r="A148" s="86">
        <v>294</v>
      </c>
      <c r="B148" s="106" t="s">
        <v>404</v>
      </c>
      <c r="C148" s="107"/>
      <c r="D148" s="107">
        <v>5400</v>
      </c>
      <c r="E148" s="107">
        <v>5400</v>
      </c>
      <c r="F148" s="109">
        <v>0</v>
      </c>
      <c r="G148" s="109">
        <v>2457.87</v>
      </c>
      <c r="H148" s="166">
        <v>399.99</v>
      </c>
      <c r="I148" s="107">
        <v>2457.87</v>
      </c>
      <c r="J148" s="77">
        <f t="shared" si="35"/>
        <v>2942.13</v>
      </c>
      <c r="K148" s="107">
        <f t="shared" si="34"/>
        <v>2942.13</v>
      </c>
      <c r="L148" s="156">
        <f t="shared" si="39"/>
        <v>45.516111111111108</v>
      </c>
      <c r="N148" s="45"/>
    </row>
    <row r="149" spans="1:14" ht="15" customHeight="1" x14ac:dyDescent="0.2">
      <c r="A149" s="86">
        <v>295</v>
      </c>
      <c r="B149" s="107" t="s">
        <v>369</v>
      </c>
      <c r="C149" s="105"/>
      <c r="D149" s="107">
        <v>1200</v>
      </c>
      <c r="E149" s="107">
        <v>1200</v>
      </c>
      <c r="F149" s="109"/>
      <c r="G149" s="109">
        <v>0</v>
      </c>
      <c r="H149" s="166"/>
      <c r="I149" s="107"/>
      <c r="J149" s="77">
        <f t="shared" si="35"/>
        <v>1200</v>
      </c>
      <c r="K149" s="107">
        <f t="shared" si="34"/>
        <v>1200</v>
      </c>
      <c r="L149" s="156">
        <f t="shared" si="39"/>
        <v>0</v>
      </c>
      <c r="N149" s="45"/>
    </row>
    <row r="150" spans="1:14" ht="15" customHeight="1" x14ac:dyDescent="0.2">
      <c r="A150" s="86">
        <v>296</v>
      </c>
      <c r="B150" s="106" t="s">
        <v>361</v>
      </c>
      <c r="C150" s="107"/>
      <c r="D150" s="107">
        <v>124200</v>
      </c>
      <c r="E150" s="107">
        <v>124200</v>
      </c>
      <c r="F150" s="109">
        <v>40810.870000000003</v>
      </c>
      <c r="G150" s="109">
        <v>109956.5</v>
      </c>
      <c r="H150" s="166">
        <v>9507.2199999999993</v>
      </c>
      <c r="I150" s="107">
        <v>69145.63</v>
      </c>
      <c r="J150" s="77">
        <f t="shared" si="35"/>
        <v>14243.5</v>
      </c>
      <c r="K150" s="107">
        <f t="shared" si="34"/>
        <v>14243.5</v>
      </c>
      <c r="L150" s="156">
        <f t="shared" si="39"/>
        <v>88.531803542673103</v>
      </c>
      <c r="N150" s="45"/>
    </row>
    <row r="151" spans="1:14" ht="15" customHeight="1" x14ac:dyDescent="0.2">
      <c r="A151" s="86">
        <v>297</v>
      </c>
      <c r="B151" s="107" t="s">
        <v>276</v>
      </c>
      <c r="C151" s="105"/>
      <c r="D151" s="107">
        <v>38780</v>
      </c>
      <c r="E151" s="107">
        <v>38780</v>
      </c>
      <c r="F151" s="109">
        <v>9512.25</v>
      </c>
      <c r="G151" s="109">
        <v>13562.26</v>
      </c>
      <c r="H151" s="166">
        <v>856.6</v>
      </c>
      <c r="I151" s="107">
        <v>4910.1099999999997</v>
      </c>
      <c r="J151" s="77">
        <f t="shared" si="35"/>
        <v>25217.739999999998</v>
      </c>
      <c r="K151" s="107">
        <f t="shared" si="34"/>
        <v>25217.739999999998</v>
      </c>
      <c r="L151" s="156">
        <f t="shared" si="39"/>
        <v>34.972305312016502</v>
      </c>
      <c r="N151" s="45"/>
    </row>
    <row r="152" spans="1:14" ht="15" customHeight="1" x14ac:dyDescent="0.2">
      <c r="A152" s="86">
        <v>298</v>
      </c>
      <c r="B152" s="107" t="s">
        <v>277</v>
      </c>
      <c r="C152" s="105"/>
      <c r="D152" s="107">
        <v>69050</v>
      </c>
      <c r="E152" s="107">
        <v>69050</v>
      </c>
      <c r="F152" s="109">
        <v>317.14999999999998</v>
      </c>
      <c r="G152" s="109">
        <v>42660.3</v>
      </c>
      <c r="H152" s="166"/>
      <c r="I152" s="107">
        <v>41526.1</v>
      </c>
      <c r="J152" s="77">
        <f t="shared" si="35"/>
        <v>26389.699999999997</v>
      </c>
      <c r="K152" s="107">
        <f t="shared" si="34"/>
        <v>26389.699999999997</v>
      </c>
      <c r="L152" s="156">
        <f t="shared" si="39"/>
        <v>61.781752353367125</v>
      </c>
      <c r="N152" s="45"/>
    </row>
    <row r="153" spans="1:14" ht="15" customHeight="1" x14ac:dyDescent="0.2">
      <c r="A153" s="86">
        <v>299</v>
      </c>
      <c r="B153" s="107" t="s">
        <v>342</v>
      </c>
      <c r="C153" s="105"/>
      <c r="D153" s="107">
        <v>31900</v>
      </c>
      <c r="E153" s="107">
        <v>31900</v>
      </c>
      <c r="F153" s="109">
        <v>11147.68</v>
      </c>
      <c r="G153" s="109">
        <v>12117.64</v>
      </c>
      <c r="H153" s="166"/>
      <c r="I153" s="107">
        <v>12117.64</v>
      </c>
      <c r="J153" s="77">
        <f t="shared" si="35"/>
        <v>19782.36</v>
      </c>
      <c r="K153" s="107">
        <f t="shared" si="34"/>
        <v>19782.36</v>
      </c>
      <c r="L153" s="156">
        <f t="shared" si="39"/>
        <v>37.98633228840125</v>
      </c>
      <c r="N153" s="45"/>
    </row>
    <row r="154" spans="1:14" ht="15" customHeight="1" x14ac:dyDescent="0.2">
      <c r="A154" s="119">
        <v>4</v>
      </c>
      <c r="B154" s="131" t="s">
        <v>285</v>
      </c>
      <c r="C154" s="131">
        <f>SUM(C155)</f>
        <v>3207914</v>
      </c>
      <c r="D154" s="131">
        <f>+D155</f>
        <v>2948614</v>
      </c>
      <c r="E154" s="132">
        <f>+E155+E157</f>
        <v>2145875</v>
      </c>
      <c r="F154" s="589">
        <f>+F155+F157</f>
        <v>191100.71000000002</v>
      </c>
      <c r="G154" s="555">
        <v>662807.52</v>
      </c>
      <c r="H154" s="565">
        <f>+H155+H157</f>
        <v>326563.82</v>
      </c>
      <c r="I154" s="133">
        <f>+I155+I157</f>
        <v>217315.26</v>
      </c>
      <c r="J154" s="121">
        <f t="shared" ref="J154:J170" si="40">+E154-G154</f>
        <v>1483067.48</v>
      </c>
      <c r="K154" s="133">
        <f t="shared" ref="K154:K170" si="41">+D154-G154</f>
        <v>2285806.48</v>
      </c>
      <c r="L154" s="158">
        <f>+G154*100/E154</f>
        <v>30.887517679268363</v>
      </c>
      <c r="N154" s="45"/>
    </row>
    <row r="155" spans="1:14" ht="15" customHeight="1" x14ac:dyDescent="0.2">
      <c r="A155" s="85">
        <v>430</v>
      </c>
      <c r="B155" s="110" t="s">
        <v>286</v>
      </c>
      <c r="C155" s="110">
        <f>SUM(C156)</f>
        <v>3207914</v>
      </c>
      <c r="D155" s="110">
        <f>+D156+D158</f>
        <v>2948614</v>
      </c>
      <c r="E155" s="134">
        <f>+E156</f>
        <v>2051625</v>
      </c>
      <c r="F155" s="590">
        <f>+F156</f>
        <v>170898.38</v>
      </c>
      <c r="G155" s="165">
        <v>627450.93999999994</v>
      </c>
      <c r="H155" s="165">
        <f>+H156</f>
        <v>315796.82</v>
      </c>
      <c r="I155" s="110">
        <f>SUM(I156)</f>
        <v>189503.31</v>
      </c>
      <c r="J155" s="80">
        <f t="shared" si="40"/>
        <v>1424174.06</v>
      </c>
      <c r="K155" s="110">
        <f t="shared" si="41"/>
        <v>2321163.06</v>
      </c>
      <c r="L155" s="157">
        <f>+G155*100/E155</f>
        <v>30.583120209589957</v>
      </c>
      <c r="N155" s="45"/>
    </row>
    <row r="156" spans="1:14" ht="13.5" customHeight="1" x14ac:dyDescent="0.2">
      <c r="A156" s="86">
        <v>439</v>
      </c>
      <c r="B156" s="101" t="s">
        <v>287</v>
      </c>
      <c r="C156" s="101">
        <v>3207914</v>
      </c>
      <c r="D156" s="101">
        <v>2854364</v>
      </c>
      <c r="E156" s="124">
        <f>2686964-635339</f>
        <v>2051625</v>
      </c>
      <c r="F156" s="591">
        <v>170898.38</v>
      </c>
      <c r="G156" s="166">
        <v>627450.93999999994</v>
      </c>
      <c r="H156" s="166">
        <v>315796.82</v>
      </c>
      <c r="I156" s="101">
        <v>189503.31</v>
      </c>
      <c r="J156" s="77">
        <f t="shared" si="40"/>
        <v>1424174.06</v>
      </c>
      <c r="K156" s="101">
        <f t="shared" si="41"/>
        <v>2226913.06</v>
      </c>
      <c r="L156" s="156">
        <f>+G156*100/E156</f>
        <v>30.583120209589957</v>
      </c>
      <c r="N156" s="45"/>
    </row>
    <row r="157" spans="1:14" ht="16.5" customHeight="1" x14ac:dyDescent="0.2">
      <c r="A157" s="85">
        <v>490</v>
      </c>
      <c r="B157" s="110" t="s">
        <v>288</v>
      </c>
      <c r="C157" s="101">
        <f>SUM(C158)</f>
        <v>0</v>
      </c>
      <c r="D157" s="110">
        <f>+D158</f>
        <v>94250</v>
      </c>
      <c r="E157" s="134">
        <f>+E158</f>
        <v>94250</v>
      </c>
      <c r="F157" s="563">
        <f>+F158</f>
        <v>20202.330000000002</v>
      </c>
      <c r="G157" s="556">
        <v>35356.58</v>
      </c>
      <c r="H157" s="165">
        <f>+H158</f>
        <v>10767</v>
      </c>
      <c r="I157" s="110">
        <f>I158</f>
        <v>27811.95</v>
      </c>
      <c r="J157" s="77">
        <f t="shared" si="40"/>
        <v>58893.42</v>
      </c>
      <c r="K157" s="110">
        <f t="shared" si="41"/>
        <v>58893.42</v>
      </c>
      <c r="L157" s="157"/>
      <c r="N157" s="45"/>
    </row>
    <row r="158" spans="1:14" ht="13.5" customHeight="1" x14ac:dyDescent="0.2">
      <c r="A158" s="86">
        <v>494</v>
      </c>
      <c r="B158" s="101" t="s">
        <v>289</v>
      </c>
      <c r="C158" s="101"/>
      <c r="D158" s="101">
        <v>94250</v>
      </c>
      <c r="E158" s="89">
        <v>94250</v>
      </c>
      <c r="F158" s="591">
        <v>20202.330000000002</v>
      </c>
      <c r="G158" s="557">
        <v>35356.58</v>
      </c>
      <c r="H158" s="166">
        <v>10767</v>
      </c>
      <c r="I158" s="101">
        <v>27811.95</v>
      </c>
      <c r="J158" s="77">
        <f t="shared" si="40"/>
        <v>58893.42</v>
      </c>
      <c r="K158" s="101">
        <f t="shared" si="41"/>
        <v>58893.42</v>
      </c>
      <c r="L158" s="156"/>
      <c r="N158" s="45"/>
    </row>
    <row r="159" spans="1:14" ht="15.75" customHeight="1" x14ac:dyDescent="0.2">
      <c r="A159" s="119" t="s">
        <v>290</v>
      </c>
      <c r="B159" s="135" t="s">
        <v>372</v>
      </c>
      <c r="C159" s="133">
        <f>C160+C162+C168+C174+C178+C172</f>
        <v>2251594</v>
      </c>
      <c r="D159" s="133">
        <f t="shared" ref="D159:I159" si="42">D160+D162+D168+D174+D178+D172</f>
        <v>3068944</v>
      </c>
      <c r="E159" s="133">
        <f t="shared" si="42"/>
        <v>2919928</v>
      </c>
      <c r="F159" s="555">
        <f>F160+F162+F168+F174+F178+F172</f>
        <v>59654.950000000004</v>
      </c>
      <c r="G159" s="555">
        <v>317906.87000000005</v>
      </c>
      <c r="H159" s="555">
        <f t="shared" ref="H159" si="43">H160+H162+H168+H174+H178+H172</f>
        <v>258168.53</v>
      </c>
      <c r="I159" s="133">
        <f t="shared" si="42"/>
        <v>253152.9</v>
      </c>
      <c r="J159" s="121">
        <f t="shared" si="40"/>
        <v>2602021.13</v>
      </c>
      <c r="K159" s="133">
        <f t="shared" si="41"/>
        <v>2751037.13</v>
      </c>
      <c r="L159" s="158">
        <f>+G159*100/E159</f>
        <v>10.887490034000839</v>
      </c>
      <c r="N159" s="161"/>
    </row>
    <row r="160" spans="1:14" x14ac:dyDescent="0.2">
      <c r="A160" s="85" t="s">
        <v>292</v>
      </c>
      <c r="B160" s="136" t="s">
        <v>293</v>
      </c>
      <c r="C160" s="110">
        <f>SUM(C161)</f>
        <v>118164</v>
      </c>
      <c r="D160" s="110">
        <f>SUM(D161)</f>
        <v>118164</v>
      </c>
      <c r="E160" s="134">
        <f>+E161</f>
        <v>49235</v>
      </c>
      <c r="F160" s="590">
        <f>+F161</f>
        <v>3373.87</v>
      </c>
      <c r="G160" s="556">
        <v>16869.349999999999</v>
      </c>
      <c r="H160" s="556">
        <f>+H161</f>
        <v>16869.349999999999</v>
      </c>
      <c r="I160" s="110">
        <f>+I161</f>
        <v>16869.349999999999</v>
      </c>
      <c r="J160" s="80">
        <f t="shared" si="40"/>
        <v>32365.65</v>
      </c>
      <c r="K160" s="110">
        <f t="shared" si="41"/>
        <v>101294.65</v>
      </c>
      <c r="L160" s="157">
        <f>+G160*100/E160</f>
        <v>34.262922717578952</v>
      </c>
      <c r="N160" s="45"/>
    </row>
    <row r="161" spans="1:17" ht="13.5" customHeight="1" x14ac:dyDescent="0.2">
      <c r="A161" s="86" t="s">
        <v>294</v>
      </c>
      <c r="B161" s="125" t="s">
        <v>390</v>
      </c>
      <c r="C161" s="101">
        <v>118164</v>
      </c>
      <c r="D161" s="101">
        <v>118164</v>
      </c>
      <c r="E161" s="124">
        <v>49235</v>
      </c>
      <c r="F161" s="591">
        <v>3373.87</v>
      </c>
      <c r="G161" s="166">
        <v>16869.349999999999</v>
      </c>
      <c r="H161" s="166">
        <v>16869.349999999999</v>
      </c>
      <c r="I161" s="101">
        <v>16869.349999999999</v>
      </c>
      <c r="J161" s="77">
        <f t="shared" si="40"/>
        <v>32365.65</v>
      </c>
      <c r="K161" s="101">
        <f t="shared" si="41"/>
        <v>101294.65</v>
      </c>
      <c r="L161" s="156">
        <f>+G161*100/E161</f>
        <v>34.262922717578952</v>
      </c>
      <c r="N161" s="45"/>
      <c r="O161" t="s">
        <v>6</v>
      </c>
      <c r="P161" t="s">
        <v>6</v>
      </c>
    </row>
    <row r="162" spans="1:17" x14ac:dyDescent="0.2">
      <c r="A162" s="90" t="s">
        <v>295</v>
      </c>
      <c r="B162" s="110" t="s">
        <v>164</v>
      </c>
      <c r="C162" s="110">
        <f>SUM(C163:C167)</f>
        <v>956224</v>
      </c>
      <c r="D162" s="110">
        <f>SUM(D163:D167)</f>
        <v>1971224</v>
      </c>
      <c r="E162" s="134">
        <f>+E163+E164+E166+E167</f>
        <v>1917678</v>
      </c>
      <c r="F162" s="590">
        <f>SUM(F163:F167)</f>
        <v>50743.79</v>
      </c>
      <c r="G162" s="165">
        <v>212862.56</v>
      </c>
      <c r="H162" s="166">
        <f>+H164+H166</f>
        <v>212862.56</v>
      </c>
      <c r="I162" s="110">
        <f>SUM(I163:I167)</f>
        <v>212862.56</v>
      </c>
      <c r="J162" s="80">
        <f t="shared" si="40"/>
        <v>1704815.44</v>
      </c>
      <c r="K162" s="110">
        <f t="shared" si="41"/>
        <v>1758361.44</v>
      </c>
      <c r="L162" s="157">
        <f>+G162*100/E162</f>
        <v>11.100015748212162</v>
      </c>
      <c r="N162" s="45"/>
      <c r="Q162" s="1" t="s">
        <v>6</v>
      </c>
    </row>
    <row r="163" spans="1:17" ht="14.25" customHeight="1" x14ac:dyDescent="0.2">
      <c r="A163" s="86">
        <v>611</v>
      </c>
      <c r="B163" s="101" t="s">
        <v>331</v>
      </c>
      <c r="C163" s="101">
        <v>1800</v>
      </c>
      <c r="D163" s="101">
        <v>1800</v>
      </c>
      <c r="E163" s="89">
        <v>1800</v>
      </c>
      <c r="F163" s="591">
        <v>0</v>
      </c>
      <c r="G163" s="166">
        <v>0</v>
      </c>
      <c r="H163" s="166"/>
      <c r="I163" s="101">
        <v>0</v>
      </c>
      <c r="J163" s="77">
        <f t="shared" si="40"/>
        <v>1800</v>
      </c>
      <c r="K163" s="101">
        <f t="shared" si="41"/>
        <v>1800</v>
      </c>
      <c r="L163" s="156"/>
      <c r="N163" s="45"/>
    </row>
    <row r="164" spans="1:17" ht="13.5" customHeight="1" x14ac:dyDescent="0.2">
      <c r="A164" s="86">
        <v>612</v>
      </c>
      <c r="B164" s="101" t="s">
        <v>363</v>
      </c>
      <c r="C164" s="101">
        <v>172962</v>
      </c>
      <c r="D164" s="101">
        <v>892962</v>
      </c>
      <c r="E164" s="89">
        <v>892962</v>
      </c>
      <c r="F164" s="591">
        <v>12096.89</v>
      </c>
      <c r="G164" s="166">
        <v>23927.360000000001</v>
      </c>
      <c r="H164" s="166">
        <v>23927.360000000001</v>
      </c>
      <c r="I164" s="101">
        <v>23927.360000000001</v>
      </c>
      <c r="J164" s="77">
        <f t="shared" si="40"/>
        <v>869034.64</v>
      </c>
      <c r="K164" s="101">
        <f t="shared" si="41"/>
        <v>869034.64</v>
      </c>
      <c r="L164" s="156">
        <f>+G164*100/E164</f>
        <v>2.6795496336910194</v>
      </c>
      <c r="N164" s="45"/>
    </row>
    <row r="165" spans="1:17" ht="12" hidden="1" customHeight="1" x14ac:dyDescent="0.2">
      <c r="A165" s="86">
        <v>613</v>
      </c>
      <c r="B165" s="101" t="s">
        <v>341</v>
      </c>
      <c r="C165" s="101">
        <v>0</v>
      </c>
      <c r="D165" s="101">
        <v>0</v>
      </c>
      <c r="E165" s="89"/>
      <c r="F165" s="591"/>
      <c r="G165" s="166">
        <v>0</v>
      </c>
      <c r="H165" s="166"/>
      <c r="I165" s="101"/>
      <c r="J165" s="77">
        <f t="shared" si="40"/>
        <v>0</v>
      </c>
      <c r="K165" s="101">
        <f t="shared" si="41"/>
        <v>0</v>
      </c>
      <c r="L165" s="156" t="e">
        <f>+G165*100/E165</f>
        <v>#DIV/0!</v>
      </c>
      <c r="N165" s="45"/>
    </row>
    <row r="166" spans="1:17" ht="12.75" customHeight="1" x14ac:dyDescent="0.2">
      <c r="A166" s="86">
        <v>614</v>
      </c>
      <c r="B166" s="101" t="s">
        <v>340</v>
      </c>
      <c r="C166" s="101">
        <v>727916</v>
      </c>
      <c r="D166" s="101">
        <v>1022916</v>
      </c>
      <c r="E166" s="89">
        <v>1022916</v>
      </c>
      <c r="F166" s="591">
        <v>38646.9</v>
      </c>
      <c r="G166" s="166">
        <v>188935.19999999998</v>
      </c>
      <c r="H166" s="166">
        <v>188935.2</v>
      </c>
      <c r="I166" s="101">
        <v>188935.2</v>
      </c>
      <c r="J166" s="77">
        <f t="shared" si="40"/>
        <v>833980.8</v>
      </c>
      <c r="K166" s="101">
        <f t="shared" si="41"/>
        <v>833980.8</v>
      </c>
      <c r="L166" s="156">
        <f>+G166*100/E166</f>
        <v>18.470255622162522</v>
      </c>
      <c r="N166" s="45"/>
    </row>
    <row r="167" spans="1:17" ht="13.5" customHeight="1" x14ac:dyDescent="0.2">
      <c r="A167" s="86">
        <v>619</v>
      </c>
      <c r="B167" s="101" t="s">
        <v>338</v>
      </c>
      <c r="C167" s="101">
        <v>53546</v>
      </c>
      <c r="D167" s="101">
        <v>53546</v>
      </c>
      <c r="E167" s="89">
        <v>0</v>
      </c>
      <c r="F167" s="591">
        <v>0</v>
      </c>
      <c r="G167" s="166">
        <v>0</v>
      </c>
      <c r="H167" s="166"/>
      <c r="I167" s="101">
        <v>0</v>
      </c>
      <c r="J167" s="77">
        <f t="shared" si="40"/>
        <v>0</v>
      </c>
      <c r="K167" s="101">
        <f t="shared" si="41"/>
        <v>53546</v>
      </c>
      <c r="L167" s="156" t="s">
        <v>6</v>
      </c>
      <c r="N167" s="45"/>
    </row>
    <row r="168" spans="1:17" ht="13.5" customHeight="1" x14ac:dyDescent="0.2">
      <c r="A168" s="85">
        <v>620</v>
      </c>
      <c r="B168" s="110" t="s">
        <v>296</v>
      </c>
      <c r="C168" s="110">
        <f>+C169+C170+C171</f>
        <v>730940</v>
      </c>
      <c r="D168" s="110">
        <f t="shared" ref="D168:I168" si="44">+D169+D170+D171</f>
        <v>475290</v>
      </c>
      <c r="E168" s="110">
        <f t="shared" si="44"/>
        <v>475290</v>
      </c>
      <c r="F168" s="556">
        <f t="shared" si="44"/>
        <v>7771.5</v>
      </c>
      <c r="G168" s="556">
        <v>45485.75</v>
      </c>
      <c r="H168" s="165">
        <f>+H170</f>
        <v>27536.62</v>
      </c>
      <c r="I168" s="110">
        <f t="shared" si="44"/>
        <v>22520.99</v>
      </c>
      <c r="J168" s="80">
        <f t="shared" si="40"/>
        <v>429804.25</v>
      </c>
      <c r="K168" s="110">
        <f t="shared" si="41"/>
        <v>429804.25</v>
      </c>
      <c r="L168" s="157">
        <f>+G168*100/E168</f>
        <v>9.5701045677375927</v>
      </c>
      <c r="N168" s="45"/>
    </row>
    <row r="169" spans="1:17" ht="13.5" customHeight="1" x14ac:dyDescent="0.2">
      <c r="A169" s="86" t="s">
        <v>329</v>
      </c>
      <c r="B169" s="101" t="s">
        <v>330</v>
      </c>
      <c r="C169" s="101">
        <v>70000</v>
      </c>
      <c r="D169" s="101">
        <v>70000</v>
      </c>
      <c r="E169" s="101">
        <v>70000</v>
      </c>
      <c r="F169" s="591">
        <v>0</v>
      </c>
      <c r="G169" s="166">
        <v>0</v>
      </c>
      <c r="H169" s="166"/>
      <c r="I169" s="101">
        <v>0</v>
      </c>
      <c r="J169" s="77">
        <f t="shared" si="40"/>
        <v>70000</v>
      </c>
      <c r="K169" s="101">
        <f t="shared" si="41"/>
        <v>70000</v>
      </c>
      <c r="L169" s="156" t="s">
        <v>38</v>
      </c>
      <c r="N169" s="45"/>
    </row>
    <row r="170" spans="1:17" ht="12" customHeight="1" x14ac:dyDescent="0.2">
      <c r="A170" s="86">
        <v>624</v>
      </c>
      <c r="B170" s="101" t="s">
        <v>297</v>
      </c>
      <c r="C170" s="101">
        <v>648440</v>
      </c>
      <c r="D170" s="101">
        <v>392790</v>
      </c>
      <c r="E170" s="101">
        <v>392790</v>
      </c>
      <c r="F170" s="591">
        <v>7771.5</v>
      </c>
      <c r="G170" s="166">
        <v>45485.75</v>
      </c>
      <c r="H170" s="166">
        <v>27536.62</v>
      </c>
      <c r="I170" s="101">
        <v>22520.99</v>
      </c>
      <c r="J170" s="77">
        <f t="shared" si="40"/>
        <v>347304.25</v>
      </c>
      <c r="K170" s="101">
        <f t="shared" si="41"/>
        <v>347304.25</v>
      </c>
      <c r="L170" s="156">
        <f>+G170*100/E170</f>
        <v>11.580170065429364</v>
      </c>
      <c r="N170" s="45"/>
    </row>
    <row r="171" spans="1:17" ht="12" customHeight="1" x14ac:dyDescent="0.2">
      <c r="A171" s="86">
        <v>629</v>
      </c>
      <c r="B171" s="101" t="s">
        <v>464</v>
      </c>
      <c r="C171" s="101">
        <v>12500</v>
      </c>
      <c r="D171" s="101">
        <v>12500</v>
      </c>
      <c r="E171" s="101">
        <v>12500</v>
      </c>
      <c r="F171" s="591"/>
      <c r="G171" s="166"/>
      <c r="H171" s="166"/>
      <c r="I171" s="89"/>
      <c r="J171" s="77"/>
      <c r="K171" s="101"/>
      <c r="L171" s="170"/>
      <c r="N171" s="45"/>
    </row>
    <row r="172" spans="1:17" ht="12" customHeight="1" x14ac:dyDescent="0.2">
      <c r="A172" s="85">
        <v>640</v>
      </c>
      <c r="B172" s="110" t="s">
        <v>465</v>
      </c>
      <c r="C172" s="110">
        <f>+C173</f>
        <v>159266</v>
      </c>
      <c r="D172" s="110">
        <f>+D173</f>
        <v>159266</v>
      </c>
      <c r="E172" s="110">
        <f>+E173</f>
        <v>132725</v>
      </c>
      <c r="F172" s="556">
        <f t="shared" ref="F172:K172" si="45">+F173</f>
        <v>0</v>
      </c>
      <c r="G172" s="556">
        <v>0</v>
      </c>
      <c r="H172" s="556">
        <f t="shared" si="45"/>
        <v>0</v>
      </c>
      <c r="I172" s="110">
        <f t="shared" si="45"/>
        <v>0</v>
      </c>
      <c r="J172" s="110">
        <f t="shared" si="45"/>
        <v>0</v>
      </c>
      <c r="K172" s="110">
        <f t="shared" si="45"/>
        <v>0</v>
      </c>
      <c r="L172" s="170"/>
      <c r="N172" s="45"/>
    </row>
    <row r="173" spans="1:17" ht="12" customHeight="1" x14ac:dyDescent="0.2">
      <c r="A173" s="86">
        <v>641</v>
      </c>
      <c r="B173" s="101" t="s">
        <v>466</v>
      </c>
      <c r="C173" s="101">
        <v>159266</v>
      </c>
      <c r="D173" s="101">
        <v>159266</v>
      </c>
      <c r="E173" s="101">
        <v>132725</v>
      </c>
      <c r="F173" s="591"/>
      <c r="G173" s="166"/>
      <c r="H173" s="166"/>
      <c r="I173" s="89"/>
      <c r="J173" s="77"/>
      <c r="K173" s="101"/>
      <c r="N173" s="45"/>
    </row>
    <row r="174" spans="1:17" x14ac:dyDescent="0.2">
      <c r="A174" s="85" t="s">
        <v>298</v>
      </c>
      <c r="B174" s="136" t="s">
        <v>299</v>
      </c>
      <c r="C174" s="110">
        <f>SUM(C175:C177)</f>
        <v>287000</v>
      </c>
      <c r="D174" s="110">
        <f>SUM(D175:D177)</f>
        <v>293000</v>
      </c>
      <c r="E174" s="110">
        <f>SUM(E175:E177)</f>
        <v>293000</v>
      </c>
      <c r="F174" s="590">
        <f>SUM(F175:F177)</f>
        <v>-2234.21</v>
      </c>
      <c r="G174" s="165">
        <v>20609.21</v>
      </c>
      <c r="H174" s="165">
        <f>+H176+H177</f>
        <v>900</v>
      </c>
      <c r="I174" s="90">
        <f>SUM(I175:I177)</f>
        <v>900</v>
      </c>
      <c r="J174" s="80">
        <f>+E174-G174</f>
        <v>272390.78999999998</v>
      </c>
      <c r="K174" s="110">
        <f t="shared" ref="K174:K179" si="46">+D174-G174</f>
        <v>272390.78999999998</v>
      </c>
      <c r="L174" s="157">
        <f>+G174*100/E174</f>
        <v>7.0338600682593855</v>
      </c>
      <c r="N174" s="45"/>
    </row>
    <row r="175" spans="1:17" ht="13.5" customHeight="1" x14ac:dyDescent="0.2">
      <c r="A175" s="86">
        <v>662</v>
      </c>
      <c r="B175" s="125" t="s">
        <v>300</v>
      </c>
      <c r="C175" s="101">
        <v>116000</v>
      </c>
      <c r="D175" s="101">
        <v>116000</v>
      </c>
      <c r="E175" s="101">
        <v>116000</v>
      </c>
      <c r="F175" s="591">
        <v>0</v>
      </c>
      <c r="G175" s="166">
        <v>13500</v>
      </c>
      <c r="H175" s="166"/>
      <c r="I175" s="101">
        <v>0</v>
      </c>
      <c r="J175" s="77">
        <f>+E175-G175</f>
        <v>102500</v>
      </c>
      <c r="K175" s="101">
        <f t="shared" si="46"/>
        <v>102500</v>
      </c>
      <c r="L175" s="156">
        <f>+G175*100/E175</f>
        <v>11.637931034482758</v>
      </c>
      <c r="N175" s="45"/>
      <c r="O175" t="s">
        <v>467</v>
      </c>
    </row>
    <row r="176" spans="1:17" ht="11.25" customHeight="1" x14ac:dyDescent="0.2">
      <c r="A176" s="86" t="s">
        <v>301</v>
      </c>
      <c r="B176" s="125" t="s">
        <v>302</v>
      </c>
      <c r="C176" s="101">
        <v>0</v>
      </c>
      <c r="D176" s="101">
        <v>6000</v>
      </c>
      <c r="E176" s="101">
        <v>6000</v>
      </c>
      <c r="F176" s="591"/>
      <c r="G176" s="166">
        <v>3975</v>
      </c>
      <c r="H176" s="166"/>
      <c r="I176" s="101">
        <v>0</v>
      </c>
      <c r="J176" s="77" t="s">
        <v>6</v>
      </c>
      <c r="K176" s="101">
        <f t="shared" si="46"/>
        <v>2025</v>
      </c>
      <c r="L176" s="156" t="s">
        <v>6</v>
      </c>
      <c r="N176" s="45"/>
    </row>
    <row r="177" spans="1:14" ht="12.75" customHeight="1" x14ac:dyDescent="0.2">
      <c r="A177" s="86" t="s">
        <v>303</v>
      </c>
      <c r="B177" s="125" t="s">
        <v>304</v>
      </c>
      <c r="C177" s="101">
        <v>171000</v>
      </c>
      <c r="D177" s="101">
        <v>171000</v>
      </c>
      <c r="E177" s="101">
        <v>171000</v>
      </c>
      <c r="F177" s="591">
        <v>-2234.21</v>
      </c>
      <c r="G177" s="166">
        <v>3134.21</v>
      </c>
      <c r="H177" s="166">
        <v>900</v>
      </c>
      <c r="I177" s="101">
        <v>900</v>
      </c>
      <c r="J177" s="77">
        <f>+E177-G177</f>
        <v>167865.79</v>
      </c>
      <c r="K177" s="101">
        <f t="shared" si="46"/>
        <v>167865.79</v>
      </c>
      <c r="L177" s="156">
        <f>+G177*100/E177</f>
        <v>1.8328713450292398</v>
      </c>
      <c r="N177" s="45"/>
    </row>
    <row r="178" spans="1:14" ht="17.25" customHeight="1" x14ac:dyDescent="0.2">
      <c r="A178" s="85">
        <v>690</v>
      </c>
      <c r="B178" s="110" t="s">
        <v>334</v>
      </c>
      <c r="C178" s="110">
        <f>+C179</f>
        <v>0</v>
      </c>
      <c r="D178" s="110">
        <f>+D181+D180</f>
        <v>52000</v>
      </c>
      <c r="E178" s="90">
        <f>+E181+E180</f>
        <v>52000</v>
      </c>
      <c r="F178" s="590">
        <f>+F179+F181</f>
        <v>0</v>
      </c>
      <c r="G178" s="556">
        <v>22080</v>
      </c>
      <c r="H178" s="166"/>
      <c r="I178" s="110">
        <f>+I179</f>
        <v>0</v>
      </c>
      <c r="J178" s="80">
        <f>+E178-G178</f>
        <v>29920</v>
      </c>
      <c r="K178" s="110">
        <f t="shared" si="46"/>
        <v>29920</v>
      </c>
      <c r="L178" s="157">
        <f>+G178*100/E178</f>
        <v>42.46153846153846</v>
      </c>
      <c r="N178" s="45"/>
    </row>
    <row r="179" spans="1:14" ht="15.75" customHeight="1" x14ac:dyDescent="0.2">
      <c r="A179" s="86">
        <v>692</v>
      </c>
      <c r="B179" s="125" t="s">
        <v>454</v>
      </c>
      <c r="C179" s="101"/>
      <c r="D179" s="101"/>
      <c r="E179" s="89">
        <v>0</v>
      </c>
      <c r="F179" s="591">
        <v>0</v>
      </c>
      <c r="G179" s="557">
        <v>0</v>
      </c>
      <c r="H179" s="166"/>
      <c r="I179" s="101">
        <v>0</v>
      </c>
      <c r="J179" s="77">
        <f>+E179-G179</f>
        <v>0</v>
      </c>
      <c r="K179" s="101">
        <f t="shared" si="46"/>
        <v>0</v>
      </c>
      <c r="L179" s="156" t="s">
        <v>6</v>
      </c>
      <c r="N179" s="45"/>
    </row>
    <row r="180" spans="1:14" ht="18" customHeight="1" x14ac:dyDescent="0.2">
      <c r="A180" s="86">
        <v>693</v>
      </c>
      <c r="B180" s="125" t="s">
        <v>461</v>
      </c>
      <c r="C180" s="101"/>
      <c r="D180" s="101">
        <v>2000</v>
      </c>
      <c r="E180" s="89">
        <v>2000</v>
      </c>
      <c r="F180" s="592"/>
      <c r="G180" s="558"/>
      <c r="H180" s="166"/>
      <c r="I180" s="101"/>
      <c r="J180" s="77"/>
      <c r="K180" s="101"/>
      <c r="L180" s="156" t="s">
        <v>6</v>
      </c>
      <c r="N180" s="45"/>
    </row>
    <row r="181" spans="1:14" ht="15.75" customHeight="1" thickBot="1" x14ac:dyDescent="0.25">
      <c r="A181" s="86">
        <v>697</v>
      </c>
      <c r="B181" s="125" t="s">
        <v>343</v>
      </c>
      <c r="C181" s="101"/>
      <c r="D181" s="101">
        <v>50000</v>
      </c>
      <c r="E181" s="89">
        <v>50000</v>
      </c>
      <c r="F181" s="591">
        <v>0</v>
      </c>
      <c r="G181" s="166">
        <v>22080</v>
      </c>
      <c r="H181" s="166"/>
      <c r="I181" s="101"/>
      <c r="J181" s="77">
        <f>+E181-G181</f>
        <v>27920</v>
      </c>
      <c r="K181" s="110">
        <f>+D181-G181</f>
        <v>27920</v>
      </c>
      <c r="L181" s="156" t="s">
        <v>6</v>
      </c>
      <c r="N181" s="45"/>
    </row>
    <row r="182" spans="1:14" ht="28.9" customHeight="1" thickBot="1" x14ac:dyDescent="0.25">
      <c r="A182" s="92" t="s">
        <v>6</v>
      </c>
      <c r="B182" s="137" t="s">
        <v>305</v>
      </c>
      <c r="C182" s="138">
        <f t="shared" ref="C182:F182" si="47">+C159+C154+C94+C37+C11</f>
        <v>141094806</v>
      </c>
      <c r="D182" s="138">
        <f t="shared" si="47"/>
        <v>141094806</v>
      </c>
      <c r="E182" s="138">
        <f t="shared" si="47"/>
        <v>64893018</v>
      </c>
      <c r="F182" s="593">
        <f t="shared" si="47"/>
        <v>9629207.1099999994</v>
      </c>
      <c r="G182" s="559">
        <v>46261539.460000001</v>
      </c>
      <c r="H182" s="559">
        <f>+H159+H154+H94+H37+H11</f>
        <v>38730167.830000006</v>
      </c>
      <c r="I182" s="138">
        <f>+I159+I154+I94+I37+I11</f>
        <v>41433607.25</v>
      </c>
      <c r="J182" s="139">
        <f>+E182-G182</f>
        <v>18631478.539999999</v>
      </c>
      <c r="K182" s="138">
        <f>+D182-G182</f>
        <v>94833266.539999992</v>
      </c>
      <c r="L182" s="159">
        <f>+G182*100/E182</f>
        <v>71.28893197724291</v>
      </c>
      <c r="N182" s="45"/>
    </row>
    <row r="183" spans="1:14" x14ac:dyDescent="0.2">
      <c r="E183" s="27" t="s">
        <v>6</v>
      </c>
      <c r="F183" s="148"/>
      <c r="H183" s="27" t="s">
        <v>6</v>
      </c>
      <c r="I183" s="27" t="s">
        <v>6</v>
      </c>
    </row>
    <row r="184" spans="1:14" x14ac:dyDescent="0.2">
      <c r="E184" s="26"/>
      <c r="F184" s="148"/>
      <c r="G184" s="27" t="s">
        <v>6</v>
      </c>
      <c r="H184" s="26" t="s">
        <v>6</v>
      </c>
      <c r="I184" s="26"/>
      <c r="N184" s="45"/>
    </row>
    <row r="185" spans="1:14" x14ac:dyDescent="0.2">
      <c r="D185" s="26">
        <f>+D182-C182</f>
        <v>0</v>
      </c>
      <c r="G185" s="148"/>
      <c r="I185" s="50" t="s">
        <v>6</v>
      </c>
    </row>
    <row r="186" spans="1:14" x14ac:dyDescent="0.2">
      <c r="E186" s="26" t="s">
        <v>6</v>
      </c>
      <c r="I186" s="26" t="s">
        <v>6</v>
      </c>
    </row>
    <row r="187" spans="1:14" x14ac:dyDescent="0.2">
      <c r="D187" s="26" t="s">
        <v>6</v>
      </c>
    </row>
  </sheetData>
  <mergeCells count="12">
    <mergeCell ref="A2:L2"/>
    <mergeCell ref="A3:L3"/>
    <mergeCell ref="A4:L4"/>
    <mergeCell ref="A5:L5"/>
    <mergeCell ref="C8:E9"/>
    <mergeCell ref="F8:G9"/>
    <mergeCell ref="I8:I10"/>
    <mergeCell ref="L8:L10"/>
    <mergeCell ref="B8:B10"/>
    <mergeCell ref="A8:A10"/>
    <mergeCell ref="H8:H10"/>
    <mergeCell ref="J8:K10"/>
  </mergeCells>
  <phoneticPr fontId="3" type="noConversion"/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  <ignoredErrors>
    <ignoredError sqref="F29 I128 C134 E134:F134 H134 F45 C45 E45 C16:F16 E22:F22" formulaRange="1"/>
    <ignoredError sqref="D11:D12 E62 E156" formula="1"/>
    <ignoredError sqref="H16:I16" formula="1" formulaRange="1"/>
    <ignoredError sqref="A118:B118 A12:A15 A94:A117 A119:A120 A121:A143 H118:M118 O118:XFD118 A17:A19 A22:A23 A24:A35 A39:A40 A41:A81 A16 A82:A93 A36:A38 A20:A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6" tint="0.39997558519241921"/>
  </sheetPr>
  <dimension ref="A1:P149"/>
  <sheetViews>
    <sheetView showGridLines="0" showZeros="0" workbookViewId="0">
      <selection activeCell="G13" sqref="G13"/>
    </sheetView>
  </sheetViews>
  <sheetFormatPr baseColWidth="10" defaultRowHeight="12.75" x14ac:dyDescent="0.2"/>
  <cols>
    <col min="1" max="1" width="4.85546875" customWidth="1"/>
    <col min="2" max="2" width="32.5703125" customWidth="1"/>
    <col min="3" max="3" width="12.7109375" customWidth="1"/>
    <col min="4" max="4" width="13.28515625" customWidth="1"/>
    <col min="5" max="5" width="11.28515625" customWidth="1"/>
    <col min="6" max="6" width="13.28515625" hidden="1" customWidth="1"/>
    <col min="7" max="7" width="14.85546875" customWidth="1"/>
    <col min="8" max="8" width="11.28515625" customWidth="1"/>
    <col min="9" max="9" width="11.42578125" customWidth="1"/>
    <col min="10" max="10" width="11" customWidth="1"/>
    <col min="11" max="11" width="13.42578125" hidden="1" customWidth="1"/>
    <col min="12" max="12" width="12.140625" customWidth="1"/>
  </cols>
  <sheetData>
    <row r="1" spans="1:12" ht="20.25" customHeight="1" x14ac:dyDescent="0.25">
      <c r="A1" s="609" t="s">
        <v>388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2" ht="18.75" customHeight="1" x14ac:dyDescent="0.25">
      <c r="A2" s="609" t="s">
        <v>387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</row>
    <row r="3" spans="1:12" ht="19.899999999999999" customHeight="1" x14ac:dyDescent="0.25">
      <c r="A3" s="610" t="s">
        <v>536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</row>
    <row r="4" spans="1:12" ht="19.899999999999999" customHeight="1" x14ac:dyDescent="0.25">
      <c r="A4" s="610" t="s">
        <v>560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</row>
    <row r="5" spans="1:12" ht="6" customHeight="1" x14ac:dyDescent="0.2">
      <c r="A5" s="680"/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</row>
    <row r="6" spans="1:12" ht="19.899999999999999" customHeight="1" x14ac:dyDescent="0.2">
      <c r="A6" s="684" t="s">
        <v>378</v>
      </c>
      <c r="B6" s="687" t="s">
        <v>0</v>
      </c>
      <c r="C6" s="696" t="s">
        <v>31</v>
      </c>
      <c r="D6" s="697"/>
      <c r="E6" s="697"/>
      <c r="F6" s="697"/>
      <c r="G6" s="697"/>
      <c r="H6" s="697"/>
      <c r="I6" s="698"/>
      <c r="J6" s="690" t="s">
        <v>307</v>
      </c>
      <c r="K6" s="691"/>
      <c r="L6" s="681" t="s">
        <v>380</v>
      </c>
    </row>
    <row r="7" spans="1:12" ht="6" customHeight="1" x14ac:dyDescent="0.2">
      <c r="A7" s="685"/>
      <c r="B7" s="688"/>
      <c r="C7" s="699"/>
      <c r="D7" s="700"/>
      <c r="E7" s="700"/>
      <c r="F7" s="700"/>
      <c r="G7" s="700"/>
      <c r="H7" s="700"/>
      <c r="I7" s="701"/>
      <c r="J7" s="692"/>
      <c r="K7" s="693"/>
      <c r="L7" s="682"/>
    </row>
    <row r="8" spans="1:12" ht="19.899999999999999" customHeight="1" x14ac:dyDescent="0.2">
      <c r="A8" s="686"/>
      <c r="B8" s="689"/>
      <c r="C8" s="332" t="s">
        <v>87</v>
      </c>
      <c r="D8" s="332" t="s">
        <v>12</v>
      </c>
      <c r="E8" s="332" t="s">
        <v>2</v>
      </c>
      <c r="F8" s="581" t="s">
        <v>36</v>
      </c>
      <c r="G8" s="578" t="s">
        <v>546</v>
      </c>
      <c r="H8" s="579" t="s">
        <v>544</v>
      </c>
      <c r="I8" s="580" t="s">
        <v>355</v>
      </c>
      <c r="J8" s="694"/>
      <c r="K8" s="695"/>
      <c r="L8" s="683"/>
    </row>
    <row r="9" spans="1:12" ht="19.899999999999999" customHeight="1" x14ac:dyDescent="0.2">
      <c r="A9" s="333" t="s">
        <v>88</v>
      </c>
      <c r="B9" s="334" t="s">
        <v>89</v>
      </c>
      <c r="C9" s="335">
        <f t="shared" ref="C9" si="0">SUM(C10+C14+C15+C16+C17+C18+C19)</f>
        <v>125299729</v>
      </c>
      <c r="D9" s="335">
        <f>SUM(D10+D14+D15+D16+D17+D18+D19)</f>
        <v>124433084</v>
      </c>
      <c r="E9" s="335">
        <f t="shared" ref="E9:G9" si="1">SUM(E10+E14+E15+E16+E17+E18+E19)</f>
        <v>51000665</v>
      </c>
      <c r="F9" s="335">
        <f t="shared" si="1"/>
        <v>8205470.5199999996</v>
      </c>
      <c r="G9" s="335">
        <f t="shared" si="1"/>
        <v>41091877.509999998</v>
      </c>
      <c r="H9" s="335">
        <f>SUM(H10+H14+H15+H16+H17+H18+H19)</f>
        <v>35791178.200000003</v>
      </c>
      <c r="I9" s="335">
        <f>SUM(I10+I14+I15+I16+I17+I18+I19)</f>
        <v>38960226.240000002</v>
      </c>
      <c r="J9" s="335">
        <f>+E9-G9</f>
        <v>9908787.4900000021</v>
      </c>
      <c r="K9" s="335">
        <f>+D9-G9</f>
        <v>83341206.49000001</v>
      </c>
      <c r="L9" s="336">
        <f>+'Ejecución Gastos'!L11</f>
        <v>80.571258257122736</v>
      </c>
    </row>
    <row r="10" spans="1:12" ht="15" customHeight="1" x14ac:dyDescent="0.2">
      <c r="A10" s="337" t="s">
        <v>90</v>
      </c>
      <c r="B10" s="338" t="s">
        <v>91</v>
      </c>
      <c r="C10" s="339">
        <f>SUM(C11:C13)</f>
        <v>83395405</v>
      </c>
      <c r="D10" s="339">
        <f>+D11+D12+D13</f>
        <v>82647320</v>
      </c>
      <c r="E10" s="339">
        <f>SUM(E11:E13)</f>
        <v>34561313</v>
      </c>
      <c r="F10" s="339">
        <f>SUM(F11:F13)</f>
        <v>5865251.3699999992</v>
      </c>
      <c r="G10" s="339">
        <f>SUM(G11:G13)</f>
        <v>27887817.149999999</v>
      </c>
      <c r="H10" s="181">
        <f>+H11+H12+H13</f>
        <v>27887817.149999999</v>
      </c>
      <c r="I10" s="339">
        <f>SUM(I11:I13)</f>
        <v>27887817.149999999</v>
      </c>
      <c r="J10" s="339">
        <f>+E10-G10</f>
        <v>6673495.8500000015</v>
      </c>
      <c r="K10" s="339">
        <f>+D10-G10</f>
        <v>54759502.850000001</v>
      </c>
      <c r="L10" s="340">
        <f>+'Ejecución Gastos'!L12</f>
        <v>14.245315159178125</v>
      </c>
    </row>
    <row r="11" spans="1:12" ht="15" customHeight="1" x14ac:dyDescent="0.2">
      <c r="A11" s="341" t="s">
        <v>92</v>
      </c>
      <c r="B11" s="342" t="s">
        <v>91</v>
      </c>
      <c r="C11" s="343">
        <f>+'Ejecución Gastos'!C13</f>
        <v>71073045</v>
      </c>
      <c r="D11" s="343">
        <f>+'Ejecución Gastos'!D13</f>
        <v>70040045</v>
      </c>
      <c r="E11" s="343">
        <f>+'Ejecución Gastos'!E13</f>
        <v>28360891</v>
      </c>
      <c r="F11" s="343">
        <f>+'Ejecución Gastos'!F13</f>
        <v>5175422.22</v>
      </c>
      <c r="G11" s="343">
        <f>+'Ejecución Gastos'!G13</f>
        <v>25127366.52</v>
      </c>
      <c r="H11" s="343">
        <f>+'Ejecución Gastos'!H13</f>
        <v>25127366.52</v>
      </c>
      <c r="I11" s="343">
        <f>+'Ejecución Gastos'!I13</f>
        <v>25127366.52</v>
      </c>
      <c r="J11" s="343">
        <f>+'Ejecución Gastos'!J13</f>
        <v>3233524.4800000004</v>
      </c>
      <c r="K11" s="343">
        <f>+'Ejecución Gastos'!K13</f>
        <v>44912678.480000004</v>
      </c>
      <c r="L11" s="344">
        <f>+'Ejecución Gastos'!L13</f>
        <v>88.598649880217096</v>
      </c>
    </row>
    <row r="12" spans="1:12" ht="15" customHeight="1" x14ac:dyDescent="0.2">
      <c r="A12" s="341" t="s">
        <v>93</v>
      </c>
      <c r="B12" s="342" t="s">
        <v>94</v>
      </c>
      <c r="C12" s="343">
        <f>+'Ejecución Gastos'!C14</f>
        <v>3944236</v>
      </c>
      <c r="D12" s="343">
        <f>+'Ejecución Gastos'!D14</f>
        <v>3844236</v>
      </c>
      <c r="E12" s="343">
        <f>+'Ejecución Gastos'!E14</f>
        <v>1510703</v>
      </c>
      <c r="F12" s="343">
        <f>+'Ejecución Gastos'!F14</f>
        <v>245008.3</v>
      </c>
      <c r="G12" s="343">
        <f>+'Ejecución Gastos'!G14</f>
        <v>1108806</v>
      </c>
      <c r="H12" s="343">
        <f>+'Ejecución Gastos'!H14</f>
        <v>1108806</v>
      </c>
      <c r="I12" s="343">
        <f>+'Ejecución Gastos'!I14</f>
        <v>1108806</v>
      </c>
      <c r="J12" s="343">
        <f>+'Ejecución Gastos'!J14</f>
        <v>401897</v>
      </c>
      <c r="K12" s="343">
        <f>+'Ejecución Gastos'!K14</f>
        <v>2735430</v>
      </c>
      <c r="L12" s="344">
        <f>+'Ejecución Gastos'!L14</f>
        <v>73.396690150214837</v>
      </c>
    </row>
    <row r="13" spans="1:12" ht="15" customHeight="1" x14ac:dyDescent="0.2">
      <c r="A13" s="341" t="s">
        <v>95</v>
      </c>
      <c r="B13" s="342" t="s">
        <v>96</v>
      </c>
      <c r="C13" s="343">
        <f>+'Ejecución Gastos'!C15</f>
        <v>8378124</v>
      </c>
      <c r="D13" s="343">
        <f>+'Ejecución Gastos'!D15</f>
        <v>8763039</v>
      </c>
      <c r="E13" s="343">
        <f>+'Ejecución Gastos'!E15</f>
        <v>4689719</v>
      </c>
      <c r="F13" s="343">
        <f>+'Ejecución Gastos'!F15</f>
        <v>444820.85</v>
      </c>
      <c r="G13" s="343">
        <f>+'Ejecución Gastos'!G15</f>
        <v>1651644.63</v>
      </c>
      <c r="H13" s="343">
        <f>+'Ejecución Gastos'!H15</f>
        <v>1651644.63</v>
      </c>
      <c r="I13" s="343">
        <f>+'Ejecución Gastos'!I15</f>
        <v>1651644.63</v>
      </c>
      <c r="J13" s="343">
        <f>+'Ejecución Gastos'!J15</f>
        <v>3038074.37</v>
      </c>
      <c r="K13" s="343">
        <f>+'Ejecución Gastos'!K15</f>
        <v>7111394.3700000001</v>
      </c>
      <c r="L13" s="344">
        <f>+'Ejecución Gastos'!L15</f>
        <v>35.218413512621972</v>
      </c>
    </row>
    <row r="14" spans="1:12" ht="15" customHeight="1" x14ac:dyDescent="0.2">
      <c r="A14" s="341" t="s">
        <v>97</v>
      </c>
      <c r="B14" s="342" t="s">
        <v>98</v>
      </c>
      <c r="C14" s="343">
        <f>+'Ejecución Gastos'!C16</f>
        <v>17439165</v>
      </c>
      <c r="D14" s="343">
        <f>+'Ejecución Gastos'!D16</f>
        <v>17244165</v>
      </c>
      <c r="E14" s="343">
        <f>+'Ejecución Gastos'!E16</f>
        <v>6393687</v>
      </c>
      <c r="F14" s="343">
        <f>+'Ejecución Gastos'!F16</f>
        <v>1138456.04</v>
      </c>
      <c r="G14" s="343">
        <f>+'Ejecución Gastos'!G16</f>
        <v>5688528.5600000005</v>
      </c>
      <c r="H14" s="343">
        <f>+'Ejecución Gastos'!H16</f>
        <v>5688528.5599999996</v>
      </c>
      <c r="I14" s="343">
        <f>+'Ejecución Gastos'!I16</f>
        <v>5688528.5599999996</v>
      </c>
      <c r="J14" s="343">
        <f>+'Ejecución Gastos'!J16</f>
        <v>705158.43999999948</v>
      </c>
      <c r="K14" s="343">
        <f>+'Ejecución Gastos'!K16</f>
        <v>11555636.439999999</v>
      </c>
      <c r="L14" s="344">
        <f>+'Ejecución Gastos'!L16</f>
        <v>88.971020320513034</v>
      </c>
    </row>
    <row r="15" spans="1:12" ht="15" customHeight="1" x14ac:dyDescent="0.2">
      <c r="A15" s="341" t="s">
        <v>104</v>
      </c>
      <c r="B15" s="342" t="s">
        <v>105</v>
      </c>
      <c r="C15" s="343">
        <f>+'Ejecución Gastos'!C20</f>
        <v>228000</v>
      </c>
      <c r="D15" s="343">
        <f>+'Ejecución Gastos'!D20</f>
        <v>228000</v>
      </c>
      <c r="E15" s="343">
        <f>+'Ejecución Gastos'!E20</f>
        <v>95000</v>
      </c>
      <c r="F15" s="343">
        <f>+'Ejecución Gastos'!F20</f>
        <v>17100</v>
      </c>
      <c r="G15" s="343">
        <f>+'Ejecución Gastos'!G20</f>
        <v>87850</v>
      </c>
      <c r="H15" s="343">
        <f>+'Ejecución Gastos'!H20</f>
        <v>90800</v>
      </c>
      <c r="I15" s="343">
        <f>+'Ejecución Gastos'!I20</f>
        <v>87850</v>
      </c>
      <c r="J15" s="343">
        <f>+'Ejecución Gastos'!J20</f>
        <v>7150</v>
      </c>
      <c r="K15" s="343">
        <f>+'Ejecución Gastos'!K20</f>
        <v>140150</v>
      </c>
      <c r="L15" s="344">
        <f>+'Ejecución Gastos'!L20</f>
        <v>92.473684210526315</v>
      </c>
    </row>
    <row r="16" spans="1:12" ht="15" customHeight="1" x14ac:dyDescent="0.2">
      <c r="A16" s="341" t="s">
        <v>106</v>
      </c>
      <c r="B16" s="342" t="s">
        <v>107</v>
      </c>
      <c r="C16" s="343">
        <f>+'Ejecución Gastos'!C21</f>
        <v>8407425</v>
      </c>
      <c r="D16" s="343">
        <f>+'Ejecución Gastos'!D21</f>
        <v>8120865</v>
      </c>
      <c r="E16" s="343">
        <f>+'Ejecución Gastos'!E21</f>
        <v>2515923</v>
      </c>
      <c r="F16" s="343">
        <f>+'Ejecución Gastos'!F21</f>
        <v>9673.17</v>
      </c>
      <c r="G16" s="343">
        <f>+'Ejecución Gastos'!G21</f>
        <v>2024145.9</v>
      </c>
      <c r="H16" s="343">
        <f>+'Ejecución Gastos'!H21</f>
        <v>2024145.9</v>
      </c>
      <c r="I16" s="343">
        <f>+'Ejecución Gastos'!I21</f>
        <v>2024145.9</v>
      </c>
      <c r="J16" s="343">
        <f>+'Ejecución Gastos'!J21</f>
        <v>491777.10000000009</v>
      </c>
      <c r="K16" s="343">
        <f>+'Ejecución Gastos'!K21</f>
        <v>6096719.0999999996</v>
      </c>
      <c r="L16" s="344" t="str">
        <f>+'Ejecución Gastos'!L21</f>
        <v xml:space="preserve"> </v>
      </c>
    </row>
    <row r="17" spans="1:13" ht="15" customHeight="1" x14ac:dyDescent="0.2">
      <c r="A17" s="341" t="s">
        <v>108</v>
      </c>
      <c r="B17" s="342" t="s">
        <v>109</v>
      </c>
      <c r="C17" s="343">
        <f>+'Ejecución Gastos'!C22</f>
        <v>15829734</v>
      </c>
      <c r="D17" s="343">
        <f>+'Ejecución Gastos'!D22</f>
        <v>15779734</v>
      </c>
      <c r="E17" s="343">
        <f>+'Ejecución Gastos'!E22</f>
        <v>7021742</v>
      </c>
      <c r="F17" s="343">
        <f>+'Ejecución Gastos'!F22</f>
        <v>1099818.08</v>
      </c>
      <c r="G17" s="343">
        <f>+'Ejecución Gastos'!G22</f>
        <v>5286986.99</v>
      </c>
      <c r="H17" s="343">
        <f>+'Ejecución Gastos'!H22</f>
        <v>0</v>
      </c>
      <c r="I17" s="343">
        <f>+'Ejecución Gastos'!I22</f>
        <v>3165722.6999999997</v>
      </c>
      <c r="J17" s="343">
        <f>+'Ejecución Gastos'!J22</f>
        <v>1734755.0099999998</v>
      </c>
      <c r="K17" s="343">
        <f>+'Ejecución Gastos'!K22</f>
        <v>10492747.01</v>
      </c>
      <c r="L17" s="344">
        <f>+'Ejecución Gastos'!L22</f>
        <v>75.294520789855284</v>
      </c>
    </row>
    <row r="18" spans="1:13" ht="15" customHeight="1" x14ac:dyDescent="0.2">
      <c r="A18" s="341" t="s">
        <v>118</v>
      </c>
      <c r="B18" s="342" t="s">
        <v>119</v>
      </c>
      <c r="C18" s="343">
        <f>+'Ejecución Gastos'!C27</f>
        <v>0</v>
      </c>
      <c r="D18" s="343">
        <v>0</v>
      </c>
      <c r="E18" s="343">
        <f>+'Ejecución Gastos'!E27</f>
        <v>0</v>
      </c>
      <c r="F18" s="343">
        <f>+'Ejecución Gastos'!F27</f>
        <v>0</v>
      </c>
      <c r="G18" s="343">
        <f>+'Ejecución Gastos'!G27</f>
        <v>0</v>
      </c>
      <c r="H18" s="343">
        <f>+'Ejecución Gastos'!H23</f>
        <v>0</v>
      </c>
      <c r="I18" s="343">
        <f>+'Ejecución Gastos'!I27</f>
        <v>0</v>
      </c>
      <c r="J18" s="343">
        <f>+'Ejecución Gastos'!J27</f>
        <v>0</v>
      </c>
      <c r="K18" s="343" t="e">
        <f>+'Ejecución Gastos'!K27</f>
        <v>#REF!</v>
      </c>
      <c r="L18" s="344">
        <f>+'Ejecución Gastos'!L27</f>
        <v>0</v>
      </c>
    </row>
    <row r="19" spans="1:13" ht="12" customHeight="1" x14ac:dyDescent="0.2">
      <c r="A19" s="341" t="s">
        <v>120</v>
      </c>
      <c r="B19" s="342" t="s">
        <v>121</v>
      </c>
      <c r="C19" s="343">
        <f>+'Ejecución Gastos'!C29</f>
        <v>0</v>
      </c>
      <c r="D19" s="343">
        <f>+'Ejecución Gastos'!D29</f>
        <v>413000</v>
      </c>
      <c r="E19" s="343">
        <f>+'Ejecución Gastos'!E29</f>
        <v>413000</v>
      </c>
      <c r="F19" s="343">
        <f>+'Ejecución Gastos'!F29</f>
        <v>75171.86</v>
      </c>
      <c r="G19" s="343">
        <f>+'Ejecución Gastos'!G29</f>
        <v>116548.91</v>
      </c>
      <c r="H19" s="343">
        <f>+'Ejecución Gastos'!H29</f>
        <v>99886.59</v>
      </c>
      <c r="I19" s="343">
        <f>+'Ejecución Gastos'!I29</f>
        <v>106161.93</v>
      </c>
      <c r="J19" s="343">
        <f>+'Ejecución Gastos'!J29</f>
        <v>296451.08999999997</v>
      </c>
      <c r="K19" s="343">
        <f>+'Ejecución Gastos'!K29</f>
        <v>296451.08999999997</v>
      </c>
      <c r="L19" s="344">
        <f>+'Ejecución Gastos'!L24</f>
        <v>77.479060804409613</v>
      </c>
    </row>
    <row r="20" spans="1:13" ht="8.25" customHeight="1" x14ac:dyDescent="0.2">
      <c r="A20" s="341"/>
      <c r="B20" s="342"/>
      <c r="C20" s="343"/>
      <c r="D20" s="343"/>
      <c r="E20" s="343"/>
      <c r="F20" s="343"/>
      <c r="G20" s="343"/>
      <c r="H20" s="345"/>
      <c r="I20" s="343"/>
      <c r="J20" s="343"/>
      <c r="K20" s="343"/>
      <c r="L20" s="344"/>
    </row>
    <row r="21" spans="1:13" ht="19.899999999999999" customHeight="1" x14ac:dyDescent="0.2">
      <c r="A21" s="346" t="s">
        <v>125</v>
      </c>
      <c r="B21" s="347" t="s">
        <v>126</v>
      </c>
      <c r="C21" s="348">
        <f>SUM(C22:C31)</f>
        <v>7293008</v>
      </c>
      <c r="D21" s="348">
        <f>D22+D23+D24++D25+D26+D28+D29+D30+D31+D27</f>
        <v>6835043</v>
      </c>
      <c r="E21" s="348">
        <f>SUM(E22:E31)</f>
        <v>5157317</v>
      </c>
      <c r="F21" s="348">
        <f>F22+F23+F24++F25+F26+F28+F29+F30+F31+F27</f>
        <v>707010.93</v>
      </c>
      <c r="G21" s="348">
        <f>G22+G23+G24++G25+G26+G28+G29+G30+G31+G27</f>
        <v>2627137.1199999996</v>
      </c>
      <c r="H21" s="349">
        <f>SUM(H22:H31)</f>
        <v>1679451.0099999998</v>
      </c>
      <c r="I21" s="348">
        <f>I22+I23+I24++I25+I26+I28+I29+I30+I31+I27</f>
        <v>1420006.6300000001</v>
      </c>
      <c r="J21" s="348">
        <f t="shared" ref="J21:J31" si="2">+E21-G21</f>
        <v>2530179.8800000004</v>
      </c>
      <c r="K21" s="348">
        <f t="shared" ref="K21:K31" si="3">+D21-G21</f>
        <v>4207905.8800000008</v>
      </c>
      <c r="L21" s="350">
        <f t="shared" ref="L21:L31" si="4">+G21*100/E21</f>
        <v>50.939996901489664</v>
      </c>
      <c r="M21" s="1"/>
    </row>
    <row r="22" spans="1:13" ht="15" customHeight="1" x14ac:dyDescent="0.2">
      <c r="A22" s="341">
        <v>100</v>
      </c>
      <c r="B22" s="342" t="s">
        <v>127</v>
      </c>
      <c r="C22" s="343">
        <f>+'Ejecución Gastos'!C38</f>
        <v>151437</v>
      </c>
      <c r="D22" s="343">
        <f>+'Ejecución Gastos'!D38</f>
        <v>123337</v>
      </c>
      <c r="E22" s="343">
        <f>+'Ejecución Gastos'!E38</f>
        <v>109337</v>
      </c>
      <c r="F22" s="343">
        <f>+'Ejecución Gastos'!F38</f>
        <v>21252.35</v>
      </c>
      <c r="G22" s="343">
        <f>+'Ejecución Gastos'!G38</f>
        <v>41097.97</v>
      </c>
      <c r="H22" s="343">
        <f>+'Ejecución Gastos'!H38</f>
        <v>9324.7799999999988</v>
      </c>
      <c r="I22" s="343">
        <f>+'Ejecución Gastos'!I38</f>
        <v>9560.98</v>
      </c>
      <c r="J22" s="343">
        <f t="shared" si="2"/>
        <v>68239.03</v>
      </c>
      <c r="K22" s="343">
        <f t="shared" si="3"/>
        <v>82239.03</v>
      </c>
      <c r="L22" s="351">
        <f t="shared" si="4"/>
        <v>37.588346122538574</v>
      </c>
    </row>
    <row r="23" spans="1:13" ht="15" customHeight="1" x14ac:dyDescent="0.2">
      <c r="A23" s="352" t="s">
        <v>140</v>
      </c>
      <c r="B23" s="343" t="s">
        <v>141</v>
      </c>
      <c r="C23" s="343">
        <f>+'Ejecución Gastos'!C45</f>
        <v>2652943</v>
      </c>
      <c r="D23" s="343">
        <f>+'Ejecución Gastos'!D45</f>
        <v>3365443</v>
      </c>
      <c r="E23" s="343">
        <f>+'Ejecución Gastos'!E45</f>
        <v>2022705</v>
      </c>
      <c r="F23" s="343">
        <f>+'Ejecución Gastos'!F45</f>
        <v>568735.96</v>
      </c>
      <c r="G23" s="343">
        <f>+'Ejecución Gastos'!G45</f>
        <v>1745258.02</v>
      </c>
      <c r="H23" s="343">
        <f>+'Ejecución Gastos'!H45</f>
        <v>1330614.2</v>
      </c>
      <c r="I23" s="343">
        <f>+'Ejecución Gastos'!I45</f>
        <v>1124704.04</v>
      </c>
      <c r="J23" s="343">
        <f t="shared" si="2"/>
        <v>277446.98</v>
      </c>
      <c r="K23" s="343">
        <f t="shared" si="3"/>
        <v>1620184.98</v>
      </c>
      <c r="L23" s="351">
        <f t="shared" si="4"/>
        <v>86.283369052827766</v>
      </c>
    </row>
    <row r="24" spans="1:13" ht="15" customHeight="1" x14ac:dyDescent="0.2">
      <c r="A24" s="352" t="s">
        <v>152</v>
      </c>
      <c r="B24" s="343" t="s">
        <v>153</v>
      </c>
      <c r="C24" s="343">
        <f>+'Ejecución Gastos'!C54</f>
        <v>87500</v>
      </c>
      <c r="D24" s="343">
        <f>+'Ejecución Gastos'!D54</f>
        <v>18900</v>
      </c>
      <c r="E24" s="343">
        <f>+'Ejecución Gastos'!E54</f>
        <v>18900</v>
      </c>
      <c r="F24" s="343">
        <f>+'Ejecución Gastos'!F54</f>
        <v>258.92</v>
      </c>
      <c r="G24" s="343">
        <f>+'Ejecución Gastos'!G54</f>
        <v>9280.89</v>
      </c>
      <c r="H24" s="343">
        <f>+'Ejecución Gastos'!H54</f>
        <v>8043.78</v>
      </c>
      <c r="I24" s="343">
        <f>+'Ejecución Gastos'!I54</f>
        <v>8043.78</v>
      </c>
      <c r="J24" s="343">
        <f t="shared" si="2"/>
        <v>9619.11</v>
      </c>
      <c r="K24" s="343">
        <f t="shared" si="3"/>
        <v>9619.11</v>
      </c>
      <c r="L24" s="351">
        <f t="shared" si="4"/>
        <v>49.105238095238093</v>
      </c>
    </row>
    <row r="25" spans="1:13" ht="15" customHeight="1" x14ac:dyDescent="0.2">
      <c r="A25" s="352" t="s">
        <v>154</v>
      </c>
      <c r="B25" s="343" t="s">
        <v>155</v>
      </c>
      <c r="C25" s="343">
        <f>+'Ejecución Gastos'!C55</f>
        <v>163284</v>
      </c>
      <c r="D25" s="343">
        <f>+'Ejecución Gastos'!D55</f>
        <v>37184</v>
      </c>
      <c r="E25" s="343">
        <f>+'Ejecución Gastos'!E55</f>
        <v>37184</v>
      </c>
      <c r="F25" s="343">
        <f>+'Ejecución Gastos'!F55</f>
        <v>0</v>
      </c>
      <c r="G25" s="343">
        <f>+'Ejecución Gastos'!G55</f>
        <v>6072.68</v>
      </c>
      <c r="H25" s="343">
        <f>+'Ejecución Gastos'!H55</f>
        <v>4828</v>
      </c>
      <c r="I25" s="343">
        <f>+'Ejecución Gastos'!I55</f>
        <v>3602.91</v>
      </c>
      <c r="J25" s="343">
        <f t="shared" si="2"/>
        <v>31111.32</v>
      </c>
      <c r="K25" s="343">
        <f t="shared" si="3"/>
        <v>31111.32</v>
      </c>
      <c r="L25" s="351">
        <f t="shared" si="4"/>
        <v>16.331432874354562</v>
      </c>
    </row>
    <row r="26" spans="1:13" ht="15" customHeight="1" x14ac:dyDescent="0.2">
      <c r="A26" s="352" t="s">
        <v>158</v>
      </c>
      <c r="B26" s="343" t="s">
        <v>159</v>
      </c>
      <c r="C26" s="343">
        <f>+'Ejecución Gastos'!C58</f>
        <v>981486</v>
      </c>
      <c r="D26" s="343">
        <f>+'Ejecución Gastos'!D58</f>
        <v>386836</v>
      </c>
      <c r="E26" s="343">
        <f>+'Ejecución Gastos'!E58</f>
        <v>305919</v>
      </c>
      <c r="F26" s="343">
        <f>+'Ejecución Gastos'!F58</f>
        <v>12981</v>
      </c>
      <c r="G26" s="343">
        <f>+'Ejecución Gastos'!G58</f>
        <v>112668</v>
      </c>
      <c r="H26" s="343">
        <f>+'Ejecución Gastos'!H58</f>
        <v>112668</v>
      </c>
      <c r="I26" s="343">
        <f>+'Ejecución Gastos'!I58</f>
        <v>111468</v>
      </c>
      <c r="J26" s="343">
        <f t="shared" si="2"/>
        <v>193251</v>
      </c>
      <c r="K26" s="343">
        <f t="shared" si="3"/>
        <v>274168</v>
      </c>
      <c r="L26" s="351">
        <f t="shared" si="4"/>
        <v>36.829356790522979</v>
      </c>
    </row>
    <row r="27" spans="1:13" ht="15" customHeight="1" x14ac:dyDescent="0.2">
      <c r="A27" s="352" t="s">
        <v>165</v>
      </c>
      <c r="B27" s="343" t="s">
        <v>166</v>
      </c>
      <c r="C27" s="343">
        <f>+'Ejecución Gastos'!C62</f>
        <v>448811</v>
      </c>
      <c r="D27" s="343">
        <f>+'Ejecución Gastos'!D62</f>
        <v>285511</v>
      </c>
      <c r="E27" s="343">
        <f>+'Ejecución Gastos'!E62</f>
        <v>200240</v>
      </c>
      <c r="F27" s="343">
        <f>+'Ejecución Gastos'!F62</f>
        <v>4998.51</v>
      </c>
      <c r="G27" s="343">
        <f>+'Ejecución Gastos'!G62</f>
        <v>28738.199999999997</v>
      </c>
      <c r="H27" s="343">
        <f>+'Ejecución Gastos'!H62</f>
        <v>20788.21</v>
      </c>
      <c r="I27" s="343">
        <f>+'Ejecución Gastos'!I62</f>
        <v>18764.850000000002</v>
      </c>
      <c r="J27" s="343">
        <f t="shared" si="2"/>
        <v>171501.8</v>
      </c>
      <c r="K27" s="343">
        <f t="shared" si="3"/>
        <v>256772.8</v>
      </c>
      <c r="L27" s="351">
        <f t="shared" si="4"/>
        <v>14.351877746703954</v>
      </c>
    </row>
    <row r="28" spans="1:13" ht="15" customHeight="1" x14ac:dyDescent="0.2">
      <c r="A28" s="341">
        <v>160</v>
      </c>
      <c r="B28" s="343" t="s">
        <v>171</v>
      </c>
      <c r="C28" s="343">
        <f>+'Ejecución Gastos'!C67</f>
        <v>1492093</v>
      </c>
      <c r="D28" s="343">
        <f>+'Ejecución Gastos'!D67</f>
        <v>1543893</v>
      </c>
      <c r="E28" s="343">
        <f>+'Ejecución Gastos'!E67</f>
        <v>1517716</v>
      </c>
      <c r="F28" s="343">
        <f>+'Ejecución Gastos'!F67</f>
        <v>42329.75</v>
      </c>
      <c r="G28" s="343">
        <f>+'Ejecución Gastos'!G67</f>
        <v>397913.26</v>
      </c>
      <c r="H28" s="343">
        <f>+'Ejecución Gastos'!H67</f>
        <v>103094.52</v>
      </c>
      <c r="I28" s="343">
        <f>+'Ejecución Gastos'!I67</f>
        <v>94680.77</v>
      </c>
      <c r="J28" s="343">
        <f t="shared" si="2"/>
        <v>1119802.74</v>
      </c>
      <c r="K28" s="343">
        <f t="shared" si="3"/>
        <v>1145979.74</v>
      </c>
      <c r="L28" s="351">
        <f t="shared" si="4"/>
        <v>26.217899791528851</v>
      </c>
    </row>
    <row r="29" spans="1:13" ht="15" customHeight="1" x14ac:dyDescent="0.2">
      <c r="A29" s="353">
        <v>170</v>
      </c>
      <c r="B29" s="354" t="s">
        <v>339</v>
      </c>
      <c r="C29" s="343">
        <f>+'Ejecución Gastos'!C73</f>
        <v>305833</v>
      </c>
      <c r="D29" s="343">
        <f>+'Ejecución Gastos'!D73</f>
        <v>207478</v>
      </c>
      <c r="E29" s="343">
        <f>+'Ejecución Gastos'!E73</f>
        <v>78855</v>
      </c>
      <c r="F29" s="343">
        <f>+'Ejecución Gastos'!F73</f>
        <v>5017</v>
      </c>
      <c r="G29" s="343">
        <f>+'Ejecución Gastos'!G73</f>
        <v>24917.760000000002</v>
      </c>
      <c r="H29" s="343">
        <f>+'Ejecución Gastos'!H73</f>
        <v>24917.759999999998</v>
      </c>
      <c r="I29" s="343">
        <f>+'Ejecución Gastos'!I73</f>
        <v>10335.75</v>
      </c>
      <c r="J29" s="343">
        <f t="shared" si="2"/>
        <v>53937.24</v>
      </c>
      <c r="K29" s="343">
        <f t="shared" si="3"/>
        <v>182560.24</v>
      </c>
      <c r="L29" s="351">
        <f t="shared" si="4"/>
        <v>31.599467376830891</v>
      </c>
    </row>
    <row r="30" spans="1:13" ht="15.75" customHeight="1" x14ac:dyDescent="0.2">
      <c r="A30" s="352" t="s">
        <v>179</v>
      </c>
      <c r="B30" s="342" t="s">
        <v>180</v>
      </c>
      <c r="C30" s="343">
        <f>+'Ejecución Gastos'!C76</f>
        <v>1009621</v>
      </c>
      <c r="D30" s="343">
        <f>+'Ejecución Gastos'!D76</f>
        <v>760921</v>
      </c>
      <c r="E30" s="343">
        <f>+'Ejecución Gastos'!E76</f>
        <v>760921</v>
      </c>
      <c r="F30" s="343">
        <f>+'Ejecución Gastos'!F76</f>
        <v>23950.78</v>
      </c>
      <c r="G30" s="343">
        <f>+'Ejecución Gastos'!G76</f>
        <v>221049.82</v>
      </c>
      <c r="H30" s="343">
        <f>+'Ejecución Gastos'!H76</f>
        <v>44021.380000000005</v>
      </c>
      <c r="I30" s="343">
        <f>+'Ejecución Gastos'!I76</f>
        <v>26208</v>
      </c>
      <c r="J30" s="343">
        <f t="shared" si="2"/>
        <v>539871.17999999993</v>
      </c>
      <c r="K30" s="343">
        <f t="shared" si="3"/>
        <v>539871.17999999993</v>
      </c>
      <c r="L30" s="351">
        <f t="shared" si="4"/>
        <v>29.050298256980685</v>
      </c>
    </row>
    <row r="31" spans="1:13" ht="15" customHeight="1" x14ac:dyDescent="0.2">
      <c r="A31" s="355">
        <v>190</v>
      </c>
      <c r="B31" s="342" t="s">
        <v>184</v>
      </c>
      <c r="C31" s="343">
        <f>+'Ejecución Gastos'!C83</f>
        <v>0</v>
      </c>
      <c r="D31" s="343">
        <f>+'Ejecución Gastos'!D83</f>
        <v>105540</v>
      </c>
      <c r="E31" s="343">
        <f>+'Ejecución Gastos'!E83</f>
        <v>105540</v>
      </c>
      <c r="F31" s="343">
        <f>+'Ejecución Gastos'!F83</f>
        <v>27486.659999999996</v>
      </c>
      <c r="G31" s="343">
        <f>+'Ejecución Gastos'!G83</f>
        <v>40140.519999999997</v>
      </c>
      <c r="H31" s="343">
        <f>+'Ejecución Gastos'!H83</f>
        <v>21150.38</v>
      </c>
      <c r="I31" s="343">
        <f>+'Ejecución Gastos'!I83</f>
        <v>12637.550000000001</v>
      </c>
      <c r="J31" s="343">
        <f t="shared" si="2"/>
        <v>65399.48</v>
      </c>
      <c r="K31" s="343">
        <f t="shared" si="3"/>
        <v>65399.48</v>
      </c>
      <c r="L31" s="351">
        <f t="shared" si="4"/>
        <v>38.033465984460861</v>
      </c>
    </row>
    <row r="32" spans="1:13" ht="15" customHeight="1" x14ac:dyDescent="0.2">
      <c r="A32" s="341" t="s">
        <v>6</v>
      </c>
      <c r="B32" s="342"/>
      <c r="C32" s="343"/>
      <c r="D32" s="343"/>
      <c r="E32" s="343"/>
      <c r="F32" s="343"/>
      <c r="G32" s="343"/>
      <c r="H32" s="345"/>
      <c r="I32" s="343"/>
      <c r="J32" s="343"/>
      <c r="K32" s="343"/>
      <c r="L32" s="351"/>
    </row>
    <row r="33" spans="1:12" ht="19.899999999999999" customHeight="1" x14ac:dyDescent="0.2">
      <c r="A33" s="333" t="s">
        <v>185</v>
      </c>
      <c r="B33" s="334" t="s">
        <v>186</v>
      </c>
      <c r="C33" s="335">
        <f>+C34+C35+C36+C37+C38+C39+C40+C41+C42+C43</f>
        <v>3042561</v>
      </c>
      <c r="D33" s="335">
        <f>SUM(D34:D43)</f>
        <v>3809121</v>
      </c>
      <c r="E33" s="348">
        <f>SUM(E34:E43)</f>
        <v>3669233</v>
      </c>
      <c r="F33" s="335">
        <f>+F34+F35+F36+F37+F38+F39+F40+F41+F42+F43</f>
        <v>465970</v>
      </c>
      <c r="G33" s="335">
        <f>SUM(G34:G43)</f>
        <v>1561810.4400000002</v>
      </c>
      <c r="H33" s="348">
        <f>SUM(H34:H43)</f>
        <v>674806.27</v>
      </c>
      <c r="I33" s="335">
        <f>+I34+I35+I36+I37+I38+I39+I40+I41+I42+I43+1</f>
        <v>582906.22</v>
      </c>
      <c r="J33" s="335">
        <f>+E33-G33</f>
        <v>2107422.5599999996</v>
      </c>
      <c r="K33" s="335">
        <f t="shared" ref="K33:K43" si="5">+D33-G33</f>
        <v>2247310.5599999996</v>
      </c>
      <c r="L33" s="356">
        <f t="shared" ref="L33:L43" si="6">+G33*100/E33</f>
        <v>42.565038524400066</v>
      </c>
    </row>
    <row r="34" spans="1:12" ht="15" customHeight="1" x14ac:dyDescent="0.2">
      <c r="A34" s="341" t="s">
        <v>187</v>
      </c>
      <c r="B34" s="342" t="s">
        <v>188</v>
      </c>
      <c r="C34" s="343">
        <f>+'Ejecución Gastos'!C95</f>
        <v>185018</v>
      </c>
      <c r="D34" s="343">
        <f>+'Ejecución Gastos'!D95</f>
        <v>95018</v>
      </c>
      <c r="E34" s="343">
        <f>+'Ejecución Gastos'!E95</f>
        <v>95018</v>
      </c>
      <c r="F34" s="343">
        <f>+'Ejecución Gastos'!F95</f>
        <v>1706.84</v>
      </c>
      <c r="G34" s="343">
        <f>+'Ejecución Gastos'!G95</f>
        <v>19547.41</v>
      </c>
      <c r="H34" s="343">
        <f>+'Ejecución Gastos'!H95</f>
        <v>18408.86</v>
      </c>
      <c r="I34" s="343">
        <f>+'Ejecución Gastos'!I95</f>
        <v>16194.32</v>
      </c>
      <c r="J34" s="343">
        <f>+'Ejecución Gastos'!J95</f>
        <v>75470.59</v>
      </c>
      <c r="K34" s="343">
        <f t="shared" si="5"/>
        <v>75470.59</v>
      </c>
      <c r="L34" s="351">
        <f t="shared" si="6"/>
        <v>20.572323138773704</v>
      </c>
    </row>
    <row r="35" spans="1:12" ht="15" customHeight="1" x14ac:dyDescent="0.2">
      <c r="A35" s="352" t="s">
        <v>193</v>
      </c>
      <c r="B35" s="343" t="s">
        <v>194</v>
      </c>
      <c r="C35" s="343">
        <f>+'Ejecución Gastos'!C98</f>
        <v>196410</v>
      </c>
      <c r="D35" s="343">
        <f>+'Ejecución Gastos'!D98</f>
        <v>369010</v>
      </c>
      <c r="E35" s="343">
        <f>+'Ejecución Gastos'!E98</f>
        <v>369010</v>
      </c>
      <c r="F35" s="343">
        <f>+'Ejecución Gastos'!F98</f>
        <v>25747.4</v>
      </c>
      <c r="G35" s="343">
        <f>+'Ejecución Gastos'!G98</f>
        <v>58382.45</v>
      </c>
      <c r="H35" s="343">
        <f>+'Ejecución Gastos'!H98</f>
        <v>37335.240000000005</v>
      </c>
      <c r="I35" s="343">
        <f>+'Ejecución Gastos'!I98</f>
        <v>30888.280000000002</v>
      </c>
      <c r="J35" s="343">
        <f>+'Ejecución Gastos'!J98</f>
        <v>310627.55</v>
      </c>
      <c r="K35" s="343">
        <f t="shared" si="5"/>
        <v>310627.55</v>
      </c>
      <c r="L35" s="351">
        <f t="shared" si="6"/>
        <v>15.821373404514782</v>
      </c>
    </row>
    <row r="36" spans="1:12" ht="15" customHeight="1" x14ac:dyDescent="0.2">
      <c r="A36" s="352" t="s">
        <v>205</v>
      </c>
      <c r="B36" s="343" t="s">
        <v>206</v>
      </c>
      <c r="C36" s="343">
        <f>+'Ejecución Gastos'!C104</f>
        <v>361282</v>
      </c>
      <c r="D36" s="343">
        <f>+'Ejecución Gastos'!D104</f>
        <v>428582</v>
      </c>
      <c r="E36" s="343">
        <f>+'Ejecución Gastos'!E104</f>
        <v>428582</v>
      </c>
      <c r="F36" s="343">
        <f>+'Ejecución Gastos'!F104</f>
        <v>65329.820000000007</v>
      </c>
      <c r="G36" s="343">
        <f>+'Ejecución Gastos'!G104</f>
        <v>193469.36</v>
      </c>
      <c r="H36" s="343">
        <f>+'Ejecución Gastos'!H104</f>
        <v>75985.100000000006</v>
      </c>
      <c r="I36" s="343">
        <f>+'Ejecución Gastos'!I104</f>
        <v>48634.22</v>
      </c>
      <c r="J36" s="343">
        <f>+'Ejecución Gastos'!J104</f>
        <v>235112.64</v>
      </c>
      <c r="K36" s="343">
        <f t="shared" si="5"/>
        <v>235112.64</v>
      </c>
      <c r="L36" s="351">
        <f t="shared" si="6"/>
        <v>45.141737170483125</v>
      </c>
    </row>
    <row r="37" spans="1:12" ht="15" customHeight="1" x14ac:dyDescent="0.2">
      <c r="A37" s="352" t="s">
        <v>214</v>
      </c>
      <c r="B37" s="343" t="s">
        <v>215</v>
      </c>
      <c r="C37" s="343">
        <f>+'Ejecución Gastos'!C110</f>
        <v>249812</v>
      </c>
      <c r="D37" s="343">
        <f>+'Ejecución Gastos'!D110</f>
        <v>148812</v>
      </c>
      <c r="E37" s="343">
        <f>+'Ejecución Gastos'!E110</f>
        <v>122430</v>
      </c>
      <c r="F37" s="343">
        <f>+'Ejecución Gastos'!F110</f>
        <v>5343.1</v>
      </c>
      <c r="G37" s="343">
        <f>+'Ejecución Gastos'!G110</f>
        <v>40803.379999999997</v>
      </c>
      <c r="H37" s="343">
        <f>+'Ejecución Gastos'!H110</f>
        <v>30749.870000000003</v>
      </c>
      <c r="I37" s="343">
        <f>+'Ejecución Gastos'!I110</f>
        <v>23452.38</v>
      </c>
      <c r="J37" s="343">
        <f>+'Ejecución Gastos'!J110</f>
        <v>81626.62</v>
      </c>
      <c r="K37" s="343">
        <f t="shared" si="5"/>
        <v>108008.62</v>
      </c>
      <c r="L37" s="351">
        <f t="shared" si="6"/>
        <v>33.327926161888421</v>
      </c>
    </row>
    <row r="38" spans="1:12" ht="15" customHeight="1" x14ac:dyDescent="0.2">
      <c r="A38" s="352" t="s">
        <v>222</v>
      </c>
      <c r="B38" s="343" t="s">
        <v>223</v>
      </c>
      <c r="C38" s="343">
        <f>+'Ejecución Gastos'!C114</f>
        <v>258848</v>
      </c>
      <c r="D38" s="343">
        <f>+'Ejecución Gastos'!D114</f>
        <v>224248</v>
      </c>
      <c r="E38" s="343">
        <f>+'Ejecución Gastos'!E114</f>
        <v>210211</v>
      </c>
      <c r="F38" s="343">
        <f>+'Ejecución Gastos'!F114</f>
        <v>20638.93</v>
      </c>
      <c r="G38" s="343">
        <f>+'Ejecución Gastos'!G114</f>
        <v>71411.5</v>
      </c>
      <c r="H38" s="343">
        <f>+'Ejecución Gastos'!H114</f>
        <v>27275.73</v>
      </c>
      <c r="I38" s="343">
        <f>+'Ejecución Gastos'!I114</f>
        <v>14931.67</v>
      </c>
      <c r="J38" s="343">
        <f>+'Ejecución Gastos'!J114</f>
        <v>138799.5</v>
      </c>
      <c r="K38" s="343">
        <f t="shared" si="5"/>
        <v>152836.5</v>
      </c>
      <c r="L38" s="351">
        <f t="shared" si="6"/>
        <v>33.971343079096719</v>
      </c>
    </row>
    <row r="39" spans="1:12" ht="15" customHeight="1" x14ac:dyDescent="0.2">
      <c r="A39" s="352" t="s">
        <v>234</v>
      </c>
      <c r="B39" s="343" t="s">
        <v>235</v>
      </c>
      <c r="C39" s="343">
        <f>+'Ejecución Gastos'!C120</f>
        <v>277892</v>
      </c>
      <c r="D39" s="343">
        <f>+'Ejecución Gastos'!D120</f>
        <v>649412</v>
      </c>
      <c r="E39" s="343">
        <f>+'Ejecución Gastos'!E120</f>
        <v>623593</v>
      </c>
      <c r="F39" s="343">
        <f>+'Ejecución Gastos'!F120</f>
        <v>127753.86</v>
      </c>
      <c r="G39" s="343">
        <f>+'Ejecución Gastos'!G120</f>
        <v>234718.03</v>
      </c>
      <c r="H39" s="343">
        <f>+'Ejecución Gastos'!H120</f>
        <v>120462.73</v>
      </c>
      <c r="I39" s="343">
        <f>+'Ejecución Gastos'!I120</f>
        <v>57750.070000000007</v>
      </c>
      <c r="J39" s="343">
        <f>+'Ejecución Gastos'!J120</f>
        <v>388874.97</v>
      </c>
      <c r="K39" s="343">
        <f t="shared" si="5"/>
        <v>414693.97</v>
      </c>
      <c r="L39" s="351">
        <f t="shared" si="6"/>
        <v>37.639619110541652</v>
      </c>
    </row>
    <row r="40" spans="1:12" ht="15" customHeight="1" x14ac:dyDescent="0.2">
      <c r="A40" s="352" t="s">
        <v>248</v>
      </c>
      <c r="B40" s="343" t="s">
        <v>249</v>
      </c>
      <c r="C40" s="343">
        <f>+'Ejecución Gastos'!C128</f>
        <v>475695</v>
      </c>
      <c r="D40" s="343">
        <f>+'Ejecución Gastos'!D128</f>
        <v>564295</v>
      </c>
      <c r="E40" s="343">
        <f>+'Ejecución Gastos'!E128</f>
        <v>564295</v>
      </c>
      <c r="F40" s="343">
        <f>+'Ejecución Gastos'!F128</f>
        <v>80318.77</v>
      </c>
      <c r="G40" s="343">
        <f>+'Ejecución Gastos'!G128</f>
        <v>275191.44</v>
      </c>
      <c r="H40" s="343">
        <f>+'Ejecución Gastos'!H128</f>
        <v>103712.87</v>
      </c>
      <c r="I40" s="343">
        <f>+'Ejecución Gastos'!I128</f>
        <v>80279.12</v>
      </c>
      <c r="J40" s="343">
        <f>+'Ejecución Gastos'!J128</f>
        <v>289103.56</v>
      </c>
      <c r="K40" s="343">
        <f t="shared" si="5"/>
        <v>289103.56</v>
      </c>
      <c r="L40" s="351">
        <f t="shared" si="6"/>
        <v>48.767300791252801</v>
      </c>
    </row>
    <row r="41" spans="1:12" ht="15" customHeight="1" x14ac:dyDescent="0.2">
      <c r="A41" s="352" t="s">
        <v>255</v>
      </c>
      <c r="B41" s="343" t="s">
        <v>256</v>
      </c>
      <c r="C41" s="343">
        <f>+'Ejecución Gastos'!C134</f>
        <v>829295</v>
      </c>
      <c r="D41" s="343">
        <f>+'Ejecución Gastos'!D134</f>
        <v>580895</v>
      </c>
      <c r="E41" s="343">
        <f>+'Ejecución Gastos'!E134</f>
        <v>507245</v>
      </c>
      <c r="F41" s="343">
        <f>+'Ejecución Gastos'!F134</f>
        <v>31838.160000000003</v>
      </c>
      <c r="G41" s="343">
        <f>+'Ejecución Gastos'!G134</f>
        <v>230333.79</v>
      </c>
      <c r="H41" s="343">
        <f>+'Ejecución Gastos'!H134</f>
        <v>158479.35999999999</v>
      </c>
      <c r="I41" s="343">
        <f>+'Ejecución Gastos'!I134-1</f>
        <v>116891.7</v>
      </c>
      <c r="J41" s="343">
        <f>+'Ejecución Gastos'!J134</f>
        <v>276911.20999999996</v>
      </c>
      <c r="K41" s="343">
        <f t="shared" si="5"/>
        <v>350561.20999999996</v>
      </c>
      <c r="L41" s="351">
        <f t="shared" si="6"/>
        <v>45.408784709558496</v>
      </c>
    </row>
    <row r="42" spans="1:12" ht="15.75" customHeight="1" x14ac:dyDescent="0.2">
      <c r="A42" s="352" t="s">
        <v>271</v>
      </c>
      <c r="B42" s="343" t="s">
        <v>272</v>
      </c>
      <c r="C42" s="343">
        <f>+'Ejecución Gastos'!C143</f>
        <v>208309</v>
      </c>
      <c r="D42" s="343">
        <f>+'Ejecución Gastos'!D143</f>
        <v>256309</v>
      </c>
      <c r="E42" s="343">
        <f>+'Ejecución Gastos'!E143</f>
        <v>256309</v>
      </c>
      <c r="F42" s="343">
        <f>+'Ejecución Gastos'!F143</f>
        <v>40993.230000000003</v>
      </c>
      <c r="G42" s="343">
        <f>+'Ejecución Gastos'!G143</f>
        <v>151386</v>
      </c>
      <c r="H42" s="343">
        <f>+'Ejecución Gastos'!H143</f>
        <v>70246.53</v>
      </c>
      <c r="I42" s="343">
        <f>+'Ejecución Gastos'!I143</f>
        <v>58471.85</v>
      </c>
      <c r="J42" s="343">
        <f>+'Ejecución Gastos'!J143</f>
        <v>104923</v>
      </c>
      <c r="K42" s="343">
        <f t="shared" si="5"/>
        <v>104923</v>
      </c>
      <c r="L42" s="351">
        <f t="shared" si="6"/>
        <v>59.063864320019974</v>
      </c>
    </row>
    <row r="43" spans="1:12" ht="16.5" customHeight="1" x14ac:dyDescent="0.2">
      <c r="A43" s="341">
        <v>290</v>
      </c>
      <c r="B43" s="343" t="s">
        <v>273</v>
      </c>
      <c r="C43" s="343">
        <f>+'Ejecución Gastos'!C144</f>
        <v>0</v>
      </c>
      <c r="D43" s="343">
        <f>+'Ejecución Gastos'!D144</f>
        <v>492540</v>
      </c>
      <c r="E43" s="343">
        <f>+'Ejecución Gastos'!E144</f>
        <v>492540</v>
      </c>
      <c r="F43" s="343">
        <f>+'Ejecución Gastos'!F144</f>
        <v>66299.890000000014</v>
      </c>
      <c r="G43" s="343">
        <f>+'Ejecución Gastos'!G144</f>
        <v>286567.08</v>
      </c>
      <c r="H43" s="343">
        <f>+'Ejecución Gastos'!H144</f>
        <v>32149.979999999996</v>
      </c>
      <c r="I43" s="343">
        <f>+'Ejecución Gastos'!I144</f>
        <v>135411.60999999999</v>
      </c>
      <c r="J43" s="343">
        <f>+E43-G43</f>
        <v>205972.91999999998</v>
      </c>
      <c r="K43" s="343">
        <f t="shared" si="5"/>
        <v>205972.91999999998</v>
      </c>
      <c r="L43" s="351">
        <f t="shared" si="6"/>
        <v>58.181483737361432</v>
      </c>
    </row>
    <row r="44" spans="1:12" x14ac:dyDescent="0.2">
      <c r="A44" s="341"/>
      <c r="B44" s="343"/>
      <c r="C44" s="343"/>
      <c r="D44" s="343"/>
      <c r="E44" s="343"/>
      <c r="F44" s="343"/>
      <c r="G44" s="343"/>
      <c r="I44" s="343"/>
      <c r="J44" s="343"/>
      <c r="K44" s="343"/>
      <c r="L44" s="351"/>
    </row>
    <row r="45" spans="1:12" ht="19.899999999999999" customHeight="1" x14ac:dyDescent="0.2">
      <c r="A45" s="357">
        <v>4</v>
      </c>
      <c r="B45" s="358" t="s">
        <v>285</v>
      </c>
      <c r="C45" s="358">
        <f>SUM(C46)</f>
        <v>3207914</v>
      </c>
      <c r="D45" s="358">
        <f>SUM(D46:D47)</f>
        <v>2948614</v>
      </c>
      <c r="E45" s="358">
        <f>+E46+E47</f>
        <v>2145875</v>
      </c>
      <c r="F45" s="358">
        <f>+F46+F47</f>
        <v>191100.71000000002</v>
      </c>
      <c r="G45" s="358">
        <f>+G46+G47</f>
        <v>662807.5199999999</v>
      </c>
      <c r="H45" s="349">
        <f>+H46+H47</f>
        <v>326563.82</v>
      </c>
      <c r="I45" s="358">
        <f>SUM(I46:I47)</f>
        <v>217315.26</v>
      </c>
      <c r="J45" s="358">
        <f>+E45-G45</f>
        <v>1483067.48</v>
      </c>
      <c r="K45" s="358">
        <f>+D45-G45</f>
        <v>2285806.48</v>
      </c>
      <c r="L45" s="359">
        <f>+G45*100/E45</f>
        <v>30.88751767926836</v>
      </c>
    </row>
    <row r="46" spans="1:12" ht="14.25" customHeight="1" x14ac:dyDescent="0.2">
      <c r="A46" s="341">
        <v>430</v>
      </c>
      <c r="B46" s="360" t="s">
        <v>286</v>
      </c>
      <c r="C46" s="343">
        <f>+'Ejecución Gastos'!C156</f>
        <v>3207914</v>
      </c>
      <c r="D46" s="343">
        <v>2854364</v>
      </c>
      <c r="E46" s="343">
        <f>+'Ejecución Gastos'!E155</f>
        <v>2051625</v>
      </c>
      <c r="F46" s="343">
        <f>+'Ejecución Gastos'!F155</f>
        <v>170898.38</v>
      </c>
      <c r="G46" s="343">
        <f>+'Ejecución Gastos'!G156</f>
        <v>627450.93999999994</v>
      </c>
      <c r="H46" s="343">
        <f>+'Ejecución Gastos'!H156</f>
        <v>315796.82</v>
      </c>
      <c r="I46" s="343">
        <f>+'Ejecución Gastos'!I155</f>
        <v>189503.31</v>
      </c>
      <c r="J46" s="343">
        <f>+E46-G46</f>
        <v>1424174.06</v>
      </c>
      <c r="K46" s="343">
        <f>+D46-G46</f>
        <v>2226913.06</v>
      </c>
      <c r="L46" s="351">
        <f>+G46*100/E46</f>
        <v>30.583120209589957</v>
      </c>
    </row>
    <row r="47" spans="1:12" ht="15.75" customHeight="1" x14ac:dyDescent="0.2">
      <c r="A47" s="341">
        <v>490</v>
      </c>
      <c r="B47" s="343" t="s">
        <v>288</v>
      </c>
      <c r="C47" s="343">
        <v>0</v>
      </c>
      <c r="D47" s="343">
        <f>+'Ejecución Gastos'!D157</f>
        <v>94250</v>
      </c>
      <c r="E47" s="343">
        <f>+'Ejecución Gastos'!E157</f>
        <v>94250</v>
      </c>
      <c r="F47" s="343">
        <f>+'Ejecución Gastos'!F157</f>
        <v>20202.330000000002</v>
      </c>
      <c r="G47" s="343">
        <f>+'Ejecución Gastos'!G157</f>
        <v>35356.58</v>
      </c>
      <c r="H47" s="343">
        <f>+'Ejecución Gastos'!H157</f>
        <v>10767</v>
      </c>
      <c r="I47" s="343">
        <f>+'Ejecución Gastos'!I157</f>
        <v>27811.95</v>
      </c>
      <c r="J47" s="343">
        <f>+E47-G47</f>
        <v>58893.42</v>
      </c>
      <c r="K47" s="343">
        <f>+D47-G47</f>
        <v>58893.42</v>
      </c>
      <c r="L47" s="351">
        <f>+G47*100/E47</f>
        <v>37.513612732095488</v>
      </c>
    </row>
    <row r="48" spans="1:12" ht="9.6" customHeight="1" x14ac:dyDescent="0.2">
      <c r="A48" s="361"/>
      <c r="B48" s="362"/>
      <c r="C48" s="363"/>
      <c r="D48" s="362"/>
      <c r="E48" s="362"/>
      <c r="F48" s="362"/>
      <c r="G48" s="362"/>
      <c r="H48" s="345"/>
      <c r="I48" s="362"/>
      <c r="J48" s="362"/>
      <c r="K48" s="362"/>
      <c r="L48" s="364"/>
    </row>
    <row r="49" spans="1:16" ht="19.899999999999999" customHeight="1" x14ac:dyDescent="0.2">
      <c r="A49" s="357" t="s">
        <v>290</v>
      </c>
      <c r="B49" s="365" t="s">
        <v>372</v>
      </c>
      <c r="C49" s="358">
        <f t="shared" ref="C49:G49" si="7">SUM(C50:C55)</f>
        <v>2251594</v>
      </c>
      <c r="D49" s="358">
        <f t="shared" si="7"/>
        <v>3068944</v>
      </c>
      <c r="E49" s="358">
        <f t="shared" si="7"/>
        <v>2919928</v>
      </c>
      <c r="F49" s="358">
        <f t="shared" si="7"/>
        <v>59654.950000000004</v>
      </c>
      <c r="G49" s="358">
        <f t="shared" si="7"/>
        <v>317906.87000000005</v>
      </c>
      <c r="H49" s="171">
        <f>+H50+H52+H54+H51</f>
        <v>258168.53</v>
      </c>
      <c r="I49" s="358">
        <f>SUM(I50:I55)</f>
        <v>253152.9</v>
      </c>
      <c r="J49" s="358">
        <f t="shared" ref="J49:J56" si="8">+E49-G49</f>
        <v>2602021.13</v>
      </c>
      <c r="K49" s="358">
        <f t="shared" ref="K49:K56" si="9">+D49-G49</f>
        <v>2751037.13</v>
      </c>
      <c r="L49" s="359">
        <f t="shared" ref="L49:L56" si="10">+G49*100/E49</f>
        <v>10.887490034000839</v>
      </c>
    </row>
    <row r="50" spans="1:16" ht="15" customHeight="1" x14ac:dyDescent="0.2">
      <c r="A50" s="341" t="s">
        <v>292</v>
      </c>
      <c r="B50" s="342" t="s">
        <v>402</v>
      </c>
      <c r="C50" s="343">
        <f>+'Ejecución Gastos'!C160</f>
        <v>118164</v>
      </c>
      <c r="D50" s="343">
        <f>+'Ejecución Gastos'!D160</f>
        <v>118164</v>
      </c>
      <c r="E50" s="343">
        <f>+'Ejecución Gastos'!E160</f>
        <v>49235</v>
      </c>
      <c r="F50" s="343">
        <f>+'Ejecución Gastos'!F160</f>
        <v>3373.87</v>
      </c>
      <c r="G50" s="343">
        <f>+'Ejecución Gastos'!G160</f>
        <v>16869.349999999999</v>
      </c>
      <c r="H50" s="343">
        <f>+'Ejecución Gastos'!H160</f>
        <v>16869.349999999999</v>
      </c>
      <c r="I50" s="343">
        <f>+'Ejecución Gastos'!I160</f>
        <v>16869.349999999999</v>
      </c>
      <c r="J50" s="343">
        <f t="shared" si="8"/>
        <v>32365.65</v>
      </c>
      <c r="K50" s="343">
        <f t="shared" si="9"/>
        <v>101294.65</v>
      </c>
      <c r="L50" s="351">
        <f t="shared" si="10"/>
        <v>34.262922717578952</v>
      </c>
    </row>
    <row r="51" spans="1:16" ht="15" customHeight="1" x14ac:dyDescent="0.2">
      <c r="A51" s="352" t="s">
        <v>295</v>
      </c>
      <c r="B51" s="343" t="s">
        <v>164</v>
      </c>
      <c r="C51" s="343">
        <f>+'Ejecución Gastos'!C162</f>
        <v>956224</v>
      </c>
      <c r="D51" s="343">
        <f>+'Ejecución Gastos'!D162</f>
        <v>1971224</v>
      </c>
      <c r="E51" s="343">
        <f>+'Ejecución Gastos'!E162</f>
        <v>1917678</v>
      </c>
      <c r="F51" s="343">
        <f>+'Ejecución Gastos'!F162</f>
        <v>50743.79</v>
      </c>
      <c r="G51" s="343">
        <f>+'Ejecución Gastos'!G162</f>
        <v>212862.56</v>
      </c>
      <c r="H51" s="343">
        <f>+'Ejecución Gastos'!H162</f>
        <v>212862.56</v>
      </c>
      <c r="I51" s="343">
        <f>+'Ejecución Gastos'!I162</f>
        <v>212862.56</v>
      </c>
      <c r="J51" s="343">
        <f t="shared" si="8"/>
        <v>1704815.44</v>
      </c>
      <c r="K51" s="343">
        <f t="shared" si="9"/>
        <v>1758361.44</v>
      </c>
      <c r="L51" s="351">
        <f t="shared" si="10"/>
        <v>11.100015748212162</v>
      </c>
    </row>
    <row r="52" spans="1:16" ht="15" customHeight="1" x14ac:dyDescent="0.2">
      <c r="A52" s="341">
        <v>620</v>
      </c>
      <c r="B52" s="343" t="s">
        <v>296</v>
      </c>
      <c r="C52" s="343">
        <f>+'Ejecución Gastos'!C168</f>
        <v>730940</v>
      </c>
      <c r="D52" s="343">
        <f>+'Ejecución Gastos'!D168</f>
        <v>475290</v>
      </c>
      <c r="E52" s="343">
        <f>+'Ejecución Gastos'!E168</f>
        <v>475290</v>
      </c>
      <c r="F52" s="343">
        <f>+'Ejecución Gastos'!F168</f>
        <v>7771.5</v>
      </c>
      <c r="G52" s="343">
        <f>+'Ejecución Gastos'!G168</f>
        <v>45485.75</v>
      </c>
      <c r="H52" s="343">
        <f>+'Ejecución Gastos'!H168</f>
        <v>27536.62</v>
      </c>
      <c r="I52" s="343">
        <f>+'Ejecución Gastos'!I168</f>
        <v>22520.99</v>
      </c>
      <c r="J52" s="343">
        <f t="shared" si="8"/>
        <v>429804.25</v>
      </c>
      <c r="K52" s="343">
        <f t="shared" si="9"/>
        <v>429804.25</v>
      </c>
      <c r="L52" s="351">
        <f t="shared" si="10"/>
        <v>9.5701045677375927</v>
      </c>
    </row>
    <row r="53" spans="1:16" ht="15" customHeight="1" x14ac:dyDescent="0.2">
      <c r="A53" s="341">
        <v>640</v>
      </c>
      <c r="B53" s="343" t="s">
        <v>490</v>
      </c>
      <c r="C53" s="343">
        <f>+'Ejecución Gastos'!C173</f>
        <v>159266</v>
      </c>
      <c r="D53" s="343">
        <f>+'Ejecución Gastos'!D173</f>
        <v>159266</v>
      </c>
      <c r="E53" s="343">
        <f>+'Ejecución Gastos'!E173</f>
        <v>132725</v>
      </c>
      <c r="F53" s="343">
        <f>+'Ejecución Gastos'!F173</f>
        <v>0</v>
      </c>
      <c r="G53" s="343">
        <f>+'Ejecución Gastos'!G173</f>
        <v>0</v>
      </c>
      <c r="H53" s="343"/>
      <c r="I53" s="343">
        <f>+'Ejecución Gastos'!I173</f>
        <v>0</v>
      </c>
      <c r="J53" s="343"/>
      <c r="K53" s="343"/>
      <c r="L53" s="351"/>
    </row>
    <row r="54" spans="1:16" ht="15" customHeight="1" x14ac:dyDescent="0.2">
      <c r="A54" s="341" t="s">
        <v>298</v>
      </c>
      <c r="B54" s="342" t="s">
        <v>299</v>
      </c>
      <c r="C54" s="343">
        <f>+'Ejecución Gastos'!C174</f>
        <v>287000</v>
      </c>
      <c r="D54" s="343">
        <f>+'Ejecución Gastos'!D174</f>
        <v>293000</v>
      </c>
      <c r="E54" s="343">
        <f>+'Ejecución Gastos'!E174</f>
        <v>293000</v>
      </c>
      <c r="F54" s="343">
        <f>+'Ejecución Gastos'!F174</f>
        <v>-2234.21</v>
      </c>
      <c r="G54" s="343">
        <f>+'Ejecución Gastos'!G174</f>
        <v>20609.21</v>
      </c>
      <c r="H54" s="343">
        <f>+'Ejecución Gastos'!H174</f>
        <v>900</v>
      </c>
      <c r="I54" s="343">
        <f>+'Ejecución Gastos'!I174</f>
        <v>900</v>
      </c>
      <c r="J54" s="343">
        <f t="shared" si="8"/>
        <v>272390.78999999998</v>
      </c>
      <c r="K54" s="343">
        <f t="shared" si="9"/>
        <v>272390.78999999998</v>
      </c>
      <c r="L54" s="351">
        <f t="shared" si="10"/>
        <v>7.0338600682593855</v>
      </c>
    </row>
    <row r="55" spans="1:16" ht="14.25" customHeight="1" x14ac:dyDescent="0.2">
      <c r="A55" s="341">
        <v>690</v>
      </c>
      <c r="B55" s="343" t="s">
        <v>401</v>
      </c>
      <c r="C55" s="343">
        <f>+'Ejecución Gastos'!C178</f>
        <v>0</v>
      </c>
      <c r="D55" s="343">
        <f>+'Ejecución Gastos'!D178</f>
        <v>52000</v>
      </c>
      <c r="E55" s="343">
        <f>+'Ejecución Gastos'!E178</f>
        <v>52000</v>
      </c>
      <c r="F55" s="343">
        <f>+'Ejecución Gastos'!F178</f>
        <v>0</v>
      </c>
      <c r="G55" s="343">
        <f>+'Ejecución Gastos'!G178</f>
        <v>22080</v>
      </c>
      <c r="H55" s="343">
        <f>+'Ejecución Gastos'!H178</f>
        <v>0</v>
      </c>
      <c r="I55" s="343">
        <f>+'Ejecución Gastos'!I178</f>
        <v>0</v>
      </c>
      <c r="J55" s="343">
        <f t="shared" si="8"/>
        <v>29920</v>
      </c>
      <c r="K55" s="343">
        <f t="shared" si="9"/>
        <v>29920</v>
      </c>
      <c r="L55" s="351" t="s">
        <v>6</v>
      </c>
    </row>
    <row r="56" spans="1:16" ht="24" customHeight="1" x14ac:dyDescent="0.2">
      <c r="A56" s="366" t="s">
        <v>6</v>
      </c>
      <c r="B56" s="367" t="s">
        <v>305</v>
      </c>
      <c r="C56" s="368">
        <f t="shared" ref="C56:I56" si="11">+C49+C45+C33+C21+C9</f>
        <v>141094806</v>
      </c>
      <c r="D56" s="368">
        <f t="shared" si="11"/>
        <v>141094806</v>
      </c>
      <c r="E56" s="368">
        <f>+E49+E45+E33+E21+E9</f>
        <v>64893018</v>
      </c>
      <c r="F56" s="368">
        <f t="shared" si="11"/>
        <v>9629207.1099999994</v>
      </c>
      <c r="G56" s="368">
        <f t="shared" si="11"/>
        <v>46261539.459999993</v>
      </c>
      <c r="H56" s="368">
        <f>+H49+H45+H33+H21+H9</f>
        <v>38730167.830000006</v>
      </c>
      <c r="I56" s="368">
        <f t="shared" si="11"/>
        <v>41433607.25</v>
      </c>
      <c r="J56" s="368">
        <f t="shared" si="8"/>
        <v>18631478.540000007</v>
      </c>
      <c r="K56" s="368">
        <f t="shared" si="9"/>
        <v>94833266.540000007</v>
      </c>
      <c r="L56" s="369">
        <f t="shared" si="10"/>
        <v>71.288931977242896</v>
      </c>
    </row>
    <row r="57" spans="1:16" ht="4.5" customHeight="1" x14ac:dyDescent="0.2">
      <c r="A57" s="370"/>
      <c r="B57" s="371"/>
      <c r="C57" s="372"/>
      <c r="D57" s="372"/>
      <c r="E57" s="372"/>
      <c r="F57" s="372"/>
      <c r="G57" s="372"/>
      <c r="H57" s="372"/>
      <c r="I57" s="372"/>
      <c r="J57" s="372"/>
      <c r="K57" s="372"/>
      <c r="L57" s="373"/>
    </row>
    <row r="58" spans="1:16" ht="18.75" customHeight="1" x14ac:dyDescent="0.3">
      <c r="A58" s="679" t="s">
        <v>509</v>
      </c>
      <c r="B58" s="679"/>
      <c r="C58" s="679"/>
      <c r="D58" s="61"/>
      <c r="E58" s="61"/>
      <c r="F58" s="61"/>
      <c r="G58" s="61"/>
      <c r="H58" s="61" t="s">
        <v>6</v>
      </c>
      <c r="I58" s="61"/>
      <c r="J58" s="61"/>
      <c r="K58" s="61"/>
      <c r="L58" s="61"/>
      <c r="N58" s="51" t="s">
        <v>6</v>
      </c>
      <c r="P58" t="s">
        <v>6</v>
      </c>
    </row>
    <row r="59" spans="1:16" ht="19.899999999999999" customHeight="1" x14ac:dyDescent="0.2">
      <c r="D59" s="25"/>
      <c r="E59" s="35"/>
      <c r="F59" s="25"/>
      <c r="G59" s="35"/>
      <c r="H59" s="35" t="s">
        <v>6</v>
      </c>
      <c r="I59" s="25"/>
      <c r="J59" s="25"/>
      <c r="K59" s="25"/>
      <c r="L59" s="149"/>
    </row>
    <row r="60" spans="1:16" ht="19.899999999999999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6" ht="19.899999999999999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6" ht="19.899999999999999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6" ht="19.899999999999999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6" ht="19.899999999999999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9.899999999999999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9.899999999999999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9.899999999999999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9.899999999999999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9.899999999999999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9.899999999999999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9.899999999999999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9.899999999999999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9.899999999999999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9.899999999999999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19.899999999999999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9.899999999999999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19.899999999999999" customHeight="1" x14ac:dyDescent="0.2"/>
    <row r="78" spans="1:12" ht="19.899999999999999" customHeight="1" x14ac:dyDescent="0.2"/>
    <row r="79" spans="1:12" ht="19.899999999999999" customHeight="1" x14ac:dyDescent="0.2"/>
    <row r="80" spans="1:12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  <row r="149" ht="19.899999999999999" customHeight="1" x14ac:dyDescent="0.2"/>
  </sheetData>
  <mergeCells count="11">
    <mergeCell ref="A58:C58"/>
    <mergeCell ref="A1:L1"/>
    <mergeCell ref="A2:L2"/>
    <mergeCell ref="A5:L5"/>
    <mergeCell ref="A3:L3"/>
    <mergeCell ref="A4:L4"/>
    <mergeCell ref="L6:L8"/>
    <mergeCell ref="A6:A8"/>
    <mergeCell ref="B6:B8"/>
    <mergeCell ref="J6:K8"/>
    <mergeCell ref="C6:I7"/>
  </mergeCells>
  <pageMargins left="0.39370078740157483" right="0.19685039370078741" top="0.78740157480314965" bottom="0.78740157480314965" header="0.51181102362204722" footer="0.51181102362204722"/>
  <pageSetup scale="75" orientation="portrait" r:id="rId1"/>
  <ignoredErrors>
    <ignoredError sqref="F33 H10 D10 D21:E21 D56 H21 H49" formula="1"/>
    <ignoredError sqref="A9:A27 A30 A54 A49:A51 A33:A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>
    <tabColor theme="6" tint="0.39997558519241921"/>
  </sheetPr>
  <dimension ref="A1:Q38"/>
  <sheetViews>
    <sheetView showGridLines="0" showZeros="0" zoomScale="106" zoomScaleNormal="106" workbookViewId="0">
      <selection activeCell="P16" sqref="P16"/>
    </sheetView>
  </sheetViews>
  <sheetFormatPr baseColWidth="10" defaultColWidth="11.42578125" defaultRowHeight="12.75" x14ac:dyDescent="0.2"/>
  <cols>
    <col min="1" max="1" width="3.85546875" style="25" customWidth="1"/>
    <col min="2" max="2" width="29.85546875" style="25" customWidth="1"/>
    <col min="3" max="3" width="11.42578125" style="25" customWidth="1"/>
    <col min="4" max="4" width="12.42578125" style="25" customWidth="1"/>
    <col min="5" max="5" width="11.28515625" style="25" customWidth="1"/>
    <col min="6" max="6" width="13.140625" style="25" hidden="1" customWidth="1"/>
    <col min="7" max="7" width="16" style="25" customWidth="1"/>
    <col min="8" max="8" width="12.140625" style="25" customWidth="1"/>
    <col min="9" max="10" width="11" style="25" customWidth="1"/>
    <col min="11" max="11" width="11.28515625" style="25" hidden="1" customWidth="1"/>
    <col min="12" max="12" width="12.85546875" style="25" customWidth="1"/>
    <col min="13" max="13" width="9.7109375" customWidth="1"/>
    <col min="14" max="14" width="14.42578125" customWidth="1"/>
    <col min="17" max="17" width="12.28515625" bestFit="1" customWidth="1"/>
  </cols>
  <sheetData>
    <row r="1" spans="1:14" ht="15.75" x14ac:dyDescent="0.25">
      <c r="A1" s="7"/>
      <c r="B1" s="609" t="s">
        <v>386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4" ht="15.75" x14ac:dyDescent="0.25">
      <c r="A2" s="7"/>
      <c r="B2" s="609" t="s">
        <v>387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45"/>
    </row>
    <row r="3" spans="1:14" ht="16.5" customHeight="1" x14ac:dyDescent="0.25">
      <c r="A3" s="610" t="s">
        <v>535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</row>
    <row r="4" spans="1:14" ht="19.5" customHeight="1" x14ac:dyDescent="0.2">
      <c r="A4" s="708" t="s">
        <v>551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</row>
    <row r="5" spans="1:14" ht="6.7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4" ht="24.95" customHeight="1" x14ac:dyDescent="0.2">
      <c r="A6" s="702" t="s">
        <v>306</v>
      </c>
      <c r="B6" s="704" t="s">
        <v>0</v>
      </c>
      <c r="C6" s="711" t="s">
        <v>31</v>
      </c>
      <c r="D6" s="712"/>
      <c r="E6" s="712"/>
      <c r="F6" s="712"/>
      <c r="G6" s="712"/>
      <c r="H6" s="712"/>
      <c r="I6" s="713"/>
      <c r="J6" s="709" t="s">
        <v>492</v>
      </c>
      <c r="K6" s="710"/>
      <c r="L6" s="706" t="s">
        <v>22</v>
      </c>
    </row>
    <row r="7" spans="1:14" ht="24.95" customHeight="1" x14ac:dyDescent="0.2">
      <c r="A7" s="703"/>
      <c r="B7" s="705"/>
      <c r="C7" s="547" t="s">
        <v>87</v>
      </c>
      <c r="D7" s="548" t="s">
        <v>12</v>
      </c>
      <c r="E7" s="546" t="s">
        <v>2</v>
      </c>
      <c r="F7" s="185" t="s">
        <v>36</v>
      </c>
      <c r="G7" s="549" t="s">
        <v>546</v>
      </c>
      <c r="H7" s="374" t="s">
        <v>544</v>
      </c>
      <c r="I7" s="374" t="s">
        <v>355</v>
      </c>
      <c r="J7" s="707"/>
      <c r="K7" s="648"/>
      <c r="L7" s="707"/>
    </row>
    <row r="8" spans="1:14" ht="15" customHeight="1" x14ac:dyDescent="0.2">
      <c r="A8" s="375"/>
      <c r="B8" s="376"/>
      <c r="C8" s="377"/>
      <c r="D8" s="378"/>
      <c r="E8" s="379"/>
      <c r="F8" s="378"/>
      <c r="G8" s="380"/>
      <c r="H8" s="380"/>
      <c r="I8" s="378"/>
      <c r="J8" s="378"/>
      <c r="K8" s="378"/>
      <c r="L8" s="381"/>
    </row>
    <row r="9" spans="1:14" ht="24.95" customHeight="1" x14ac:dyDescent="0.2">
      <c r="A9" s="382"/>
      <c r="B9" s="383" t="s">
        <v>308</v>
      </c>
      <c r="C9" s="384">
        <f>+C11+C21+C29</f>
        <v>141094806</v>
      </c>
      <c r="D9" s="384">
        <f>+D11+D21+D29</f>
        <v>141094806</v>
      </c>
      <c r="E9" s="385">
        <f t="shared" ref="E9" si="0">+E11+E21+E29</f>
        <v>64893018</v>
      </c>
      <c r="F9" s="384">
        <f>+F11+F21+F29</f>
        <v>9629207.0600000005</v>
      </c>
      <c r="G9" s="595">
        <v>46261539.460000001</v>
      </c>
      <c r="H9" s="384">
        <f>+H11+H21+H29</f>
        <v>30620102.309999999</v>
      </c>
      <c r="I9" s="384">
        <f>+I11+I21+I29</f>
        <v>32045231.899999999</v>
      </c>
      <c r="J9" s="384">
        <f>E9-G9</f>
        <v>18631478.539999999</v>
      </c>
      <c r="K9" s="386">
        <f>+D9-G9</f>
        <v>94833266.539999992</v>
      </c>
      <c r="L9" s="387">
        <f>+G9/E9*100</f>
        <v>71.288931977242925</v>
      </c>
      <c r="N9" s="594"/>
    </row>
    <row r="10" spans="1:14" ht="24.95" customHeight="1" x14ac:dyDescent="0.2">
      <c r="A10" s="382"/>
      <c r="B10" s="388"/>
      <c r="C10" s="566"/>
      <c r="D10" s="386"/>
      <c r="E10" s="567"/>
      <c r="F10" s="566"/>
      <c r="G10" s="596"/>
      <c r="H10" s="389"/>
      <c r="I10" s="389"/>
      <c r="J10" s="566"/>
      <c r="K10" s="388"/>
      <c r="L10" s="390"/>
      <c r="N10" s="45"/>
    </row>
    <row r="11" spans="1:14" ht="24.95" customHeight="1" x14ac:dyDescent="0.25">
      <c r="A11" s="391">
        <v>1</v>
      </c>
      <c r="B11" s="392" t="s">
        <v>32</v>
      </c>
      <c r="C11" s="384">
        <f>SUM(C13:C20)</f>
        <v>52074126</v>
      </c>
      <c r="D11" s="386">
        <f>SUM(D13:D19)</f>
        <v>53673081</v>
      </c>
      <c r="E11" s="568">
        <f>SUM(E13:E19)</f>
        <v>27028350</v>
      </c>
      <c r="F11" s="386">
        <f>SUM(F13:F19)</f>
        <v>3541558.14</v>
      </c>
      <c r="G11" s="576">
        <v>15851054.970000001</v>
      </c>
      <c r="H11" s="384">
        <f>SUM(H13:H19)</f>
        <v>10090128.809999999</v>
      </c>
      <c r="I11" s="384">
        <f>+I13+I15+I17+I19</f>
        <v>10273470.129999999</v>
      </c>
      <c r="J11" s="384">
        <f>+E11-G11</f>
        <v>11177295.029999999</v>
      </c>
      <c r="K11" s="386">
        <f>+D11-G11</f>
        <v>37822026.030000001</v>
      </c>
      <c r="L11" s="387">
        <f>+G11/E11*100</f>
        <v>58.646032665701021</v>
      </c>
      <c r="N11" s="594"/>
    </row>
    <row r="12" spans="1:14" ht="24.95" customHeight="1" x14ac:dyDescent="0.2">
      <c r="A12" s="382"/>
      <c r="B12" s="393"/>
      <c r="C12" s="141"/>
      <c r="D12" s="394"/>
      <c r="E12" s="569"/>
      <c r="F12" s="394"/>
      <c r="G12" s="597"/>
      <c r="H12" s="570"/>
      <c r="I12" s="570"/>
      <c r="J12" s="570"/>
      <c r="K12" s="394"/>
      <c r="L12" s="395"/>
      <c r="N12" s="45"/>
    </row>
    <row r="13" spans="1:14" ht="24.95" customHeight="1" x14ac:dyDescent="0.2">
      <c r="A13" s="396" t="s">
        <v>6</v>
      </c>
      <c r="B13" s="393" t="s">
        <v>309</v>
      </c>
      <c r="C13" s="394">
        <v>13072514</v>
      </c>
      <c r="D13" s="394">
        <v>12617414</v>
      </c>
      <c r="E13" s="569">
        <v>5757139</v>
      </c>
      <c r="F13" s="394">
        <v>794072.38</v>
      </c>
      <c r="G13" s="597">
        <v>4117828.7</v>
      </c>
      <c r="H13" s="394">
        <v>2809530.52</v>
      </c>
      <c r="I13" s="394">
        <v>2931965.15</v>
      </c>
      <c r="J13" s="394">
        <f>+E13-G13</f>
        <v>1639310.2999999998</v>
      </c>
      <c r="K13" s="394">
        <f>+D13-G13</f>
        <v>8499585.3000000007</v>
      </c>
      <c r="L13" s="397">
        <f>+G13/E13*100</f>
        <v>71.52560846628856</v>
      </c>
      <c r="N13" s="45"/>
    </row>
    <row r="14" spans="1:14" ht="24.95" customHeight="1" x14ac:dyDescent="0.2">
      <c r="A14" s="396"/>
      <c r="B14" s="393"/>
      <c r="C14" s="394"/>
      <c r="D14" s="394"/>
      <c r="E14" s="569"/>
      <c r="F14" s="394"/>
      <c r="G14" s="597"/>
      <c r="H14" s="394"/>
      <c r="I14" s="394"/>
      <c r="J14" s="394"/>
      <c r="K14" s="394"/>
      <c r="L14" s="395"/>
      <c r="N14" s="45"/>
    </row>
    <row r="15" spans="1:14" ht="24.95" customHeight="1" x14ac:dyDescent="0.2">
      <c r="A15" s="396" t="s">
        <v>6</v>
      </c>
      <c r="B15" s="398" t="s">
        <v>310</v>
      </c>
      <c r="C15" s="394">
        <v>1063473</v>
      </c>
      <c r="D15" s="394">
        <v>1050473</v>
      </c>
      <c r="E15" s="569">
        <v>451640</v>
      </c>
      <c r="F15" s="394">
        <v>71988.3</v>
      </c>
      <c r="G15" s="597">
        <v>368341.32</v>
      </c>
      <c r="H15" s="394">
        <v>256210.17</v>
      </c>
      <c r="I15" s="394">
        <v>274666.57</v>
      </c>
      <c r="J15" s="394">
        <f>+E15-G15</f>
        <v>83298.679999999993</v>
      </c>
      <c r="K15" s="394">
        <f>+D15-G15</f>
        <v>682131.67999999993</v>
      </c>
      <c r="L15" s="397">
        <f>+G15/E15*100</f>
        <v>81.556398901780184</v>
      </c>
      <c r="N15" s="45"/>
    </row>
    <row r="16" spans="1:14" ht="24.95" customHeight="1" x14ac:dyDescent="0.2">
      <c r="A16" s="396"/>
      <c r="B16" s="398"/>
      <c r="C16" s="394"/>
      <c r="D16" s="394"/>
      <c r="E16" s="569"/>
      <c r="F16" s="394"/>
      <c r="G16" s="597">
        <v>0</v>
      </c>
      <c r="H16" s="394"/>
      <c r="I16" s="394"/>
      <c r="J16" s="394">
        <f>+E16-G16</f>
        <v>0</v>
      </c>
      <c r="K16" s="394" t="s">
        <v>6</v>
      </c>
      <c r="L16" s="397"/>
      <c r="N16" s="45"/>
    </row>
    <row r="17" spans="1:17" ht="24.95" customHeight="1" x14ac:dyDescent="0.2">
      <c r="A17" s="396" t="s">
        <v>6</v>
      </c>
      <c r="B17" s="393" t="s">
        <v>311</v>
      </c>
      <c r="C17" s="394">
        <v>35488163</v>
      </c>
      <c r="D17" s="394">
        <f>38398718-700000</f>
        <v>37698718</v>
      </c>
      <c r="E17" s="569">
        <f>20595014-700000</f>
        <v>19895014</v>
      </c>
      <c r="F17" s="394">
        <f>2605572.03-19880.57</f>
        <v>2585691.46</v>
      </c>
      <c r="G17" s="597">
        <v>10886147.370000001</v>
      </c>
      <c r="H17" s="394">
        <f>6713179.06-18775.96</f>
        <v>6694403.0999999996</v>
      </c>
      <c r="I17" s="394">
        <v>6718271.5599999996</v>
      </c>
      <c r="J17" s="394">
        <f>+E17-G17</f>
        <v>9008866.629999999</v>
      </c>
      <c r="K17" s="394">
        <f>+D17-G17</f>
        <v>26812570.629999999</v>
      </c>
      <c r="L17" s="397">
        <f>+G17/E17*100</f>
        <v>54.717967878786119</v>
      </c>
      <c r="N17" s="45"/>
    </row>
    <row r="18" spans="1:17" ht="24.95" customHeight="1" x14ac:dyDescent="0.2">
      <c r="A18" s="396"/>
      <c r="B18" s="393"/>
      <c r="C18" s="394"/>
      <c r="D18" s="394"/>
      <c r="E18" s="569"/>
      <c r="F18" s="394"/>
      <c r="G18" s="597" t="s">
        <v>6</v>
      </c>
      <c r="H18" s="394"/>
      <c r="I18" s="394"/>
      <c r="J18" s="394" t="s">
        <v>6</v>
      </c>
      <c r="K18" s="394" t="s">
        <v>6</v>
      </c>
      <c r="L18" s="397"/>
      <c r="N18" s="45"/>
    </row>
    <row r="19" spans="1:17" ht="24.95" customHeight="1" x14ac:dyDescent="0.2">
      <c r="A19" s="396" t="s">
        <v>6</v>
      </c>
      <c r="B19" s="398" t="s">
        <v>312</v>
      </c>
      <c r="C19" s="394">
        <v>2449976</v>
      </c>
      <c r="D19" s="394">
        <v>2306476</v>
      </c>
      <c r="E19" s="569">
        <v>924557</v>
      </c>
      <c r="F19" s="394">
        <v>89806</v>
      </c>
      <c r="G19" s="597">
        <v>478737.58</v>
      </c>
      <c r="H19" s="394">
        <v>329985.02</v>
      </c>
      <c r="I19" s="141">
        <v>348566.85</v>
      </c>
      <c r="J19" s="394">
        <f>+E19-J2319</f>
        <v>924557</v>
      </c>
      <c r="K19" s="394">
        <f>+D19-G19</f>
        <v>1827738.42</v>
      </c>
      <c r="L19" s="397">
        <f>+G19/E19*100</f>
        <v>51.780212577483056</v>
      </c>
      <c r="N19" s="45"/>
    </row>
    <row r="20" spans="1:17" ht="24.95" customHeight="1" x14ac:dyDescent="0.2">
      <c r="A20" s="396"/>
      <c r="B20" s="393"/>
      <c r="C20" s="394"/>
      <c r="D20" s="394" t="s">
        <v>6</v>
      </c>
      <c r="E20" s="569"/>
      <c r="F20" s="394"/>
      <c r="G20" s="597">
        <v>0</v>
      </c>
      <c r="H20" s="394"/>
      <c r="I20" s="394"/>
      <c r="J20" s="394">
        <f>+E20-G20</f>
        <v>0</v>
      </c>
      <c r="K20" s="394" t="s">
        <v>6</v>
      </c>
      <c r="L20" s="397"/>
      <c r="N20" s="45"/>
    </row>
    <row r="21" spans="1:17" ht="24.95" customHeight="1" x14ac:dyDescent="0.25">
      <c r="A21" s="391">
        <v>2</v>
      </c>
      <c r="B21" s="392" t="s">
        <v>33</v>
      </c>
      <c r="C21" s="386">
        <f t="shared" ref="C21:D21" si="1">SUM(C23:C27)</f>
        <v>73122532</v>
      </c>
      <c r="D21" s="386">
        <f t="shared" si="1"/>
        <v>72744827</v>
      </c>
      <c r="E21" s="568">
        <f>SUM(E23:E27)</f>
        <v>31275746</v>
      </c>
      <c r="F21" s="386">
        <f>SUM(F23:F27)</f>
        <v>5169773.66</v>
      </c>
      <c r="G21" s="576">
        <v>25864131.980000004</v>
      </c>
      <c r="H21" s="386">
        <f>SUM(H23:H27)</f>
        <v>17474175.449999999</v>
      </c>
      <c r="I21" s="386">
        <f>SUM(I23:I27)</f>
        <v>18570162.149999999</v>
      </c>
      <c r="J21" s="386">
        <f>+E21-G21</f>
        <v>5411614.0199999958</v>
      </c>
      <c r="K21" s="386">
        <f>+D21-G21</f>
        <v>46880695.019999996</v>
      </c>
      <c r="L21" s="387">
        <f>+G21/E21*100</f>
        <v>82.697090518640238</v>
      </c>
      <c r="N21" s="594"/>
      <c r="P21" t="s">
        <v>6</v>
      </c>
    </row>
    <row r="22" spans="1:17" ht="24.95" customHeight="1" x14ac:dyDescent="0.2">
      <c r="A22" s="399"/>
      <c r="B22" s="393"/>
      <c r="C22" s="394"/>
      <c r="D22" s="394"/>
      <c r="E22" s="569"/>
      <c r="F22" s="394"/>
      <c r="G22" s="597">
        <v>0</v>
      </c>
      <c r="H22" s="394"/>
      <c r="I22" s="394"/>
      <c r="J22" s="394">
        <f>+E22-G22</f>
        <v>0</v>
      </c>
      <c r="K22" s="394" t="s">
        <v>6</v>
      </c>
      <c r="L22" s="397" t="s">
        <v>6</v>
      </c>
      <c r="N22" s="45"/>
    </row>
    <row r="23" spans="1:17" ht="24.95" customHeight="1" x14ac:dyDescent="0.2">
      <c r="A23" s="400" t="s">
        <v>6</v>
      </c>
      <c r="B23" s="393" t="s">
        <v>313</v>
      </c>
      <c r="C23" s="394">
        <v>3496882</v>
      </c>
      <c r="D23" s="394">
        <v>3647127</v>
      </c>
      <c r="E23" s="394">
        <v>1911463</v>
      </c>
      <c r="F23" s="35">
        <v>360551.98</v>
      </c>
      <c r="G23" s="597">
        <v>1364089.31</v>
      </c>
      <c r="H23" s="394">
        <v>576463.24</v>
      </c>
      <c r="I23" s="394">
        <v>581378.74</v>
      </c>
      <c r="J23" s="394">
        <f>+E23-G23</f>
        <v>547373.68999999994</v>
      </c>
      <c r="K23" s="394">
        <f>+D23-G23</f>
        <v>2283037.69</v>
      </c>
      <c r="L23" s="397">
        <f>+G23/E17*100</f>
        <v>6.856438050257216</v>
      </c>
      <c r="N23" s="45"/>
      <c r="Q23" s="45">
        <f>P23</f>
        <v>0</v>
      </c>
    </row>
    <row r="24" spans="1:17" ht="24.95" customHeight="1" x14ac:dyDescent="0.2">
      <c r="A24" s="400"/>
      <c r="B24" s="393"/>
      <c r="C24" s="394"/>
      <c r="D24" s="394" t="s">
        <v>6</v>
      </c>
      <c r="E24" s="394"/>
      <c r="F24" s="35"/>
      <c r="G24" s="597">
        <v>0</v>
      </c>
      <c r="H24" s="394"/>
      <c r="I24" s="394"/>
      <c r="J24" s="394" t="s">
        <v>6</v>
      </c>
      <c r="K24" s="394" t="s">
        <v>6</v>
      </c>
      <c r="L24" s="397"/>
      <c r="N24" s="45"/>
      <c r="Q24" s="45"/>
    </row>
    <row r="25" spans="1:17" ht="24.95" customHeight="1" x14ac:dyDescent="0.2">
      <c r="A25" s="400" t="s">
        <v>6</v>
      </c>
      <c r="B25" s="393" t="s">
        <v>314</v>
      </c>
      <c r="C25" s="394">
        <v>36159943</v>
      </c>
      <c r="D25" s="394">
        <v>35874013</v>
      </c>
      <c r="E25" s="394">
        <v>14971349</v>
      </c>
      <c r="F25" s="35">
        <v>2538048.0299999998</v>
      </c>
      <c r="G25" s="597">
        <v>13084761.25</v>
      </c>
      <c r="H25" s="394">
        <v>8955821.5199999996</v>
      </c>
      <c r="I25" s="141">
        <v>9545761.3800000008</v>
      </c>
      <c r="J25" s="394">
        <f>+E25-G25</f>
        <v>1886587.75</v>
      </c>
      <c r="K25" s="394">
        <f>+D25-G25</f>
        <v>22789251.75</v>
      </c>
      <c r="L25" s="397">
        <f>+G25/E25*100</f>
        <v>87.398678970078109</v>
      </c>
      <c r="N25" s="45"/>
      <c r="Q25" s="45"/>
    </row>
    <row r="26" spans="1:17" ht="24.95" customHeight="1" x14ac:dyDescent="0.2">
      <c r="A26" s="400"/>
      <c r="B26" s="393"/>
      <c r="C26" s="394"/>
      <c r="D26" s="394"/>
      <c r="E26" s="394"/>
      <c r="F26" s="35"/>
      <c r="G26" s="597">
        <v>0</v>
      </c>
      <c r="H26" s="394"/>
      <c r="I26" s="394"/>
      <c r="J26" s="394" t="s">
        <v>6</v>
      </c>
      <c r="K26" s="394" t="e">
        <f>+#REF!-G26</f>
        <v>#REF!</v>
      </c>
      <c r="L26" s="397"/>
      <c r="N26" s="45"/>
      <c r="Q26" s="45"/>
    </row>
    <row r="27" spans="1:17" ht="24.95" customHeight="1" x14ac:dyDescent="0.2">
      <c r="A27" s="400" t="s">
        <v>6</v>
      </c>
      <c r="B27" s="393" t="s">
        <v>315</v>
      </c>
      <c r="C27" s="394">
        <v>33465707</v>
      </c>
      <c r="D27" s="394">
        <v>33223687</v>
      </c>
      <c r="E27" s="394">
        <v>14392934</v>
      </c>
      <c r="F27" s="35">
        <v>2271173.65</v>
      </c>
      <c r="G27" s="597">
        <v>11415281.420000002</v>
      </c>
      <c r="H27" s="394">
        <v>7941890.6900000004</v>
      </c>
      <c r="I27" s="394">
        <v>8443022.0299999993</v>
      </c>
      <c r="J27" s="394">
        <f>+E27-G27</f>
        <v>2977652.5799999982</v>
      </c>
      <c r="K27" s="394">
        <f>+D27-G27</f>
        <v>21808405.579999998</v>
      </c>
      <c r="L27" s="397">
        <f>+G27/E27*100</f>
        <v>79.31170545213368</v>
      </c>
      <c r="N27" s="45"/>
    </row>
    <row r="28" spans="1:17" ht="24.95" customHeight="1" x14ac:dyDescent="0.2">
      <c r="A28" s="401"/>
      <c r="B28" s="393"/>
      <c r="C28" s="394"/>
      <c r="D28" s="394"/>
      <c r="E28" s="569"/>
      <c r="F28" s="394"/>
      <c r="G28" s="597">
        <v>0</v>
      </c>
      <c r="H28" s="394"/>
      <c r="I28" s="394"/>
      <c r="J28" s="394">
        <f>+E28-G28</f>
        <v>0</v>
      </c>
      <c r="K28" s="394" t="s">
        <v>6</v>
      </c>
      <c r="L28" s="397" t="s">
        <v>6</v>
      </c>
      <c r="N28" s="45"/>
    </row>
    <row r="29" spans="1:17" ht="24.95" customHeight="1" x14ac:dyDescent="0.25">
      <c r="A29" s="402" t="s">
        <v>278</v>
      </c>
      <c r="B29" s="392" t="s">
        <v>34</v>
      </c>
      <c r="C29" s="386">
        <v>15898148</v>
      </c>
      <c r="D29" s="386">
        <f>14676898</f>
        <v>14676898</v>
      </c>
      <c r="E29" s="568">
        <f>6588922</f>
        <v>6588922</v>
      </c>
      <c r="F29" s="386">
        <v>917875.26</v>
      </c>
      <c r="G29" s="576">
        <v>4546352.51</v>
      </c>
      <c r="H29" s="386">
        <v>3055798.05</v>
      </c>
      <c r="I29" s="386">
        <v>3201599.62</v>
      </c>
      <c r="J29" s="386">
        <f>+E29-G29</f>
        <v>2042569.4900000002</v>
      </c>
      <c r="K29" s="386">
        <f>+D29-G29</f>
        <v>10130545.49</v>
      </c>
      <c r="L29" s="387">
        <f>+G29/E29*100</f>
        <v>68.999944300448533</v>
      </c>
      <c r="N29" s="594"/>
    </row>
    <row r="30" spans="1:17" ht="24.95" customHeight="1" thickBot="1" x14ac:dyDescent="0.25">
      <c r="A30" s="403"/>
      <c r="B30" s="404"/>
      <c r="C30" s="405"/>
      <c r="D30" s="405" t="s">
        <v>6</v>
      </c>
      <c r="E30" s="406"/>
      <c r="F30" s="405"/>
      <c r="G30" s="405" t="s">
        <v>6</v>
      </c>
      <c r="H30" s="405"/>
      <c r="I30" s="405"/>
      <c r="J30" s="405"/>
      <c r="K30" s="405" t="s">
        <v>6</v>
      </c>
      <c r="L30" s="407" t="s">
        <v>6</v>
      </c>
      <c r="M30" t="s">
        <v>6</v>
      </c>
      <c r="N30" s="45"/>
    </row>
    <row r="31" spans="1:17" ht="11.25" customHeight="1" thickTop="1" x14ac:dyDescent="0.2">
      <c r="A31" s="408"/>
      <c r="B31" s="234"/>
      <c r="C31" s="409"/>
      <c r="D31" s="409"/>
      <c r="E31" s="409"/>
      <c r="F31" s="409"/>
      <c r="G31" s="409" t="s">
        <v>6</v>
      </c>
      <c r="H31" s="409"/>
      <c r="I31" s="409"/>
      <c r="J31" s="409"/>
      <c r="K31" s="409" t="s">
        <v>6</v>
      </c>
      <c r="L31"/>
    </row>
    <row r="32" spans="1:17" ht="13.5" customHeight="1" x14ac:dyDescent="0.2">
      <c r="A32" s="410"/>
      <c r="B32" s="606" t="s">
        <v>506</v>
      </c>
      <c r="C32" s="606"/>
      <c r="D32" s="411"/>
      <c r="E32" s="411"/>
      <c r="F32" s="411"/>
      <c r="G32" s="412"/>
      <c r="H32" s="412"/>
      <c r="I32" s="412"/>
      <c r="J32" s="412"/>
      <c r="K32" s="413"/>
      <c r="L32"/>
    </row>
    <row r="38" spans="12:12" x14ac:dyDescent="0.2">
      <c r="L38" s="25" t="s">
        <v>6</v>
      </c>
    </row>
  </sheetData>
  <mergeCells count="10">
    <mergeCell ref="B32:C32"/>
    <mergeCell ref="B1:L1"/>
    <mergeCell ref="B2:L2"/>
    <mergeCell ref="A6:A7"/>
    <mergeCell ref="B6:B7"/>
    <mergeCell ref="L6:L7"/>
    <mergeCell ref="A3:L3"/>
    <mergeCell ref="A4:L4"/>
    <mergeCell ref="J6:K7"/>
    <mergeCell ref="C6:I6"/>
  </mergeCells>
  <phoneticPr fontId="3" type="noConversion"/>
  <pageMargins left="3.937007874015748E-2" right="0" top="0.55118110236220474" bottom="0.35433070866141736" header="0.51181102362204722" footer="0.98425196850393704"/>
  <pageSetup scale="75" firstPageNumber="0" fitToWidth="0" fitToHeight="0" orientation="portrait" r:id="rId1"/>
  <headerFooter alignWithMargins="0">
    <oddFooter xml:space="preserve">&amp;R&amp;"Times New Roman,Normal"&amp;12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1:N44"/>
  <sheetViews>
    <sheetView showGridLines="0" showZeros="0" workbookViewId="0">
      <selection activeCell="P13" sqref="P13"/>
    </sheetView>
  </sheetViews>
  <sheetFormatPr baseColWidth="10" defaultRowHeight="12.75" x14ac:dyDescent="0.2"/>
  <cols>
    <col min="1" max="1" width="72" customWidth="1"/>
    <col min="2" max="2" width="12.7109375" customWidth="1"/>
    <col min="3" max="3" width="14.140625" customWidth="1"/>
    <col min="4" max="4" width="13" customWidth="1"/>
    <col min="5" max="5" width="0.85546875" hidden="1" customWidth="1"/>
    <col min="6" max="6" width="16.28515625" customWidth="1"/>
    <col min="7" max="7" width="13.28515625" customWidth="1"/>
    <col min="8" max="8" width="13" customWidth="1"/>
    <col min="9" max="9" width="14.85546875" customWidth="1"/>
    <col min="10" max="10" width="0.140625" hidden="1" customWidth="1"/>
    <col min="11" max="11" width="14.140625" customWidth="1"/>
    <col min="12" max="12" width="12.85546875" customWidth="1"/>
    <col min="13" max="13" width="18.42578125" customWidth="1"/>
    <col min="14" max="14" width="8" customWidth="1"/>
  </cols>
  <sheetData>
    <row r="1" spans="1:13" ht="20.100000000000001" customHeight="1" x14ac:dyDescent="0.25">
      <c r="A1" s="609" t="s">
        <v>388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</row>
    <row r="2" spans="1:13" ht="20.100000000000001" customHeight="1" x14ac:dyDescent="0.25">
      <c r="A2" s="609" t="s">
        <v>387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</row>
    <row r="3" spans="1:13" ht="20.100000000000001" customHeight="1" x14ac:dyDescent="0.25">
      <c r="A3" s="610" t="s">
        <v>549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</row>
    <row r="4" spans="1:13" ht="20.100000000000001" customHeight="1" x14ac:dyDescent="0.25">
      <c r="A4" s="610" t="s">
        <v>553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</row>
    <row r="5" spans="1:13" ht="10.5" customHeight="1" x14ac:dyDescent="0.25">
      <c r="A5" s="184"/>
      <c r="B5" s="184"/>
      <c r="C5" s="184"/>
      <c r="D5" s="184"/>
      <c r="E5" s="184"/>
      <c r="F5" s="414"/>
      <c r="G5" s="414"/>
      <c r="H5" s="414"/>
      <c r="I5" s="414"/>
      <c r="J5" s="414"/>
    </row>
    <row r="6" spans="1:13" ht="20.25" customHeight="1" x14ac:dyDescent="0.2">
      <c r="A6" s="718" t="s">
        <v>322</v>
      </c>
      <c r="B6" s="720" t="s">
        <v>31</v>
      </c>
      <c r="C6" s="721"/>
      <c r="D6" s="721"/>
      <c r="E6" s="721"/>
      <c r="F6" s="721"/>
      <c r="G6" s="721"/>
      <c r="H6" s="722"/>
      <c r="I6" s="714" t="s">
        <v>307</v>
      </c>
      <c r="J6" s="415" t="s">
        <v>381</v>
      </c>
      <c r="K6" s="716" t="s">
        <v>380</v>
      </c>
    </row>
    <row r="7" spans="1:13" ht="24" customHeight="1" x14ac:dyDescent="0.2">
      <c r="A7" s="719"/>
      <c r="B7" s="582" t="s">
        <v>87</v>
      </c>
      <c r="C7" s="583" t="s">
        <v>12</v>
      </c>
      <c r="D7" s="583" t="s">
        <v>2</v>
      </c>
      <c r="E7" s="583" t="s">
        <v>36</v>
      </c>
      <c r="F7" s="583" t="s">
        <v>546</v>
      </c>
      <c r="G7" s="583" t="s">
        <v>544</v>
      </c>
      <c r="H7" s="583" t="s">
        <v>355</v>
      </c>
      <c r="I7" s="715"/>
      <c r="J7" s="416"/>
      <c r="K7" s="717"/>
    </row>
    <row r="8" spans="1:13" ht="20.100000000000001" customHeight="1" x14ac:dyDescent="0.25">
      <c r="A8" s="417" t="s">
        <v>319</v>
      </c>
      <c r="B8" s="418">
        <f t="shared" ref="B8:H8" si="0">SUM(B9:B15)</f>
        <v>27799680</v>
      </c>
      <c r="C8" s="419">
        <f>SUM(C9:C15)</f>
        <v>26787159</v>
      </c>
      <c r="D8" s="419">
        <f t="shared" si="0"/>
        <v>14716855</v>
      </c>
      <c r="E8" s="419">
        <f t="shared" si="0"/>
        <v>631221.5</v>
      </c>
      <c r="F8" s="601">
        <v>4966804.3599999994</v>
      </c>
      <c r="G8" s="601">
        <f t="shared" si="0"/>
        <v>75768.53</v>
      </c>
      <c r="H8" s="601">
        <f t="shared" si="0"/>
        <v>51685.38</v>
      </c>
      <c r="I8" s="601">
        <f>+I9+I15+I10</f>
        <v>8721876.6400000006</v>
      </c>
      <c r="J8" s="420" t="e">
        <f>+J9+J15+#REF!+J10</f>
        <v>#REF!</v>
      </c>
      <c r="K8" s="421">
        <f>+F8*100/D8</f>
        <v>33.749088103402521</v>
      </c>
    </row>
    <row r="9" spans="1:13" ht="20.100000000000001" customHeight="1" x14ac:dyDescent="0.2">
      <c r="A9" s="72" t="s">
        <v>320</v>
      </c>
      <c r="B9" s="422">
        <f>9834974</f>
        <v>9834974</v>
      </c>
      <c r="C9" s="422">
        <f>9728714</f>
        <v>9728714</v>
      </c>
      <c r="D9" s="423">
        <v>4791062</v>
      </c>
      <c r="E9" s="423">
        <v>494339.72</v>
      </c>
      <c r="F9" s="423">
        <v>2316491.52</v>
      </c>
      <c r="G9" s="423">
        <v>24784</v>
      </c>
      <c r="H9" s="423">
        <v>0</v>
      </c>
      <c r="I9" s="423">
        <f>+D9-F9</f>
        <v>2474570.48</v>
      </c>
      <c r="J9" s="424">
        <f>+C9-F9</f>
        <v>7412222.4800000004</v>
      </c>
      <c r="K9" s="425">
        <f>+F9*100/D9</f>
        <v>48.350272236092955</v>
      </c>
    </row>
    <row r="10" spans="1:13" ht="36.75" customHeight="1" x14ac:dyDescent="0.2">
      <c r="A10" s="426" t="s">
        <v>359</v>
      </c>
      <c r="B10" s="427">
        <v>5000000</v>
      </c>
      <c r="C10" s="427">
        <v>4440566</v>
      </c>
      <c r="D10" s="428">
        <v>2383570</v>
      </c>
      <c r="E10" s="428">
        <v>136881.78</v>
      </c>
      <c r="F10" s="428">
        <v>1163060.99</v>
      </c>
      <c r="G10" s="428">
        <v>50984.53</v>
      </c>
      <c r="H10" s="428">
        <v>51685.38</v>
      </c>
      <c r="I10" s="428">
        <f>+D10-F10</f>
        <v>1220509.01</v>
      </c>
      <c r="J10" s="429">
        <f>+C10-F10</f>
        <v>3277505.01</v>
      </c>
      <c r="K10" s="430">
        <f>+F10*100/D10</f>
        <v>48.794916448856128</v>
      </c>
      <c r="M10" s="140"/>
    </row>
    <row r="11" spans="1:13" ht="26.25" customHeight="1" x14ac:dyDescent="0.2">
      <c r="A11" s="431" t="s">
        <v>487</v>
      </c>
      <c r="B11" s="422">
        <v>382798</v>
      </c>
      <c r="C11" s="422">
        <v>306238</v>
      </c>
      <c r="D11" s="423">
        <v>114839</v>
      </c>
      <c r="E11" s="423"/>
      <c r="F11" s="423"/>
      <c r="G11" s="423"/>
      <c r="H11" s="423"/>
      <c r="I11" s="423"/>
      <c r="J11" s="424"/>
      <c r="K11" s="432"/>
    </row>
    <row r="12" spans="1:13" ht="21.6" customHeight="1" x14ac:dyDescent="0.2">
      <c r="A12" s="431" t="s">
        <v>488</v>
      </c>
      <c r="B12" s="422">
        <v>2000000</v>
      </c>
      <c r="C12" s="422">
        <v>1626000</v>
      </c>
      <c r="D12" s="423">
        <v>623987</v>
      </c>
      <c r="E12" s="423"/>
      <c r="F12" s="423"/>
      <c r="G12" s="423"/>
      <c r="H12" s="423"/>
      <c r="I12" s="423"/>
      <c r="J12" s="424"/>
      <c r="K12" s="425"/>
    </row>
    <row r="13" spans="1:13" ht="27" customHeight="1" x14ac:dyDescent="0.2">
      <c r="A13" s="431" t="s">
        <v>489</v>
      </c>
      <c r="B13" s="427">
        <v>1135854</v>
      </c>
      <c r="C13" s="427">
        <v>857034</v>
      </c>
      <c r="D13" s="428">
        <v>281044</v>
      </c>
      <c r="E13" s="428"/>
      <c r="F13" s="428"/>
      <c r="G13" s="428"/>
      <c r="H13" s="428"/>
      <c r="I13" s="428"/>
      <c r="J13" s="429"/>
      <c r="K13" s="433"/>
    </row>
    <row r="14" spans="1:13" ht="21.6" customHeight="1" x14ac:dyDescent="0.2">
      <c r="A14" s="431" t="s">
        <v>468</v>
      </c>
      <c r="B14" s="427">
        <v>283423</v>
      </c>
      <c r="C14" s="427">
        <v>631551</v>
      </c>
      <c r="D14" s="428">
        <v>489840</v>
      </c>
      <c r="E14" s="428"/>
      <c r="F14" s="428">
        <v>481536</v>
      </c>
      <c r="G14" s="428"/>
      <c r="H14" s="428"/>
      <c r="I14" s="428"/>
      <c r="J14" s="429"/>
      <c r="K14" s="433"/>
    </row>
    <row r="15" spans="1:13" ht="20.100000000000001" customHeight="1" x14ac:dyDescent="0.2">
      <c r="A15" s="72" t="s">
        <v>345</v>
      </c>
      <c r="B15" s="422">
        <v>9162631</v>
      </c>
      <c r="C15" s="422">
        <v>9197056</v>
      </c>
      <c r="D15" s="423">
        <v>6032513</v>
      </c>
      <c r="E15" s="423"/>
      <c r="F15" s="423">
        <v>1005715.8500000001</v>
      </c>
      <c r="G15" s="423"/>
      <c r="H15" s="423">
        <v>0</v>
      </c>
      <c r="I15" s="423">
        <f>+D15-F15</f>
        <v>5026797.1500000004</v>
      </c>
      <c r="J15" s="424">
        <f>+C15-F15</f>
        <v>8191340.1500000004</v>
      </c>
      <c r="K15" s="425">
        <f>+F15*100/D15</f>
        <v>16.671590264289527</v>
      </c>
      <c r="M15" s="45"/>
    </row>
    <row r="16" spans="1:13" ht="20.100000000000001" customHeight="1" x14ac:dyDescent="0.25">
      <c r="A16" s="434" t="s">
        <v>321</v>
      </c>
      <c r="B16" s="435">
        <f>SUM(B17:B30)</f>
        <v>15761574</v>
      </c>
      <c r="C16" s="436">
        <f>SUM(C17:C30)</f>
        <v>16408624</v>
      </c>
      <c r="D16" s="436">
        <f>SUM(D17:D30)</f>
        <v>9157415</v>
      </c>
      <c r="E16" s="436">
        <f>SUM(E17:E30)</f>
        <v>973832.55999999994</v>
      </c>
      <c r="F16" s="419">
        <v>3264675.77</v>
      </c>
      <c r="G16" s="419">
        <f>SUM(G17:G30)</f>
        <v>980104.75000000012</v>
      </c>
      <c r="H16" s="436">
        <f>SUM(H17:H30)</f>
        <v>486728.25</v>
      </c>
      <c r="I16" s="436">
        <f>D16-F16</f>
        <v>5892739.2300000004</v>
      </c>
      <c r="J16" s="420">
        <f>+C16-F16</f>
        <v>13143948.23</v>
      </c>
      <c r="K16" s="421">
        <f>+F16*100/D16</f>
        <v>35.650625968136204</v>
      </c>
    </row>
    <row r="17" spans="1:12" ht="21.6" customHeight="1" x14ac:dyDescent="0.2">
      <c r="A17" s="437" t="s">
        <v>405</v>
      </c>
      <c r="B17" s="438">
        <v>2896997</v>
      </c>
      <c r="C17" s="439">
        <v>3388721</v>
      </c>
      <c r="D17" s="423">
        <v>2372518</v>
      </c>
      <c r="E17" s="423">
        <v>437390.93</v>
      </c>
      <c r="F17" s="423">
        <v>1241325.9000000001</v>
      </c>
      <c r="G17" s="423">
        <v>89307.09</v>
      </c>
      <c r="H17" s="423">
        <v>60189</v>
      </c>
      <c r="I17" s="423">
        <f>+D17-F17</f>
        <v>1131192.0999999999</v>
      </c>
      <c r="J17" s="424"/>
      <c r="K17" s="425">
        <f>+F17*100/D17</f>
        <v>52.321031916301592</v>
      </c>
    </row>
    <row r="18" spans="1:12" ht="21.6" customHeight="1" x14ac:dyDescent="0.2">
      <c r="A18" s="426" t="s">
        <v>470</v>
      </c>
      <c r="B18" s="438">
        <v>1200000</v>
      </c>
      <c r="C18" s="439">
        <v>1200000</v>
      </c>
      <c r="D18" s="423">
        <v>600000</v>
      </c>
      <c r="E18" s="423">
        <v>11469.07</v>
      </c>
      <c r="F18" s="423">
        <v>430390.75</v>
      </c>
      <c r="G18" s="423">
        <v>421297.08</v>
      </c>
      <c r="H18" s="423">
        <v>9270.65</v>
      </c>
      <c r="I18" s="423"/>
      <c r="J18" s="424"/>
      <c r="K18" s="432"/>
    </row>
    <row r="19" spans="1:12" ht="20.100000000000001" customHeight="1" x14ac:dyDescent="0.2">
      <c r="A19" s="426" t="s">
        <v>469</v>
      </c>
      <c r="B19" s="438">
        <v>4628400</v>
      </c>
      <c r="C19" s="439">
        <v>3965266</v>
      </c>
      <c r="D19" s="423">
        <v>1698729</v>
      </c>
      <c r="E19" s="423"/>
      <c r="F19" s="423">
        <v>40970.1</v>
      </c>
      <c r="G19" s="423">
        <v>40970.1</v>
      </c>
      <c r="H19" s="423">
        <v>40970.1</v>
      </c>
      <c r="I19" s="423">
        <f>+D19-F19</f>
        <v>1657758.9</v>
      </c>
      <c r="J19" s="424">
        <f>+C19-F19</f>
        <v>3924295.9</v>
      </c>
      <c r="K19" s="425">
        <f>+F19*100/D19</f>
        <v>2.4118090643063139</v>
      </c>
    </row>
    <row r="20" spans="1:12" ht="20.100000000000001" customHeight="1" x14ac:dyDescent="0.2">
      <c r="A20" s="426" t="s">
        <v>471</v>
      </c>
      <c r="B20" s="438">
        <v>2000000</v>
      </c>
      <c r="C20" s="439">
        <v>2594508</v>
      </c>
      <c r="D20" s="423">
        <v>1594511</v>
      </c>
      <c r="E20" s="423">
        <v>298276.53000000003</v>
      </c>
      <c r="F20" s="423">
        <v>880566.20000000007</v>
      </c>
      <c r="G20" s="423">
        <v>349179.4</v>
      </c>
      <c r="H20" s="423">
        <v>339185.19</v>
      </c>
      <c r="I20" s="423">
        <v>339185.19</v>
      </c>
      <c r="J20" s="424"/>
      <c r="K20" s="425">
        <f>+F20*100/D20</f>
        <v>55.224843227798367</v>
      </c>
    </row>
    <row r="21" spans="1:12" ht="20.100000000000001" customHeight="1" x14ac:dyDescent="0.2">
      <c r="A21" s="426" t="s">
        <v>472</v>
      </c>
      <c r="B21" s="438">
        <v>1000000</v>
      </c>
      <c r="C21" s="439">
        <v>1150681</v>
      </c>
      <c r="D21" s="423">
        <v>804829</v>
      </c>
      <c r="E21" s="423">
        <v>131026.85</v>
      </c>
      <c r="F21" s="423">
        <v>280420.34999999998</v>
      </c>
      <c r="G21" s="423"/>
      <c r="H21" s="423"/>
      <c r="I21" s="423"/>
      <c r="J21" s="424"/>
      <c r="K21" s="425">
        <f t="shared" ref="K21:K30" si="1">+F21*100/D21</f>
        <v>34.842227355127605</v>
      </c>
    </row>
    <row r="22" spans="1:12" ht="20.100000000000001" customHeight="1" x14ac:dyDescent="0.2">
      <c r="A22" s="437" t="s">
        <v>382</v>
      </c>
      <c r="B22" s="438">
        <v>1270000</v>
      </c>
      <c r="C22" s="439">
        <v>1270000</v>
      </c>
      <c r="D22" s="423">
        <v>635000</v>
      </c>
      <c r="E22" s="423">
        <v>3490.88</v>
      </c>
      <c r="F22" s="423">
        <v>5577.64</v>
      </c>
      <c r="G22" s="423">
        <v>2086.7600000000002</v>
      </c>
      <c r="H22" s="423">
        <v>2086.7600000000002</v>
      </c>
      <c r="I22" s="423"/>
      <c r="J22" s="424"/>
      <c r="K22" s="425">
        <f t="shared" si="1"/>
        <v>0.87836850393700783</v>
      </c>
    </row>
    <row r="23" spans="1:12" ht="20.100000000000001" customHeight="1" x14ac:dyDescent="0.2">
      <c r="A23" s="426" t="s">
        <v>474</v>
      </c>
      <c r="B23" s="438">
        <v>106000</v>
      </c>
      <c r="C23" s="439">
        <v>106000</v>
      </c>
      <c r="D23" s="423">
        <v>53000</v>
      </c>
      <c r="E23" s="423"/>
      <c r="F23" s="423"/>
      <c r="G23" s="423"/>
      <c r="H23" s="423"/>
      <c r="I23" s="423"/>
      <c r="J23" s="424"/>
      <c r="K23" s="425">
        <f t="shared" si="1"/>
        <v>0</v>
      </c>
    </row>
    <row r="24" spans="1:12" ht="20.100000000000001" customHeight="1" x14ac:dyDescent="0.2">
      <c r="A24" s="426" t="s">
        <v>473</v>
      </c>
      <c r="B24" s="438">
        <v>149583</v>
      </c>
      <c r="C24" s="439">
        <v>149583</v>
      </c>
      <c r="D24" s="423">
        <v>74792</v>
      </c>
      <c r="E24" s="423"/>
      <c r="F24" s="423">
        <v>64495.82</v>
      </c>
      <c r="G24" s="423">
        <v>437.63</v>
      </c>
      <c r="H24" s="423">
        <v>437.63</v>
      </c>
      <c r="I24" s="423"/>
      <c r="J24" s="424"/>
      <c r="K24" s="425">
        <f t="shared" si="1"/>
        <v>86.233581131671841</v>
      </c>
    </row>
    <row r="25" spans="1:12" ht="22.5" customHeight="1" x14ac:dyDescent="0.2">
      <c r="A25" s="426" t="s">
        <v>475</v>
      </c>
      <c r="B25" s="438">
        <v>750000</v>
      </c>
      <c r="C25" s="439">
        <f>SUM(B25:B25)</f>
        <v>750000</v>
      </c>
      <c r="D25" s="423">
        <v>375000</v>
      </c>
      <c r="E25" s="423">
        <v>52424.65</v>
      </c>
      <c r="F25" s="423">
        <v>54029.65</v>
      </c>
      <c r="G25" s="423"/>
      <c r="H25" s="423"/>
      <c r="I25" s="423">
        <f>+D25-F25</f>
        <v>320970.34999999998</v>
      </c>
      <c r="J25" s="424">
        <f>+C25-F25</f>
        <v>695970.35</v>
      </c>
      <c r="K25" s="425">
        <f t="shared" si="1"/>
        <v>14.407906666666667</v>
      </c>
      <c r="L25" s="140"/>
    </row>
    <row r="26" spans="1:12" ht="23.25" customHeight="1" x14ac:dyDescent="0.2">
      <c r="A26" s="426" t="s">
        <v>476</v>
      </c>
      <c r="B26" s="438">
        <v>519956</v>
      </c>
      <c r="C26" s="439">
        <v>510126</v>
      </c>
      <c r="D26" s="423">
        <v>245613</v>
      </c>
      <c r="E26" s="423">
        <v>15418.97</v>
      </c>
      <c r="F26" s="423">
        <v>58100.68</v>
      </c>
      <c r="G26" s="423">
        <v>15847.72</v>
      </c>
      <c r="H26" s="423">
        <v>16476.32</v>
      </c>
      <c r="I26" s="423">
        <f>+D26-F26</f>
        <v>187512.32000000001</v>
      </c>
      <c r="J26" s="424">
        <f>+C26-F26</f>
        <v>452025.32</v>
      </c>
      <c r="K26" s="425">
        <f t="shared" si="1"/>
        <v>23.655376547658307</v>
      </c>
    </row>
    <row r="27" spans="1:12" ht="23.25" customHeight="1" x14ac:dyDescent="0.2">
      <c r="A27" s="426" t="s">
        <v>477</v>
      </c>
      <c r="B27" s="440">
        <v>271625</v>
      </c>
      <c r="C27" s="439">
        <v>278322</v>
      </c>
      <c r="D27" s="423">
        <v>142510</v>
      </c>
      <c r="E27" s="423">
        <v>6496</v>
      </c>
      <c r="F27" s="423">
        <v>59422</v>
      </c>
      <c r="G27" s="423"/>
      <c r="H27" s="423"/>
      <c r="I27" s="423"/>
      <c r="J27" s="424"/>
      <c r="K27" s="425">
        <f t="shared" si="1"/>
        <v>41.696723036979861</v>
      </c>
    </row>
    <row r="28" spans="1:12" ht="23.25" customHeight="1" x14ac:dyDescent="0.2">
      <c r="A28" s="426" t="s">
        <v>480</v>
      </c>
      <c r="B28" s="440">
        <v>394105</v>
      </c>
      <c r="C28" s="439">
        <v>387079</v>
      </c>
      <c r="D28" s="423">
        <v>190027</v>
      </c>
      <c r="E28" s="423">
        <v>2494.25</v>
      </c>
      <c r="F28" s="423">
        <v>15667.98</v>
      </c>
      <c r="G28" s="423">
        <v>4581.91</v>
      </c>
      <c r="H28" s="423">
        <v>4581.91</v>
      </c>
      <c r="I28" s="423"/>
      <c r="J28" s="424"/>
      <c r="K28" s="425">
        <f t="shared" si="1"/>
        <v>8.2451335862798452</v>
      </c>
    </row>
    <row r="29" spans="1:12" ht="23.25" customHeight="1" x14ac:dyDescent="0.2">
      <c r="A29" s="426" t="s">
        <v>478</v>
      </c>
      <c r="B29" s="440">
        <v>437560</v>
      </c>
      <c r="C29" s="439">
        <v>472174</v>
      </c>
      <c r="D29" s="423">
        <v>253396</v>
      </c>
      <c r="E29" s="423">
        <v>13695.83</v>
      </c>
      <c r="F29" s="423">
        <v>124419.76</v>
      </c>
      <c r="G29" s="423">
        <v>49659.5</v>
      </c>
      <c r="H29" s="423">
        <v>6676.8</v>
      </c>
      <c r="I29" s="423"/>
      <c r="J29" s="424"/>
      <c r="K29" s="425">
        <f t="shared" si="1"/>
        <v>49.100917141549196</v>
      </c>
    </row>
    <row r="30" spans="1:12" ht="23.25" customHeight="1" x14ac:dyDescent="0.2">
      <c r="A30" s="426" t="s">
        <v>479</v>
      </c>
      <c r="B30" s="440">
        <v>137348</v>
      </c>
      <c r="C30" s="439">
        <v>186164</v>
      </c>
      <c r="D30" s="423">
        <v>117490</v>
      </c>
      <c r="E30" s="423">
        <v>1648.6</v>
      </c>
      <c r="F30" s="423">
        <v>9288.94</v>
      </c>
      <c r="G30" s="423">
        <v>6737.56</v>
      </c>
      <c r="H30" s="423">
        <v>6853.89</v>
      </c>
      <c r="I30" s="423"/>
      <c r="J30" s="424"/>
      <c r="K30" s="425">
        <f t="shared" si="1"/>
        <v>7.9061537152098049</v>
      </c>
    </row>
    <row r="31" spans="1:12" ht="23.25" customHeight="1" x14ac:dyDescent="0.2">
      <c r="A31" s="603"/>
      <c r="B31" s="604"/>
      <c r="C31" s="604"/>
      <c r="D31" s="604"/>
      <c r="E31" s="605"/>
      <c r="F31" s="605"/>
      <c r="G31" s="605"/>
      <c r="H31" s="605"/>
      <c r="I31" s="605"/>
      <c r="J31" s="603"/>
      <c r="K31" s="603"/>
    </row>
    <row r="32" spans="1:12" ht="5.25" customHeight="1" x14ac:dyDescent="0.2">
      <c r="B32" s="577"/>
      <c r="D32" s="577"/>
      <c r="E32" s="1"/>
      <c r="F32" s="1"/>
      <c r="G32" s="602"/>
      <c r="H32" s="1"/>
      <c r="I32" s="602"/>
    </row>
    <row r="33" spans="1:14" ht="20.100000000000001" customHeight="1" x14ac:dyDescent="0.25">
      <c r="A33" s="434" t="s">
        <v>360</v>
      </c>
      <c r="B33" s="418">
        <f>SUM(B34:B41)</f>
        <v>13343940</v>
      </c>
      <c r="C33" s="418">
        <f t="shared" ref="C33:H33" si="2">SUM(C34:C41)</f>
        <v>13709411</v>
      </c>
      <c r="D33" s="418">
        <f t="shared" si="2"/>
        <v>7277843</v>
      </c>
      <c r="E33" s="418">
        <f t="shared" si="2"/>
        <v>293299.74</v>
      </c>
      <c r="F33" s="418">
        <v>2533885.08</v>
      </c>
      <c r="G33" s="418">
        <f t="shared" si="2"/>
        <v>468945.05</v>
      </c>
      <c r="H33" s="418">
        <f t="shared" si="2"/>
        <v>411544.48</v>
      </c>
      <c r="I33" s="419">
        <f>D33-F33</f>
        <v>4743957.92</v>
      </c>
      <c r="J33" s="420">
        <f>C33-F33</f>
        <v>11175525.92</v>
      </c>
      <c r="K33" s="421">
        <f>+F33*100/D33</f>
        <v>34.816429538257424</v>
      </c>
      <c r="N33" s="1"/>
    </row>
    <row r="34" spans="1:14" ht="20.100000000000001" customHeight="1" x14ac:dyDescent="0.2">
      <c r="A34" s="441" t="s">
        <v>481</v>
      </c>
      <c r="B34" s="442">
        <v>350999</v>
      </c>
      <c r="C34" s="424">
        <v>342902</v>
      </c>
      <c r="D34" s="423">
        <v>167403</v>
      </c>
      <c r="E34" s="423">
        <v>59385</v>
      </c>
      <c r="F34" s="423">
        <v>96085.81</v>
      </c>
      <c r="G34" s="423">
        <v>902.01</v>
      </c>
      <c r="H34" s="423">
        <v>902.01</v>
      </c>
      <c r="I34" s="423"/>
      <c r="J34" s="424"/>
      <c r="K34" s="432"/>
    </row>
    <row r="35" spans="1:14" ht="20.100000000000001" customHeight="1" x14ac:dyDescent="0.2">
      <c r="A35" s="443" t="s">
        <v>356</v>
      </c>
      <c r="B35" s="438">
        <v>779586</v>
      </c>
      <c r="C35" s="438">
        <v>663668</v>
      </c>
      <c r="D35" s="439">
        <v>273875</v>
      </c>
      <c r="E35" s="439"/>
      <c r="F35" s="423">
        <v>99999.29</v>
      </c>
      <c r="G35" s="423">
        <v>3136.29</v>
      </c>
      <c r="H35" s="423">
        <v>3136.29</v>
      </c>
      <c r="I35" s="423">
        <f>D35-F35</f>
        <v>173875.71000000002</v>
      </c>
      <c r="J35" s="424">
        <f>+C35-F35</f>
        <v>563668.71</v>
      </c>
      <c r="K35" s="425">
        <f t="shared" ref="K35:K41" si="3">+F35*100/D35</f>
        <v>36.512748516659059</v>
      </c>
    </row>
    <row r="36" spans="1:14" ht="28.15" customHeight="1" x14ac:dyDescent="0.2">
      <c r="A36" s="444" t="s">
        <v>368</v>
      </c>
      <c r="B36" s="445">
        <v>1000000</v>
      </c>
      <c r="C36" s="445">
        <v>1001000</v>
      </c>
      <c r="D36" s="439">
        <v>501000</v>
      </c>
      <c r="E36" s="439"/>
      <c r="F36" s="423">
        <v>0</v>
      </c>
      <c r="G36" s="423"/>
      <c r="H36" s="423"/>
      <c r="I36" s="423">
        <f>D36-F36</f>
        <v>501000</v>
      </c>
      <c r="J36" s="424">
        <f>+C36-F36</f>
        <v>1001000</v>
      </c>
      <c r="K36" s="425">
        <f t="shared" si="3"/>
        <v>0</v>
      </c>
    </row>
    <row r="37" spans="1:14" ht="28.15" customHeight="1" x14ac:dyDescent="0.2">
      <c r="A37" s="444" t="s">
        <v>482</v>
      </c>
      <c r="B37" s="445">
        <v>1845166</v>
      </c>
      <c r="C37" s="445">
        <v>1927454</v>
      </c>
      <c r="D37" s="439">
        <v>1004871</v>
      </c>
      <c r="E37" s="439"/>
      <c r="F37" s="423">
        <v>431911</v>
      </c>
      <c r="G37" s="423">
        <v>53514.3</v>
      </c>
      <c r="H37" s="423">
        <v>53514.3</v>
      </c>
      <c r="I37" s="423">
        <f t="shared" ref="I37:I41" si="4">D37-F37</f>
        <v>572960</v>
      </c>
      <c r="J37" s="424"/>
      <c r="K37" s="425">
        <f t="shared" si="3"/>
        <v>42.981735964118776</v>
      </c>
    </row>
    <row r="38" spans="1:14" ht="33.75" customHeight="1" x14ac:dyDescent="0.2">
      <c r="A38" s="444" t="s">
        <v>483</v>
      </c>
      <c r="B38" s="445">
        <v>4700585</v>
      </c>
      <c r="C38" s="445">
        <v>5025783</v>
      </c>
      <c r="D38" s="439">
        <v>2675491</v>
      </c>
      <c r="E38" s="439">
        <v>227153</v>
      </c>
      <c r="F38" s="423">
        <v>1571372.94</v>
      </c>
      <c r="G38" s="423">
        <v>83252.539999999994</v>
      </c>
      <c r="H38" s="423">
        <v>51917.77</v>
      </c>
      <c r="I38" s="423">
        <f t="shared" si="4"/>
        <v>1104118.06</v>
      </c>
      <c r="J38" s="424"/>
      <c r="K38" s="425">
        <f t="shared" si="3"/>
        <v>58.7321332794616</v>
      </c>
    </row>
    <row r="39" spans="1:14" ht="33.75" customHeight="1" x14ac:dyDescent="0.2">
      <c r="A39" s="444" t="s">
        <v>484</v>
      </c>
      <c r="B39" s="445">
        <v>500000</v>
      </c>
      <c r="C39" s="445">
        <v>799000</v>
      </c>
      <c r="D39" s="439">
        <v>799000</v>
      </c>
      <c r="E39" s="439"/>
      <c r="F39" s="423"/>
      <c r="G39" s="423"/>
      <c r="H39" s="423"/>
      <c r="I39" s="423">
        <f t="shared" si="4"/>
        <v>799000</v>
      </c>
      <c r="J39" s="424"/>
      <c r="K39" s="425">
        <f t="shared" si="3"/>
        <v>0</v>
      </c>
    </row>
    <row r="40" spans="1:14" ht="36" customHeight="1" x14ac:dyDescent="0.2">
      <c r="A40" s="444" t="s">
        <v>485</v>
      </c>
      <c r="B40" s="445">
        <v>2067604</v>
      </c>
      <c r="C40" s="445">
        <v>1849604</v>
      </c>
      <c r="D40" s="439">
        <v>806203</v>
      </c>
      <c r="E40" s="439">
        <v>6761.74</v>
      </c>
      <c r="F40" s="423">
        <v>35516.049999999996</v>
      </c>
      <c r="G40" s="423">
        <v>29139.919999999998</v>
      </c>
      <c r="H40" s="423">
        <v>12318.53</v>
      </c>
      <c r="I40" s="423">
        <f t="shared" si="4"/>
        <v>770686.95</v>
      </c>
      <c r="J40" s="424"/>
      <c r="K40" s="425">
        <f t="shared" si="3"/>
        <v>4.4053482807679947</v>
      </c>
      <c r="M40">
        <f>23609.62+5144.69</f>
        <v>28754.309999999998</v>
      </c>
    </row>
    <row r="41" spans="1:14" ht="28.15" customHeight="1" x14ac:dyDescent="0.2">
      <c r="A41" s="444" t="s">
        <v>486</v>
      </c>
      <c r="B41" s="445">
        <v>2100000</v>
      </c>
      <c r="C41" s="445">
        <v>2100000</v>
      </c>
      <c r="D41" s="439">
        <v>1050000</v>
      </c>
      <c r="E41" s="440"/>
      <c r="F41" s="446">
        <v>298999.99</v>
      </c>
      <c r="G41" s="447">
        <v>298999.99</v>
      </c>
      <c r="H41" s="423">
        <v>289755.58</v>
      </c>
      <c r="I41" s="423">
        <f t="shared" si="4"/>
        <v>751000.01</v>
      </c>
      <c r="J41" s="424"/>
      <c r="K41" s="425">
        <f t="shared" si="3"/>
        <v>28.476189523809524</v>
      </c>
      <c r="M41">
        <f>299000-0.01</f>
        <v>298999.99</v>
      </c>
    </row>
    <row r="42" spans="1:14" ht="20.100000000000001" customHeight="1" x14ac:dyDescent="0.25">
      <c r="A42" s="448" t="s">
        <v>30</v>
      </c>
      <c r="B42" s="449">
        <f>B8+B16+B33</f>
        <v>56905194</v>
      </c>
      <c r="C42" s="419">
        <f>SUM(B42:B42)</f>
        <v>56905194</v>
      </c>
      <c r="D42" s="419">
        <f>D8+D16+D33</f>
        <v>31152113</v>
      </c>
      <c r="E42" s="449">
        <f>E8+E16+E33</f>
        <v>1898353.8</v>
      </c>
      <c r="F42" s="450">
        <v>10765365.210000001</v>
      </c>
      <c r="G42" s="449">
        <f>G8+G16+G33</f>
        <v>1524818.33</v>
      </c>
      <c r="H42" s="449">
        <f>H8+H16+H33</f>
        <v>949958.11</v>
      </c>
      <c r="I42" s="419">
        <f>D42-F42</f>
        <v>20386747.789999999</v>
      </c>
      <c r="J42" s="420">
        <f>C42-F42</f>
        <v>46139828.789999999</v>
      </c>
      <c r="K42" s="421">
        <f>+F42*100/D42</f>
        <v>34.55741576823376</v>
      </c>
      <c r="M42">
        <f>8861866.91+5144.5</f>
        <v>8867011.4100000001</v>
      </c>
    </row>
    <row r="43" spans="1:14" ht="9" customHeight="1" x14ac:dyDescent="0.2">
      <c r="A43" s="59"/>
      <c r="L43" t="s">
        <v>6</v>
      </c>
    </row>
    <row r="44" spans="1:14" x14ac:dyDescent="0.2">
      <c r="A44" s="451" t="s">
        <v>506</v>
      </c>
    </row>
  </sheetData>
  <mergeCells count="8">
    <mergeCell ref="A1:K1"/>
    <mergeCell ref="A2:K2"/>
    <mergeCell ref="A3:K3"/>
    <mergeCell ref="A4:K4"/>
    <mergeCell ref="I6:I7"/>
    <mergeCell ref="K6:K7"/>
    <mergeCell ref="A6:A7"/>
    <mergeCell ref="B6:H6"/>
  </mergeCells>
  <pageMargins left="3.937007874015748E-2" right="0.11811023622047245" top="0.74803149606299213" bottom="0.74803149606299213" header="0.31496062992125984" footer="0.31496062992125984"/>
  <pageSetup scale="75" orientation="landscape" r:id="rId1"/>
  <ignoredErrors>
    <ignoredError sqref="I16 C4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>
    <tabColor theme="6" tint="0.39997558519241921"/>
    <pageSetUpPr fitToPage="1"/>
  </sheetPr>
  <dimension ref="A1:P408"/>
  <sheetViews>
    <sheetView showGridLines="0" showZeros="0" workbookViewId="0">
      <selection activeCell="Q3" sqref="P3:Q106"/>
    </sheetView>
  </sheetViews>
  <sheetFormatPr baseColWidth="10" defaultColWidth="11.42578125" defaultRowHeight="13.5" x14ac:dyDescent="0.25"/>
  <cols>
    <col min="1" max="1" width="6.140625" customWidth="1"/>
    <col min="2" max="2" width="46.5703125" bestFit="1" customWidth="1"/>
    <col min="3" max="3" width="13" customWidth="1"/>
    <col min="4" max="4" width="13.140625" customWidth="1"/>
    <col min="5" max="5" width="11.42578125" customWidth="1"/>
    <col min="6" max="6" width="13.7109375" hidden="1" customWidth="1"/>
    <col min="7" max="7" width="16.5703125" customWidth="1"/>
    <col min="8" max="8" width="13" customWidth="1"/>
    <col min="9" max="9" width="13.140625" customWidth="1"/>
    <col min="10" max="10" width="13" customWidth="1"/>
    <col min="11" max="11" width="11.28515625" hidden="1" customWidth="1"/>
    <col min="12" max="12" width="10.7109375" style="20" hidden="1" customWidth="1"/>
    <col min="13" max="13" width="0.140625" hidden="1" customWidth="1"/>
    <col min="14" max="14" width="13.28515625" customWidth="1"/>
    <col min="15" max="15" width="13.140625" customWidth="1"/>
    <col min="16" max="16" width="21.5703125" customWidth="1"/>
  </cols>
  <sheetData>
    <row r="1" spans="1:15" ht="16.899999999999999" customHeight="1" x14ac:dyDescent="0.2">
      <c r="A1" s="729" t="s">
        <v>386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</row>
    <row r="2" spans="1:15" ht="18" customHeight="1" x14ac:dyDescent="0.25">
      <c r="A2" s="609" t="s">
        <v>387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</row>
    <row r="3" spans="1:15" ht="15.6" customHeight="1" x14ac:dyDescent="0.25">
      <c r="A3" s="610" t="s">
        <v>548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32"/>
    </row>
    <row r="4" spans="1:15" ht="19.899999999999999" customHeight="1" x14ac:dyDescent="0.2">
      <c r="A4" s="708" t="s">
        <v>552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162"/>
    </row>
    <row r="5" spans="1:15" ht="3" hidden="1" customHeight="1" x14ac:dyDescent="0.3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61"/>
      <c r="N5" s="61"/>
    </row>
    <row r="6" spans="1:15" ht="10.9" customHeight="1" x14ac:dyDescent="0.3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61"/>
      <c r="N6" s="61"/>
    </row>
    <row r="7" spans="1:15" ht="16.5" customHeight="1" x14ac:dyDescent="0.2">
      <c r="A7" s="734" t="s">
        <v>377</v>
      </c>
      <c r="B7" s="732" t="s">
        <v>0</v>
      </c>
      <c r="C7" s="737" t="s">
        <v>31</v>
      </c>
      <c r="D7" s="738"/>
      <c r="E7" s="738"/>
      <c r="F7" s="738"/>
      <c r="G7" s="738"/>
      <c r="H7" s="738"/>
      <c r="I7" s="739"/>
      <c r="J7" s="723" t="s">
        <v>492</v>
      </c>
      <c r="K7" s="724"/>
      <c r="L7" s="724"/>
      <c r="M7" s="725"/>
      <c r="N7" s="731" t="s">
        <v>380</v>
      </c>
    </row>
    <row r="8" spans="1:15" ht="27" customHeight="1" x14ac:dyDescent="0.2">
      <c r="A8" s="735"/>
      <c r="B8" s="733"/>
      <c r="C8" s="453" t="s">
        <v>87</v>
      </c>
      <c r="D8" s="550" t="s">
        <v>12</v>
      </c>
      <c r="E8" s="550" t="s">
        <v>2</v>
      </c>
      <c r="F8" s="598" t="s">
        <v>36</v>
      </c>
      <c r="G8" s="599" t="s">
        <v>546</v>
      </c>
      <c r="H8" s="600" t="s">
        <v>544</v>
      </c>
      <c r="I8" s="600" t="s">
        <v>355</v>
      </c>
      <c r="J8" s="726"/>
      <c r="K8" s="727"/>
      <c r="L8" s="727"/>
      <c r="M8" s="728"/>
      <c r="N8" s="726"/>
    </row>
    <row r="9" spans="1:15" ht="23.25" customHeight="1" x14ac:dyDescent="0.25">
      <c r="A9" s="454" t="s">
        <v>88</v>
      </c>
      <c r="B9" s="455" t="s">
        <v>89</v>
      </c>
      <c r="C9" s="456">
        <f>+C10+C12+C13</f>
        <v>1143000</v>
      </c>
      <c r="D9" s="456">
        <f>+D10+D12+D13</f>
        <v>1143000</v>
      </c>
      <c r="E9" s="456">
        <f>+E10+E12+E13</f>
        <v>474696</v>
      </c>
      <c r="F9" s="456">
        <f>+F10+F12+F13</f>
        <v>2705.1</v>
      </c>
      <c r="G9" s="456">
        <v>14221.560000000001</v>
      </c>
      <c r="H9" s="457">
        <f>+H10</f>
        <v>12379.61</v>
      </c>
      <c r="I9" s="456">
        <f>+I10+I12+I13</f>
        <v>13515.740000000002</v>
      </c>
      <c r="J9" s="456">
        <f>E9-G9</f>
        <v>460474.44</v>
      </c>
      <c r="K9" s="456" t="e">
        <f>+K10+K12</f>
        <v>#REF!</v>
      </c>
      <c r="L9" s="456" t="e">
        <f>+#REF!*100/#REF!</f>
        <v>#REF!</v>
      </c>
      <c r="M9" s="458">
        <f>D9-G9</f>
        <v>1128778.44</v>
      </c>
      <c r="N9" s="459">
        <f>G9/E9*100</f>
        <v>2.9959300267960969</v>
      </c>
    </row>
    <row r="10" spans="1:15" ht="18" customHeight="1" x14ac:dyDescent="0.25">
      <c r="A10" s="460" t="s">
        <v>90</v>
      </c>
      <c r="B10" s="461" t="s">
        <v>91</v>
      </c>
      <c r="C10" s="462">
        <f>SUM(C11:C11)</f>
        <v>921925</v>
      </c>
      <c r="D10" s="462">
        <f>SUM(D11:D11)</f>
        <v>921925</v>
      </c>
      <c r="E10" s="462">
        <f>SUM(E11:E11)</f>
        <v>384135</v>
      </c>
      <c r="F10" s="462">
        <f t="shared" ref="F10:I10" si="0">SUM(F11:F11)</f>
        <v>2337</v>
      </c>
      <c r="G10" s="462">
        <v>11607.1</v>
      </c>
      <c r="H10" s="462">
        <f>+H11+H12</f>
        <v>12379.61</v>
      </c>
      <c r="I10" s="462">
        <f t="shared" si="0"/>
        <v>11607.1</v>
      </c>
      <c r="J10" s="462">
        <f t="shared" ref="J10:J60" si="1">E10-G10</f>
        <v>372527.9</v>
      </c>
      <c r="K10" s="463" t="e">
        <f>+K11+K13</f>
        <v>#REF!</v>
      </c>
      <c r="L10" s="463" t="e">
        <f>+#REF!*100/#REF!</f>
        <v>#REF!</v>
      </c>
      <c r="M10" s="464">
        <f t="shared" ref="M10:M60" si="2">D10-G10</f>
        <v>910317.9</v>
      </c>
      <c r="N10" s="465">
        <f>+G10/E10*100</f>
        <v>3.0216200033842271</v>
      </c>
    </row>
    <row r="11" spans="1:15" ht="18" customHeight="1" x14ac:dyDescent="0.2">
      <c r="A11" s="466" t="s">
        <v>349</v>
      </c>
      <c r="B11" s="467" t="s">
        <v>350</v>
      </c>
      <c r="C11" s="463">
        <v>921925</v>
      </c>
      <c r="D11" s="463">
        <v>921925</v>
      </c>
      <c r="E11" s="463">
        <v>384135</v>
      </c>
      <c r="F11" s="463">
        <v>2337</v>
      </c>
      <c r="G11" s="463">
        <v>11607.1</v>
      </c>
      <c r="H11" s="463">
        <v>11607.1</v>
      </c>
      <c r="I11" s="463">
        <v>11607.1</v>
      </c>
      <c r="J11" s="463">
        <f t="shared" si="1"/>
        <v>372527.9</v>
      </c>
      <c r="K11" s="463" t="e">
        <f>+K12+K19</f>
        <v>#REF!</v>
      </c>
      <c r="L11" s="463" t="e">
        <f>+#REF!*100/#REF!</f>
        <v>#REF!</v>
      </c>
      <c r="M11" s="464">
        <f t="shared" si="2"/>
        <v>910317.9</v>
      </c>
      <c r="N11" s="465">
        <f>G11/E11*100</f>
        <v>3.0216200033842271</v>
      </c>
    </row>
    <row r="12" spans="1:15" ht="18" customHeight="1" x14ac:dyDescent="0.2">
      <c r="A12" s="466" t="s">
        <v>106</v>
      </c>
      <c r="B12" s="467" t="s">
        <v>364</v>
      </c>
      <c r="C12" s="463">
        <v>76831</v>
      </c>
      <c r="D12" s="463">
        <v>76831</v>
      </c>
      <c r="E12" s="463">
        <v>25625</v>
      </c>
      <c r="F12" s="463">
        <v>0</v>
      </c>
      <c r="G12" s="463">
        <v>772.51</v>
      </c>
      <c r="H12" s="463">
        <v>772.51</v>
      </c>
      <c r="I12" s="463">
        <v>772.51</v>
      </c>
      <c r="J12" s="463">
        <f t="shared" si="1"/>
        <v>24852.49</v>
      </c>
      <c r="K12" s="463" t="e">
        <f>+K13+K21</f>
        <v>#REF!</v>
      </c>
      <c r="L12" s="463" t="e">
        <f>+#REF!*100/#REF!</f>
        <v>#REF!</v>
      </c>
      <c r="M12" s="464">
        <f t="shared" si="2"/>
        <v>76058.490000000005</v>
      </c>
      <c r="N12" s="465">
        <f>G12/E12*100</f>
        <v>3.0146731707317072</v>
      </c>
    </row>
    <row r="13" spans="1:15" ht="18" customHeight="1" x14ac:dyDescent="0.2">
      <c r="A13" s="466" t="s">
        <v>108</v>
      </c>
      <c r="B13" s="463" t="s">
        <v>365</v>
      </c>
      <c r="C13" s="463">
        <v>144244</v>
      </c>
      <c r="D13" s="463">
        <v>144244</v>
      </c>
      <c r="E13" s="463">
        <v>64936</v>
      </c>
      <c r="F13" s="463">
        <v>368.1</v>
      </c>
      <c r="G13" s="463">
        <v>1841.9499999999998</v>
      </c>
      <c r="H13" s="463"/>
      <c r="I13" s="463">
        <v>1136.1300000000001</v>
      </c>
      <c r="J13" s="463">
        <f t="shared" si="1"/>
        <v>63094.05</v>
      </c>
      <c r="K13" s="463" t="e">
        <f>+K19+#REF!</f>
        <v>#REF!</v>
      </c>
      <c r="L13" s="463" t="e">
        <f>+#REF!*100/#REF!</f>
        <v>#REF!</v>
      </c>
      <c r="M13" s="464">
        <f t="shared" si="2"/>
        <v>142402.04999999999</v>
      </c>
      <c r="N13" s="465">
        <f>G13/E13*100</f>
        <v>2.8365621535049894</v>
      </c>
    </row>
    <row r="14" spans="1:15" ht="0.75" customHeight="1" x14ac:dyDescent="0.2">
      <c r="A14" s="466" t="s">
        <v>110</v>
      </c>
      <c r="B14" s="463" t="s">
        <v>500</v>
      </c>
      <c r="C14" s="463">
        <v>121195</v>
      </c>
      <c r="D14" s="463">
        <v>121195</v>
      </c>
      <c r="E14" s="463">
        <v>25244</v>
      </c>
      <c r="F14" s="463">
        <v>158.4</v>
      </c>
      <c r="G14" s="463">
        <v>786.71999999999991</v>
      </c>
      <c r="H14" s="463"/>
      <c r="I14" s="463">
        <v>153.12</v>
      </c>
      <c r="J14" s="463">
        <f>+E14-G14</f>
        <v>24457.279999999999</v>
      </c>
      <c r="K14" s="463"/>
      <c r="L14" s="463"/>
      <c r="M14" s="464"/>
      <c r="N14" s="465"/>
    </row>
    <row r="15" spans="1:15" ht="18" hidden="1" customHeight="1" x14ac:dyDescent="0.2">
      <c r="A15" s="466" t="s">
        <v>112</v>
      </c>
      <c r="B15" s="463" t="s">
        <v>501</v>
      </c>
      <c r="C15" s="463">
        <v>13829</v>
      </c>
      <c r="D15" s="463">
        <v>13829</v>
      </c>
      <c r="E15" s="463">
        <v>2309</v>
      </c>
      <c r="F15" s="463">
        <v>19.399999999999999</v>
      </c>
      <c r="G15" s="463">
        <v>96.35</v>
      </c>
      <c r="H15" s="463"/>
      <c r="I15" s="463">
        <v>18.75</v>
      </c>
      <c r="J15" s="463">
        <f>+E15-G15</f>
        <v>2212.65</v>
      </c>
      <c r="K15" s="463"/>
      <c r="L15" s="463"/>
      <c r="M15" s="464"/>
      <c r="N15" s="465"/>
    </row>
    <row r="16" spans="1:15" ht="18" hidden="1" customHeight="1" x14ac:dyDescent="0.2">
      <c r="A16" s="466" t="s">
        <v>114</v>
      </c>
      <c r="B16" s="463" t="s">
        <v>502</v>
      </c>
      <c r="C16" s="463">
        <v>6453</v>
      </c>
      <c r="D16" s="463">
        <v>6453</v>
      </c>
      <c r="E16" s="463">
        <v>1085</v>
      </c>
      <c r="F16" s="463">
        <v>9.06</v>
      </c>
      <c r="G16" s="463">
        <v>44.990000000000009</v>
      </c>
      <c r="H16" s="463"/>
      <c r="I16" s="463">
        <v>8.75</v>
      </c>
      <c r="J16" s="463"/>
      <c r="K16" s="463"/>
      <c r="L16" s="463"/>
      <c r="M16" s="464"/>
      <c r="N16" s="465"/>
    </row>
    <row r="17" spans="1:14" ht="18" hidden="1" customHeight="1" x14ac:dyDescent="0.2">
      <c r="A17" s="466" t="s">
        <v>116</v>
      </c>
      <c r="B17" s="463" t="s">
        <v>503</v>
      </c>
      <c r="C17" s="463">
        <v>2767</v>
      </c>
      <c r="D17" s="463">
        <v>2767</v>
      </c>
      <c r="E17" s="463">
        <v>464</v>
      </c>
      <c r="F17" s="463">
        <v>3.88</v>
      </c>
      <c r="G17" s="463">
        <v>19.27</v>
      </c>
      <c r="H17" s="463"/>
      <c r="I17" s="463">
        <v>7.63</v>
      </c>
      <c r="J17" s="463"/>
      <c r="K17" s="463"/>
      <c r="L17" s="463"/>
      <c r="M17" s="464"/>
      <c r="N17" s="465"/>
    </row>
    <row r="18" spans="1:14" ht="9" hidden="1" customHeight="1" x14ac:dyDescent="0.4">
      <c r="A18" s="468"/>
      <c r="B18" s="469"/>
      <c r="C18" s="469"/>
      <c r="D18" s="469"/>
      <c r="E18" s="469"/>
      <c r="F18" s="470"/>
      <c r="G18" s="470"/>
      <c r="H18" s="470"/>
      <c r="I18" s="470"/>
      <c r="J18" s="469"/>
      <c r="K18" s="469"/>
      <c r="L18" s="469"/>
      <c r="M18" s="471"/>
      <c r="N18" s="472"/>
    </row>
    <row r="19" spans="1:14" ht="18" customHeight="1" x14ac:dyDescent="0.25">
      <c r="A19" s="473" t="s">
        <v>125</v>
      </c>
      <c r="B19" s="474" t="s">
        <v>126</v>
      </c>
      <c r="C19" s="475">
        <f>SUM(C21:C27)</f>
        <v>5349720</v>
      </c>
      <c r="D19" s="475">
        <f>SUM(D21:D28)</f>
        <v>5090442</v>
      </c>
      <c r="E19" s="475">
        <f>SUM(E20:E28)</f>
        <v>2802831</v>
      </c>
      <c r="F19" s="475">
        <f>SUM(F20:F28)</f>
        <v>137596.46</v>
      </c>
      <c r="G19" s="475">
        <v>1333196.76</v>
      </c>
      <c r="H19" s="475">
        <f>SUM(H22:H28)</f>
        <v>91795.3</v>
      </c>
      <c r="I19" s="475">
        <f>SUM(I20:I29)</f>
        <v>89880</v>
      </c>
      <c r="J19" s="475">
        <f t="shared" si="1"/>
        <v>1469634.24</v>
      </c>
      <c r="K19" s="475" t="e">
        <f>+K21+K23</f>
        <v>#REF!</v>
      </c>
      <c r="L19" s="475" t="e">
        <f>+#REF!*100/#REF!</f>
        <v>#REF!</v>
      </c>
      <c r="M19" s="476">
        <f t="shared" si="2"/>
        <v>3757245.24</v>
      </c>
      <c r="N19" s="477">
        <f>G19/E19*100</f>
        <v>47.566077298274493</v>
      </c>
    </row>
    <row r="20" spans="1:14" ht="18" hidden="1" customHeight="1" x14ac:dyDescent="0.25">
      <c r="A20" s="478">
        <v>110</v>
      </c>
      <c r="B20" s="467" t="s">
        <v>428</v>
      </c>
      <c r="C20" s="462"/>
      <c r="D20" s="462"/>
      <c r="E20" s="463">
        <v>0</v>
      </c>
      <c r="F20" s="463">
        <v>0</v>
      </c>
      <c r="G20" s="463">
        <v>0</v>
      </c>
      <c r="H20" s="463"/>
      <c r="I20" s="463">
        <v>0</v>
      </c>
      <c r="J20" s="463">
        <v>0</v>
      </c>
      <c r="K20" s="463"/>
      <c r="L20" s="463"/>
      <c r="M20" s="464"/>
      <c r="N20" s="465" t="s">
        <v>6</v>
      </c>
    </row>
    <row r="21" spans="1:14" ht="18" hidden="1" customHeight="1" x14ac:dyDescent="0.25">
      <c r="A21" s="478">
        <v>120</v>
      </c>
      <c r="B21" s="467" t="s">
        <v>373</v>
      </c>
      <c r="C21" s="462" t="s">
        <v>6</v>
      </c>
      <c r="D21" s="462" t="s">
        <v>6</v>
      </c>
      <c r="E21" s="463" t="s">
        <v>6</v>
      </c>
      <c r="F21" s="463">
        <v>0</v>
      </c>
      <c r="G21" s="463">
        <v>0</v>
      </c>
      <c r="H21" s="463"/>
      <c r="I21" s="463"/>
      <c r="J21" s="463">
        <v>0</v>
      </c>
      <c r="K21" s="463" t="e">
        <f>+#REF!+#REF!</f>
        <v>#REF!</v>
      </c>
      <c r="L21" s="463" t="e">
        <f>+#REF!*100/#REF!</f>
        <v>#REF!</v>
      </c>
      <c r="M21" s="464" t="e">
        <f t="shared" si="2"/>
        <v>#VALUE!</v>
      </c>
      <c r="N21" s="465" t="s">
        <v>6</v>
      </c>
    </row>
    <row r="22" spans="1:14" ht="18" customHeight="1" x14ac:dyDescent="0.2">
      <c r="A22" s="478">
        <v>130</v>
      </c>
      <c r="B22" s="467" t="s">
        <v>457</v>
      </c>
      <c r="C22" s="463">
        <v>10000</v>
      </c>
      <c r="D22" s="463">
        <v>8000</v>
      </c>
      <c r="E22" s="463">
        <v>3000</v>
      </c>
      <c r="F22" s="463">
        <v>0</v>
      </c>
      <c r="G22" s="463"/>
      <c r="H22" s="463"/>
      <c r="I22" s="1"/>
      <c r="J22" s="463">
        <f t="shared" si="1"/>
        <v>3000</v>
      </c>
      <c r="K22" s="463"/>
      <c r="L22" s="463"/>
      <c r="M22" s="464"/>
      <c r="N22" s="465"/>
    </row>
    <row r="23" spans="1:14" ht="18" customHeight="1" x14ac:dyDescent="0.2">
      <c r="A23" s="479" t="s">
        <v>158</v>
      </c>
      <c r="B23" s="463" t="s">
        <v>159</v>
      </c>
      <c r="C23" s="463">
        <v>75286</v>
      </c>
      <c r="D23" s="463">
        <v>60228</v>
      </c>
      <c r="E23" s="463">
        <v>22585</v>
      </c>
      <c r="F23" s="463">
        <v>0</v>
      </c>
      <c r="G23" s="463">
        <v>0</v>
      </c>
      <c r="H23" s="463"/>
      <c r="I23" s="463"/>
      <c r="J23" s="463">
        <f t="shared" si="1"/>
        <v>22585</v>
      </c>
      <c r="K23" s="463" t="e">
        <f>+#REF!+K27</f>
        <v>#REF!</v>
      </c>
      <c r="L23" s="463" t="e">
        <f>+#REF!*100/#REF!</f>
        <v>#REF!</v>
      </c>
      <c r="M23" s="464">
        <f t="shared" si="2"/>
        <v>60228</v>
      </c>
      <c r="N23" s="465" t="s">
        <v>6</v>
      </c>
    </row>
    <row r="24" spans="1:14" ht="18" customHeight="1" x14ac:dyDescent="0.2">
      <c r="A24" s="478">
        <v>150</v>
      </c>
      <c r="B24" s="463" t="s">
        <v>497</v>
      </c>
      <c r="C24" s="463">
        <v>5992</v>
      </c>
      <c r="D24" s="463">
        <v>4793</v>
      </c>
      <c r="E24" s="463">
        <v>1797</v>
      </c>
      <c r="F24" s="463"/>
      <c r="G24" s="463"/>
      <c r="H24" s="463"/>
      <c r="I24" s="463"/>
      <c r="J24" s="463">
        <f t="shared" si="1"/>
        <v>1797</v>
      </c>
      <c r="K24" s="463"/>
      <c r="L24" s="463"/>
      <c r="M24" s="464"/>
      <c r="N24" s="465"/>
    </row>
    <row r="25" spans="1:14" ht="18" customHeight="1" x14ac:dyDescent="0.2">
      <c r="A25" s="479" t="s">
        <v>170</v>
      </c>
      <c r="B25" s="463" t="s">
        <v>171</v>
      </c>
      <c r="C25" s="463">
        <v>690213</v>
      </c>
      <c r="D25" s="463">
        <v>668322</v>
      </c>
      <c r="E25" s="463">
        <v>387460</v>
      </c>
      <c r="F25" s="463">
        <v>4080.9</v>
      </c>
      <c r="G25" s="463">
        <v>52036.71</v>
      </c>
      <c r="H25" s="463"/>
      <c r="I25" s="463">
        <v>0</v>
      </c>
      <c r="J25" s="463">
        <f t="shared" si="1"/>
        <v>335423.28999999998</v>
      </c>
      <c r="K25" s="463" t="e">
        <f>+K27+K31</f>
        <v>#REF!</v>
      </c>
      <c r="L25" s="463" t="e">
        <f>+#REF!*100/#REF!</f>
        <v>#REF!</v>
      </c>
      <c r="M25" s="464">
        <f t="shared" si="2"/>
        <v>616285.29</v>
      </c>
      <c r="N25" s="465">
        <f>G25/E25*100</f>
        <v>13.430214731843288</v>
      </c>
    </row>
    <row r="26" spans="1:14" ht="18" customHeight="1" x14ac:dyDescent="0.2">
      <c r="A26" s="478">
        <v>170</v>
      </c>
      <c r="B26" s="463" t="s">
        <v>406</v>
      </c>
      <c r="C26" s="463">
        <v>170000</v>
      </c>
      <c r="D26" s="463">
        <v>106000</v>
      </c>
      <c r="E26" s="463">
        <v>21000</v>
      </c>
      <c r="F26" s="463"/>
      <c r="G26" s="463"/>
      <c r="H26" s="463"/>
      <c r="I26" s="463"/>
      <c r="J26" s="463">
        <f>E26-G26</f>
        <v>21000</v>
      </c>
      <c r="K26" s="463"/>
      <c r="L26" s="463"/>
      <c r="M26" s="464">
        <f t="shared" si="2"/>
        <v>106000</v>
      </c>
      <c r="N26" s="465"/>
    </row>
    <row r="27" spans="1:14" ht="18" customHeight="1" x14ac:dyDescent="0.2">
      <c r="A27" s="479" t="s">
        <v>179</v>
      </c>
      <c r="B27" s="463" t="s">
        <v>180</v>
      </c>
      <c r="C27" s="463">
        <v>4398229</v>
      </c>
      <c r="D27" s="463">
        <v>4223943</v>
      </c>
      <c r="E27" s="463">
        <v>2347833</v>
      </c>
      <c r="F27" s="463">
        <v>131600.26</v>
      </c>
      <c r="G27" s="463">
        <v>1279244.75</v>
      </c>
      <c r="H27" s="463">
        <v>89880</v>
      </c>
      <c r="I27" s="463">
        <v>89880</v>
      </c>
      <c r="J27" s="463">
        <f t="shared" si="1"/>
        <v>1068588.25</v>
      </c>
      <c r="K27" s="463" t="e">
        <f>+K30+K32</f>
        <v>#REF!</v>
      </c>
      <c r="L27" s="463" t="e">
        <f>+#REF!*100/#REF!</f>
        <v>#REF!</v>
      </c>
      <c r="M27" s="464">
        <f t="shared" si="2"/>
        <v>2944698.25</v>
      </c>
      <c r="N27" s="465">
        <f>G27/E27*100</f>
        <v>54.486190031403424</v>
      </c>
    </row>
    <row r="28" spans="1:14" ht="18" customHeight="1" x14ac:dyDescent="0.2">
      <c r="A28" s="478">
        <v>190</v>
      </c>
      <c r="B28" s="463" t="s">
        <v>407</v>
      </c>
      <c r="C28" s="463"/>
      <c r="D28" s="463">
        <v>19156</v>
      </c>
      <c r="E28" s="463">
        <v>19156</v>
      </c>
      <c r="F28" s="463">
        <v>1915.3</v>
      </c>
      <c r="G28" s="463">
        <v>1915.3</v>
      </c>
      <c r="H28" s="463">
        <v>1915.3</v>
      </c>
      <c r="I28" s="463">
        <v>0</v>
      </c>
      <c r="J28" s="463" t="s">
        <v>6</v>
      </c>
      <c r="K28" s="463"/>
      <c r="L28" s="463"/>
      <c r="M28" s="464">
        <f t="shared" si="2"/>
        <v>17240.7</v>
      </c>
      <c r="N28" s="465" t="s">
        <v>6</v>
      </c>
    </row>
    <row r="29" spans="1:14" ht="7.15" customHeight="1" x14ac:dyDescent="0.4">
      <c r="A29" s="480"/>
      <c r="B29" s="469"/>
      <c r="C29" s="470"/>
      <c r="D29" s="469"/>
      <c r="E29" s="469"/>
      <c r="F29" s="469"/>
      <c r="G29" s="469"/>
      <c r="H29" s="469"/>
      <c r="I29" s="469"/>
      <c r="J29" s="469"/>
      <c r="K29" s="469"/>
      <c r="L29" s="469"/>
      <c r="M29" s="471"/>
      <c r="N29" s="472"/>
    </row>
    <row r="30" spans="1:14" ht="18" customHeight="1" x14ac:dyDescent="0.25">
      <c r="A30" s="454" t="s">
        <v>185</v>
      </c>
      <c r="B30" s="455" t="s">
        <v>186</v>
      </c>
      <c r="C30" s="456">
        <f>+C31+C32+C34+C35+C36+C37+C38+C33</f>
        <v>809351</v>
      </c>
      <c r="D30" s="456">
        <f>SUM(D31:D39)</f>
        <v>1491586</v>
      </c>
      <c r="E30" s="456">
        <f>SUM(E31:E39)</f>
        <v>1086911</v>
      </c>
      <c r="F30" s="456">
        <f>SUM(F31:F39)</f>
        <v>15291.800000000001</v>
      </c>
      <c r="G30" s="456">
        <v>813678.04</v>
      </c>
      <c r="H30" s="457">
        <f>SUM(H31:H39)</f>
        <v>778981.02</v>
      </c>
      <c r="I30" s="456">
        <f>SUM(I31:I39)</f>
        <v>382245.70999999996</v>
      </c>
      <c r="J30" s="456">
        <f t="shared" si="1"/>
        <v>273232.95999999996</v>
      </c>
      <c r="K30" s="456" t="e">
        <f t="shared" ref="K30:K36" si="3">+K31+K33</f>
        <v>#REF!</v>
      </c>
      <c r="L30" s="456" t="e">
        <f>+#REF!*100/#REF!</f>
        <v>#REF!</v>
      </c>
      <c r="M30" s="458">
        <f t="shared" si="2"/>
        <v>677907.96</v>
      </c>
      <c r="N30" s="477">
        <f>G30/E30*100</f>
        <v>74.861514880243192</v>
      </c>
    </row>
    <row r="31" spans="1:14" ht="16.149999999999999" customHeight="1" x14ac:dyDescent="0.25">
      <c r="A31" s="479" t="s">
        <v>193</v>
      </c>
      <c r="B31" s="463" t="s">
        <v>194</v>
      </c>
      <c r="C31" s="463">
        <v>8822</v>
      </c>
      <c r="D31" s="463">
        <v>7057</v>
      </c>
      <c r="E31" s="463">
        <v>2646</v>
      </c>
      <c r="F31" s="462"/>
      <c r="G31" s="462"/>
      <c r="H31" s="462"/>
      <c r="I31" s="462"/>
      <c r="J31" s="462">
        <f t="shared" si="1"/>
        <v>2646</v>
      </c>
      <c r="K31" s="462" t="e">
        <f t="shared" si="3"/>
        <v>#REF!</v>
      </c>
      <c r="L31" s="462" t="e">
        <f>+#REF!*100/#REF!</f>
        <v>#REF!</v>
      </c>
      <c r="M31" s="464">
        <f t="shared" si="2"/>
        <v>7057</v>
      </c>
      <c r="N31" s="465"/>
    </row>
    <row r="32" spans="1:14" ht="18" hidden="1" customHeight="1" x14ac:dyDescent="0.25">
      <c r="A32" s="479" t="s">
        <v>205</v>
      </c>
      <c r="B32" s="463" t="s">
        <v>206</v>
      </c>
      <c r="C32" s="462">
        <v>0</v>
      </c>
      <c r="D32" s="462"/>
      <c r="E32" s="462"/>
      <c r="F32" s="462"/>
      <c r="G32" s="462"/>
      <c r="H32" s="462"/>
      <c r="I32" s="462"/>
      <c r="J32" s="462">
        <f t="shared" si="1"/>
        <v>0</v>
      </c>
      <c r="K32" s="462" t="e">
        <f t="shared" si="3"/>
        <v>#REF!</v>
      </c>
      <c r="L32" s="462" t="e">
        <f>+#REF!*100/#REF!</f>
        <v>#REF!</v>
      </c>
      <c r="M32" s="464">
        <f t="shared" si="2"/>
        <v>0</v>
      </c>
      <c r="N32" s="465"/>
    </row>
    <row r="33" spans="1:15" ht="14.25" x14ac:dyDescent="0.2">
      <c r="A33" s="478">
        <v>230</v>
      </c>
      <c r="B33" s="467" t="s">
        <v>354</v>
      </c>
      <c r="C33" s="463">
        <v>12038</v>
      </c>
      <c r="D33" s="463">
        <v>9630</v>
      </c>
      <c r="E33" s="463">
        <v>3611</v>
      </c>
      <c r="F33" s="463"/>
      <c r="G33" s="463"/>
      <c r="H33" s="463"/>
      <c r="I33" s="463"/>
      <c r="J33" s="463">
        <f t="shared" si="1"/>
        <v>3611</v>
      </c>
      <c r="K33" s="463" t="e">
        <f t="shared" si="3"/>
        <v>#REF!</v>
      </c>
      <c r="L33" s="463" t="e">
        <f>+#REF!*100/#REF!</f>
        <v>#REF!</v>
      </c>
      <c r="M33" s="464">
        <f t="shared" si="2"/>
        <v>9630</v>
      </c>
      <c r="N33" s="465"/>
    </row>
    <row r="34" spans="1:15" ht="18" hidden="1" customHeight="1" x14ac:dyDescent="0.2">
      <c r="A34" s="479" t="s">
        <v>222</v>
      </c>
      <c r="B34" s="463" t="s">
        <v>223</v>
      </c>
      <c r="C34" s="463"/>
      <c r="D34" s="463">
        <f>SUM(C34:C34)</f>
        <v>0</v>
      </c>
      <c r="E34" s="463"/>
      <c r="F34" s="463">
        <v>0</v>
      </c>
      <c r="G34" s="463">
        <v>0</v>
      </c>
      <c r="H34" s="463"/>
      <c r="I34" s="463">
        <v>0</v>
      </c>
      <c r="J34" s="463" t="s">
        <v>6</v>
      </c>
      <c r="K34" s="463" t="e">
        <f t="shared" si="3"/>
        <v>#REF!</v>
      </c>
      <c r="L34" s="463" t="e">
        <f>+#REF!*100/#REF!</f>
        <v>#REF!</v>
      </c>
      <c r="M34" s="464">
        <f t="shared" si="2"/>
        <v>0</v>
      </c>
      <c r="N34" s="465"/>
    </row>
    <row r="35" spans="1:15" s="7" customFormat="1" ht="18.75" customHeight="1" x14ac:dyDescent="0.2">
      <c r="A35" s="478">
        <v>250</v>
      </c>
      <c r="B35" s="463" t="s">
        <v>397</v>
      </c>
      <c r="C35" s="463">
        <v>132114</v>
      </c>
      <c r="D35" s="481">
        <v>100064</v>
      </c>
      <c r="E35" s="481">
        <v>34007</v>
      </c>
      <c r="F35" s="463">
        <v>0</v>
      </c>
      <c r="G35" s="463">
        <v>16099.989999999998</v>
      </c>
      <c r="H35" s="463">
        <v>10288.049999999999</v>
      </c>
      <c r="I35" s="463">
        <v>10288.049999999999</v>
      </c>
      <c r="J35" s="463">
        <f t="shared" si="1"/>
        <v>17907.010000000002</v>
      </c>
      <c r="K35" s="463" t="e">
        <f t="shared" si="3"/>
        <v>#REF!</v>
      </c>
      <c r="L35" s="463" t="e">
        <f>+#REF!*100/#REF!</f>
        <v>#REF!</v>
      </c>
      <c r="M35" s="464">
        <f t="shared" si="2"/>
        <v>83964.010000000009</v>
      </c>
      <c r="N35" s="465">
        <f t="shared" ref="N35:N39" si="4">G35/E35*100</f>
        <v>47.343164642573583</v>
      </c>
    </row>
    <row r="36" spans="1:15" ht="18" customHeight="1" x14ac:dyDescent="0.2">
      <c r="A36" s="479" t="s">
        <v>248</v>
      </c>
      <c r="B36" s="463" t="s">
        <v>249</v>
      </c>
      <c r="C36" s="463">
        <v>402459</v>
      </c>
      <c r="D36" s="463">
        <v>1089034</v>
      </c>
      <c r="E36" s="463">
        <v>887805</v>
      </c>
      <c r="F36" s="463">
        <v>10870.03</v>
      </c>
      <c r="G36" s="463">
        <v>762750.59000000008</v>
      </c>
      <c r="H36" s="463">
        <v>742298.71</v>
      </c>
      <c r="I36" s="463">
        <v>341551.97</v>
      </c>
      <c r="J36" s="463">
        <f t="shared" si="1"/>
        <v>125054.40999999992</v>
      </c>
      <c r="K36" s="463" t="e">
        <f t="shared" si="3"/>
        <v>#REF!</v>
      </c>
      <c r="L36" s="463" t="e">
        <f>+#REF!*100/#REF!</f>
        <v>#REF!</v>
      </c>
      <c r="M36" s="464">
        <f t="shared" si="2"/>
        <v>326283.40999999992</v>
      </c>
      <c r="N36" s="465">
        <f t="shared" si="4"/>
        <v>85.914203006290805</v>
      </c>
    </row>
    <row r="37" spans="1:15" ht="18" customHeight="1" x14ac:dyDescent="0.2">
      <c r="A37" s="479" t="s">
        <v>255</v>
      </c>
      <c r="B37" s="463" t="s">
        <v>256</v>
      </c>
      <c r="C37" s="463">
        <v>253918</v>
      </c>
      <c r="D37" s="463">
        <v>256415</v>
      </c>
      <c r="E37" s="463">
        <v>129456</v>
      </c>
      <c r="F37" s="463">
        <v>1381.1</v>
      </c>
      <c r="G37" s="463">
        <v>7402.4599999999991</v>
      </c>
      <c r="H37" s="463">
        <v>6021.36</v>
      </c>
      <c r="I37" s="463">
        <v>6021.36</v>
      </c>
      <c r="J37" s="463">
        <f t="shared" si="1"/>
        <v>122053.54000000001</v>
      </c>
      <c r="K37" s="463" t="e">
        <f>+K38+K41</f>
        <v>#REF!</v>
      </c>
      <c r="L37" s="463" t="e">
        <f>+#REF!*100/#REF!</f>
        <v>#REF!</v>
      </c>
      <c r="M37" s="464">
        <f t="shared" si="2"/>
        <v>249012.54</v>
      </c>
      <c r="N37" s="465">
        <f t="shared" si="4"/>
        <v>5.7181281670992457</v>
      </c>
    </row>
    <row r="38" spans="1:15" ht="18.75" customHeight="1" x14ac:dyDescent="0.4">
      <c r="A38" s="479" t="s">
        <v>271</v>
      </c>
      <c r="B38" s="463" t="s">
        <v>272</v>
      </c>
      <c r="C38" s="470">
        <v>0</v>
      </c>
      <c r="D38" s="463">
        <v>11994</v>
      </c>
      <c r="E38" s="463">
        <v>11994</v>
      </c>
      <c r="F38" s="463">
        <v>0</v>
      </c>
      <c r="G38" s="463">
        <v>10034.99</v>
      </c>
      <c r="H38" s="463">
        <v>10034.99</v>
      </c>
      <c r="I38" s="463">
        <v>10034.99</v>
      </c>
      <c r="J38" s="463">
        <f t="shared" si="1"/>
        <v>1959.0100000000002</v>
      </c>
      <c r="K38" s="463" t="e">
        <f>+K39+K42</f>
        <v>#REF!</v>
      </c>
      <c r="L38" s="463" t="e">
        <f>+#REF!*100/#REF!</f>
        <v>#REF!</v>
      </c>
      <c r="M38" s="464">
        <f t="shared" si="2"/>
        <v>1959.0100000000002</v>
      </c>
      <c r="N38" s="465">
        <f t="shared" si="4"/>
        <v>83.666750041687507</v>
      </c>
    </row>
    <row r="39" spans="1:15" ht="18" customHeight="1" x14ac:dyDescent="0.4">
      <c r="A39" s="478">
        <v>290</v>
      </c>
      <c r="B39" s="463" t="s">
        <v>396</v>
      </c>
      <c r="C39" s="462">
        <v>0</v>
      </c>
      <c r="D39" s="463">
        <v>17392</v>
      </c>
      <c r="E39" s="463">
        <v>17392</v>
      </c>
      <c r="F39" s="463">
        <v>3040.67</v>
      </c>
      <c r="G39" s="463">
        <v>17390.010000000002</v>
      </c>
      <c r="H39" s="463">
        <v>10337.91</v>
      </c>
      <c r="I39" s="463">
        <v>14349.34</v>
      </c>
      <c r="J39" s="463">
        <f t="shared" si="1"/>
        <v>1.9899999999979627</v>
      </c>
      <c r="K39" s="469" t="e">
        <f>+K41+K43</f>
        <v>#REF!</v>
      </c>
      <c r="L39" s="469" t="e">
        <f>+#REF!*100/#REF!</f>
        <v>#REF!</v>
      </c>
      <c r="M39" s="471">
        <f t="shared" si="2"/>
        <v>1.9899999999979627</v>
      </c>
      <c r="N39" s="465">
        <f t="shared" si="4"/>
        <v>99.988557957681707</v>
      </c>
    </row>
    <row r="40" spans="1:15" ht="7.9" customHeight="1" x14ac:dyDescent="0.4">
      <c r="A40" s="482"/>
      <c r="B40" s="469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472"/>
    </row>
    <row r="41" spans="1:15" ht="18" customHeight="1" x14ac:dyDescent="0.25">
      <c r="A41" s="483" t="s">
        <v>278</v>
      </c>
      <c r="B41" s="484" t="s">
        <v>279</v>
      </c>
      <c r="C41" s="485">
        <f>SUM(C42:C50)</f>
        <v>22258230</v>
      </c>
      <c r="D41" s="485">
        <f>SUM(D42:D50)</f>
        <v>24085145</v>
      </c>
      <c r="E41" s="485">
        <f>SUM(E42:E50)</f>
        <v>13848237</v>
      </c>
      <c r="F41" s="485">
        <f>SUM(F42:F50)</f>
        <v>1248420.72</v>
      </c>
      <c r="G41" s="485">
        <v>5282061.4799999995</v>
      </c>
      <c r="H41" s="485">
        <f>SUM(H42:H50)</f>
        <v>616878.4</v>
      </c>
      <c r="I41" s="485">
        <f>SUM(I42:I51)</f>
        <v>464316.66</v>
      </c>
      <c r="J41" s="485">
        <f t="shared" si="1"/>
        <v>8566175.5199999996</v>
      </c>
      <c r="K41" s="485" t="e">
        <f t="shared" ref="K41:K46" si="5">+K42+K44</f>
        <v>#REF!</v>
      </c>
      <c r="L41" s="485" t="e">
        <f>+#REF!*100/#REF!</f>
        <v>#REF!</v>
      </c>
      <c r="M41" s="486">
        <f t="shared" si="2"/>
        <v>18803083.52</v>
      </c>
      <c r="N41" s="487">
        <f>G41/E41*100</f>
        <v>38.142483263393018</v>
      </c>
    </row>
    <row r="42" spans="1:15" ht="18" customHeight="1" x14ac:dyDescent="0.25">
      <c r="A42" s="460">
        <v>300</v>
      </c>
      <c r="B42" s="467" t="s">
        <v>280</v>
      </c>
      <c r="C42" s="463">
        <v>5589374</v>
      </c>
      <c r="D42" s="463">
        <v>4757577</v>
      </c>
      <c r="E42" s="463">
        <v>2008213</v>
      </c>
      <c r="F42" s="463">
        <v>65747.08</v>
      </c>
      <c r="G42" s="463">
        <v>271546.61</v>
      </c>
      <c r="H42" s="463">
        <v>48044.79</v>
      </c>
      <c r="I42" s="463">
        <v>47445.59</v>
      </c>
      <c r="J42" s="463">
        <f t="shared" si="1"/>
        <v>1736666.3900000001</v>
      </c>
      <c r="K42" s="462" t="e">
        <f t="shared" si="5"/>
        <v>#REF!</v>
      </c>
      <c r="L42" s="462" t="e">
        <f>+#REF!*100/#REF!</f>
        <v>#REF!</v>
      </c>
      <c r="M42" s="464">
        <f t="shared" si="2"/>
        <v>4486030.3899999997</v>
      </c>
      <c r="N42" s="465">
        <f t="shared" ref="N42" si="6">G42/E42*100</f>
        <v>13.521803215097203</v>
      </c>
    </row>
    <row r="43" spans="1:15" ht="18" customHeight="1" x14ac:dyDescent="0.25">
      <c r="A43" s="460">
        <v>310</v>
      </c>
      <c r="B43" s="467" t="s">
        <v>398</v>
      </c>
      <c r="C43" s="463">
        <v>1381177</v>
      </c>
      <c r="D43" s="463">
        <v>1255331</v>
      </c>
      <c r="E43" s="463">
        <v>564743</v>
      </c>
      <c r="F43" s="463">
        <v>0</v>
      </c>
      <c r="G43" s="463">
        <v>59064</v>
      </c>
      <c r="H43" s="463">
        <v>59064</v>
      </c>
      <c r="I43" s="463">
        <v>59064</v>
      </c>
      <c r="J43" s="463">
        <f t="shared" si="1"/>
        <v>505679</v>
      </c>
      <c r="K43" s="463" t="e">
        <f t="shared" si="5"/>
        <v>#REF!</v>
      </c>
      <c r="L43" s="463" t="e">
        <f>+#REF!*100/#REF!</f>
        <v>#REF!</v>
      </c>
      <c r="M43" s="464">
        <f t="shared" si="2"/>
        <v>1196267</v>
      </c>
      <c r="N43" s="465"/>
      <c r="O43" s="25" t="s">
        <v>6</v>
      </c>
    </row>
    <row r="44" spans="1:15" ht="18" customHeight="1" x14ac:dyDescent="0.25">
      <c r="A44" s="460">
        <v>320</v>
      </c>
      <c r="B44" s="463" t="s">
        <v>281</v>
      </c>
      <c r="C44" s="463">
        <v>2771165</v>
      </c>
      <c r="D44" s="463">
        <v>3636741</v>
      </c>
      <c r="E44" s="463">
        <v>2518099</v>
      </c>
      <c r="F44" s="463">
        <v>223949.18</v>
      </c>
      <c r="G44" s="463">
        <v>1238929.6200000001</v>
      </c>
      <c r="H44" s="463">
        <v>71801.87</v>
      </c>
      <c r="I44" s="463">
        <v>52640.43</v>
      </c>
      <c r="J44" s="463">
        <f t="shared" si="1"/>
        <v>1279169.3799999999</v>
      </c>
      <c r="K44" s="463" t="e">
        <f t="shared" si="5"/>
        <v>#REF!</v>
      </c>
      <c r="L44" s="463" t="e">
        <f>+#REF!*100/#REF!</f>
        <v>#REF!</v>
      </c>
      <c r="M44" s="464">
        <f t="shared" si="2"/>
        <v>2397811.38</v>
      </c>
      <c r="N44" s="465">
        <f>G44/E44*100</f>
        <v>49.200989317735328</v>
      </c>
    </row>
    <row r="45" spans="1:15" ht="18" customHeight="1" x14ac:dyDescent="0.25">
      <c r="A45" s="460">
        <v>330</v>
      </c>
      <c r="B45" s="463" t="s">
        <v>362</v>
      </c>
      <c r="C45" s="463">
        <v>1992844</v>
      </c>
      <c r="D45" s="463">
        <v>2415854</v>
      </c>
      <c r="E45" s="463">
        <v>1419433</v>
      </c>
      <c r="F45" s="463">
        <v>131321.13</v>
      </c>
      <c r="G45" s="463">
        <v>268731.89</v>
      </c>
      <c r="H45" s="463">
        <v>5483.92</v>
      </c>
      <c r="I45" s="463">
        <v>5483.92</v>
      </c>
      <c r="J45" s="463">
        <f t="shared" si="1"/>
        <v>1150701.1099999999</v>
      </c>
      <c r="K45" s="463" t="e">
        <f t="shared" si="5"/>
        <v>#REF!</v>
      </c>
      <c r="L45" s="463" t="e">
        <f>+#REF!*100/#REF!</f>
        <v>#REF!</v>
      </c>
      <c r="M45" s="464">
        <f t="shared" si="2"/>
        <v>2147122.11</v>
      </c>
      <c r="N45" s="465">
        <f t="shared" ref="N45:N47" si="7">G45/E45*100</f>
        <v>18.932340589517082</v>
      </c>
    </row>
    <row r="46" spans="1:15" ht="18" customHeight="1" x14ac:dyDescent="0.25">
      <c r="A46" s="460">
        <v>340</v>
      </c>
      <c r="B46" s="463" t="s">
        <v>133</v>
      </c>
      <c r="C46" s="463">
        <v>16758</v>
      </c>
      <c r="D46" s="463">
        <v>16758</v>
      </c>
      <c r="E46" s="463">
        <v>8379</v>
      </c>
      <c r="F46" s="463">
        <v>4119.45</v>
      </c>
      <c r="G46" s="463">
        <v>5777.34</v>
      </c>
      <c r="H46" s="463">
        <v>85</v>
      </c>
      <c r="I46" s="463">
        <v>85</v>
      </c>
      <c r="J46" s="463">
        <f t="shared" si="1"/>
        <v>2601.66</v>
      </c>
      <c r="K46" s="463" t="e">
        <f t="shared" si="5"/>
        <v>#REF!</v>
      </c>
      <c r="L46" s="463" t="e">
        <f>+#REF!*100/#REF!</f>
        <v>#REF!</v>
      </c>
      <c r="M46" s="464">
        <f t="shared" si="2"/>
        <v>10980.66</v>
      </c>
      <c r="N46" s="465">
        <f t="shared" si="7"/>
        <v>68.950232724668808</v>
      </c>
    </row>
    <row r="47" spans="1:15" ht="18" customHeight="1" x14ac:dyDescent="0.25">
      <c r="A47" s="460">
        <v>350</v>
      </c>
      <c r="B47" s="463" t="s">
        <v>282</v>
      </c>
      <c r="C47" s="463">
        <v>594406</v>
      </c>
      <c r="D47" s="463">
        <v>745756</v>
      </c>
      <c r="E47" s="463">
        <v>448554</v>
      </c>
      <c r="F47" s="463">
        <v>34900.93</v>
      </c>
      <c r="G47" s="463">
        <v>182474.03</v>
      </c>
      <c r="H47" s="463">
        <v>81490.960000000006</v>
      </c>
      <c r="I47" s="463">
        <v>55832.959999999999</v>
      </c>
      <c r="J47" s="463">
        <f t="shared" si="1"/>
        <v>266079.96999999997</v>
      </c>
      <c r="K47" s="463" t="e">
        <f>+K48+#REF!</f>
        <v>#REF!</v>
      </c>
      <c r="L47" s="463" t="e">
        <f>+#REF!*100/#REF!</f>
        <v>#REF!</v>
      </c>
      <c r="M47" s="464">
        <f t="shared" si="2"/>
        <v>563281.97</v>
      </c>
      <c r="N47" s="465">
        <f t="shared" si="7"/>
        <v>40.680504465460118</v>
      </c>
    </row>
    <row r="48" spans="1:15" ht="18" customHeight="1" x14ac:dyDescent="0.25">
      <c r="A48" s="460">
        <v>370</v>
      </c>
      <c r="B48" s="463" t="s">
        <v>283</v>
      </c>
      <c r="C48" s="463">
        <v>5548922</v>
      </c>
      <c r="D48" s="463">
        <v>5968531</v>
      </c>
      <c r="E48" s="463">
        <v>3330399</v>
      </c>
      <c r="F48" s="463">
        <v>354315.43</v>
      </c>
      <c r="G48" s="463">
        <v>1863302.76</v>
      </c>
      <c r="H48" s="463">
        <v>74935.03</v>
      </c>
      <c r="I48" s="463">
        <v>48759.9</v>
      </c>
      <c r="J48" s="463">
        <f t="shared" si="1"/>
        <v>1467096.24</v>
      </c>
      <c r="K48" s="463" t="e">
        <f>+K49+#REF!</f>
        <v>#REF!</v>
      </c>
      <c r="L48" s="463" t="e">
        <f>+#REF!*100/#REF!</f>
        <v>#REF!</v>
      </c>
      <c r="M48" s="464">
        <f t="shared" si="2"/>
        <v>4105228.24</v>
      </c>
      <c r="N48" s="465">
        <f>G48/E48*100</f>
        <v>55.948334118524535</v>
      </c>
    </row>
    <row r="49" spans="1:16" ht="18" customHeight="1" x14ac:dyDescent="0.25">
      <c r="A49" s="460">
        <v>380</v>
      </c>
      <c r="B49" s="463" t="s">
        <v>284</v>
      </c>
      <c r="C49" s="463">
        <v>4363584</v>
      </c>
      <c r="D49" s="463">
        <v>4775314</v>
      </c>
      <c r="E49" s="463">
        <v>3037134</v>
      </c>
      <c r="F49" s="463">
        <v>97061.55</v>
      </c>
      <c r="G49" s="463">
        <v>924812.00000000012</v>
      </c>
      <c r="H49" s="463">
        <v>199000.74</v>
      </c>
      <c r="I49" s="463">
        <v>68344.98</v>
      </c>
      <c r="J49" s="463">
        <f t="shared" si="1"/>
        <v>2112322</v>
      </c>
      <c r="K49" s="463" t="e">
        <f>+#REF!+#REF!</f>
        <v>#REF!</v>
      </c>
      <c r="L49" s="463" t="e">
        <f>+#REF!*100/#REF!</f>
        <v>#REF!</v>
      </c>
      <c r="M49" s="464">
        <f t="shared" si="2"/>
        <v>3850502</v>
      </c>
      <c r="N49" s="465">
        <f>G49/E49*100</f>
        <v>30.450154652379517</v>
      </c>
    </row>
    <row r="50" spans="1:16" ht="18" customHeight="1" x14ac:dyDescent="0.25">
      <c r="A50" s="460">
        <v>390</v>
      </c>
      <c r="B50" s="463" t="s">
        <v>399</v>
      </c>
      <c r="C50" s="463"/>
      <c r="D50" s="463">
        <v>513283</v>
      </c>
      <c r="E50" s="463">
        <v>513283</v>
      </c>
      <c r="F50" s="463">
        <v>337005.97</v>
      </c>
      <c r="G50" s="463">
        <v>467423.23</v>
      </c>
      <c r="H50" s="463">
        <v>76972.09</v>
      </c>
      <c r="I50" s="463">
        <v>126659.88</v>
      </c>
      <c r="J50" s="463">
        <f t="shared" si="1"/>
        <v>45859.770000000019</v>
      </c>
      <c r="K50" s="462" t="e">
        <f>+K52+#REF!</f>
        <v>#REF!</v>
      </c>
      <c r="L50" s="462" t="e">
        <f>+#REF!*100/#REF!</f>
        <v>#REF!</v>
      </c>
      <c r="M50" s="464">
        <f t="shared" si="2"/>
        <v>45859.770000000019</v>
      </c>
      <c r="N50" s="465">
        <f t="shared" ref="N50" si="8">G50/E50*100</f>
        <v>91.065402516740278</v>
      </c>
    </row>
    <row r="51" spans="1:16" ht="8.4499999999999993" customHeight="1" x14ac:dyDescent="0.4">
      <c r="A51" s="482"/>
      <c r="B51" s="469"/>
      <c r="C51" s="469"/>
      <c r="D51" s="469"/>
      <c r="E51" s="469"/>
      <c r="F51" s="469"/>
      <c r="G51" s="469"/>
      <c r="H51" s="469"/>
      <c r="I51" s="469"/>
      <c r="J51" s="470"/>
      <c r="K51" s="470"/>
      <c r="L51" s="470"/>
      <c r="M51" s="471"/>
      <c r="N51" s="472"/>
    </row>
    <row r="52" spans="1:16" ht="18" customHeight="1" x14ac:dyDescent="0.25">
      <c r="A52" s="454">
        <v>5</v>
      </c>
      <c r="B52" s="456" t="s">
        <v>351</v>
      </c>
      <c r="C52" s="456">
        <f>C53</f>
        <v>24785293</v>
      </c>
      <c r="D52" s="456">
        <f t="shared" ref="D52:I52" si="9">SUM(D53)</f>
        <v>22794441</v>
      </c>
      <c r="E52" s="456">
        <f t="shared" si="9"/>
        <v>11918658</v>
      </c>
      <c r="F52" s="456">
        <f t="shared" si="9"/>
        <v>494339.72</v>
      </c>
      <c r="G52" s="456">
        <v>3322207.37</v>
      </c>
      <c r="H52" s="457">
        <f>+H53</f>
        <v>24784</v>
      </c>
      <c r="I52" s="456">
        <f t="shared" si="9"/>
        <v>0</v>
      </c>
      <c r="J52" s="456">
        <f t="shared" si="1"/>
        <v>8596450.629999999</v>
      </c>
      <c r="K52" s="456" t="e">
        <f>+#REF!+K53</f>
        <v>#REF!</v>
      </c>
      <c r="L52" s="456" t="e">
        <f>+#REF!*100/#REF!</f>
        <v>#REF!</v>
      </c>
      <c r="M52" s="458">
        <f t="shared" si="2"/>
        <v>19472233.629999999</v>
      </c>
      <c r="N52" s="459">
        <f>G52/E52*100</f>
        <v>27.874005362013072</v>
      </c>
    </row>
    <row r="53" spans="1:16" ht="18" customHeight="1" x14ac:dyDescent="0.25">
      <c r="A53" s="478">
        <v>510</v>
      </c>
      <c r="B53" s="463" t="s">
        <v>352</v>
      </c>
      <c r="C53" s="463">
        <v>24785293</v>
      </c>
      <c r="D53" s="463">
        <v>22794441</v>
      </c>
      <c r="E53" s="463">
        <v>11918658</v>
      </c>
      <c r="F53" s="463">
        <v>494339.72</v>
      </c>
      <c r="G53" s="463">
        <v>3322207.37</v>
      </c>
      <c r="H53" s="463">
        <v>24784</v>
      </c>
      <c r="I53" s="463">
        <v>0</v>
      </c>
      <c r="J53" s="463">
        <f t="shared" si="1"/>
        <v>8596450.629999999</v>
      </c>
      <c r="K53" s="462" t="e">
        <f>+#REF!+K55</f>
        <v>#REF!</v>
      </c>
      <c r="L53" s="462" t="e">
        <f>+#REF!*100/#REF!</f>
        <v>#REF!</v>
      </c>
      <c r="M53" s="464">
        <f t="shared" si="2"/>
        <v>19472233.629999999</v>
      </c>
      <c r="N53" s="465">
        <f>G53/E53*100</f>
        <v>27.874005362013072</v>
      </c>
    </row>
    <row r="54" spans="1:16" ht="3" customHeight="1" x14ac:dyDescent="0.4">
      <c r="A54" s="488"/>
      <c r="B54" s="469"/>
      <c r="C54" s="469"/>
      <c r="D54" s="469"/>
      <c r="E54" s="469"/>
      <c r="F54" s="469"/>
      <c r="G54" s="469"/>
      <c r="H54" s="469"/>
      <c r="I54" s="469"/>
      <c r="J54" s="470"/>
      <c r="K54" s="470"/>
      <c r="L54" s="470"/>
      <c r="M54" s="471"/>
      <c r="N54" s="472"/>
    </row>
    <row r="55" spans="1:16" ht="18" customHeight="1" x14ac:dyDescent="0.25">
      <c r="A55" s="454" t="s">
        <v>290</v>
      </c>
      <c r="B55" s="455" t="s">
        <v>291</v>
      </c>
      <c r="C55" s="456">
        <f>SUM(C57:C58)</f>
        <v>2559600</v>
      </c>
      <c r="D55" s="456">
        <f>SUM(D56:D58)</f>
        <v>2300580</v>
      </c>
      <c r="E55" s="456">
        <f>SUM(E56:E58)</f>
        <v>1020780</v>
      </c>
      <c r="F55" s="456">
        <f>SUM(F57)</f>
        <v>0</v>
      </c>
      <c r="G55" s="456">
        <v>0</v>
      </c>
      <c r="H55" s="457"/>
      <c r="I55" s="456">
        <f>SUM(I57)</f>
        <v>0</v>
      </c>
      <c r="J55" s="456">
        <f t="shared" si="1"/>
        <v>1020780</v>
      </c>
      <c r="K55" s="456">
        <f>+K56+K58</f>
        <v>0</v>
      </c>
      <c r="L55" s="456" t="e">
        <f>+#REF!*100/#REF!</f>
        <v>#REF!</v>
      </c>
      <c r="M55" s="458">
        <f t="shared" si="2"/>
        <v>2300580</v>
      </c>
      <c r="N55" s="459">
        <f>G55/E55*100</f>
        <v>0</v>
      </c>
    </row>
    <row r="56" spans="1:16" ht="18" customHeight="1" x14ac:dyDescent="0.2">
      <c r="A56" s="479" t="s">
        <v>295</v>
      </c>
      <c r="B56" s="463" t="s">
        <v>164</v>
      </c>
      <c r="C56" s="463" t="s">
        <v>6</v>
      </c>
      <c r="D56" s="463">
        <f>SUM(C56:C56)</f>
        <v>0</v>
      </c>
      <c r="E56" s="463" t="s">
        <v>6</v>
      </c>
      <c r="F56" s="463"/>
      <c r="G56" s="463"/>
      <c r="H56" s="463"/>
      <c r="I56" s="463"/>
      <c r="J56" s="463" t="s">
        <v>6</v>
      </c>
      <c r="K56" s="463">
        <f>+K57+K60</f>
        <v>0</v>
      </c>
      <c r="L56" s="463" t="e">
        <f>+#REF!*100/#REF!</f>
        <v>#REF!</v>
      </c>
      <c r="M56" s="464">
        <f t="shared" si="2"/>
        <v>0</v>
      </c>
      <c r="N56" s="465" t="s">
        <v>6</v>
      </c>
    </row>
    <row r="57" spans="1:16" ht="18" customHeight="1" x14ac:dyDescent="0.2">
      <c r="A57" s="478">
        <v>620</v>
      </c>
      <c r="B57" s="463" t="s">
        <v>357</v>
      </c>
      <c r="C57" s="463">
        <v>2559600</v>
      </c>
      <c r="D57" s="463">
        <v>2099580</v>
      </c>
      <c r="E57" s="463">
        <v>819780</v>
      </c>
      <c r="F57" s="463">
        <v>0</v>
      </c>
      <c r="G57" s="463">
        <v>0</v>
      </c>
      <c r="H57" s="463"/>
      <c r="I57" s="463" t="s">
        <v>6</v>
      </c>
      <c r="J57" s="463">
        <f t="shared" si="1"/>
        <v>819780</v>
      </c>
      <c r="K57" s="463">
        <f>+K58+K61</f>
        <v>0</v>
      </c>
      <c r="L57" s="463" t="e">
        <f>+#REF!*100/#REF!</f>
        <v>#REF!</v>
      </c>
      <c r="M57" s="464">
        <f t="shared" si="2"/>
        <v>2099580</v>
      </c>
      <c r="N57" s="465">
        <f>G57/E57*100</f>
        <v>0</v>
      </c>
    </row>
    <row r="58" spans="1:16" ht="18" customHeight="1" x14ac:dyDescent="0.2">
      <c r="A58" s="478">
        <v>630</v>
      </c>
      <c r="B58" s="463" t="s">
        <v>400</v>
      </c>
      <c r="C58" s="463">
        <v>0</v>
      </c>
      <c r="D58" s="463">
        <v>201000</v>
      </c>
      <c r="E58" s="463">
        <v>201000</v>
      </c>
      <c r="F58" s="463"/>
      <c r="G58" s="463"/>
      <c r="H58" s="463"/>
      <c r="I58" s="463"/>
      <c r="J58" s="463">
        <f t="shared" si="1"/>
        <v>201000</v>
      </c>
      <c r="K58" s="463">
        <f>+K60+K62</f>
        <v>0</v>
      </c>
      <c r="L58" s="463" t="e">
        <f>+#REF!*100/#REF!</f>
        <v>#REF!</v>
      </c>
      <c r="M58" s="464">
        <f t="shared" si="2"/>
        <v>201000</v>
      </c>
      <c r="N58" s="465" t="s">
        <v>6</v>
      </c>
    </row>
    <row r="59" spans="1:16" ht="9.6" customHeight="1" x14ac:dyDescent="0.4">
      <c r="A59" s="482"/>
      <c r="B59" s="469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1"/>
      <c r="N59" s="472"/>
    </row>
    <row r="60" spans="1:16" ht="19.149999999999999" customHeight="1" x14ac:dyDescent="0.4">
      <c r="A60" s="489" t="s">
        <v>6</v>
      </c>
      <c r="B60" s="490" t="s">
        <v>353</v>
      </c>
      <c r="C60" s="491">
        <f t="shared" ref="C60:I60" si="10">+C55+C52+C41+C30+C19+C9</f>
        <v>56905194</v>
      </c>
      <c r="D60" s="491">
        <f t="shared" si="10"/>
        <v>56905194</v>
      </c>
      <c r="E60" s="491">
        <f>+E55+E52+E41+E30+E19+E9</f>
        <v>31152113</v>
      </c>
      <c r="F60" s="491">
        <f t="shared" si="10"/>
        <v>1898353.8</v>
      </c>
      <c r="G60" s="491">
        <v>10765365.210000001</v>
      </c>
      <c r="H60" s="491">
        <f t="shared" si="10"/>
        <v>1524818.33</v>
      </c>
      <c r="I60" s="491">
        <f t="shared" si="10"/>
        <v>949958.10999999987</v>
      </c>
      <c r="J60" s="491">
        <f t="shared" si="1"/>
        <v>20386747.789999999</v>
      </c>
      <c r="K60" s="491">
        <f>+K61+K63</f>
        <v>0</v>
      </c>
      <c r="L60" s="491" t="e">
        <f>+#REF!*100/#REF!</f>
        <v>#REF!</v>
      </c>
      <c r="M60" s="490">
        <f t="shared" si="2"/>
        <v>46139828.789999999</v>
      </c>
      <c r="N60" s="492">
        <f>G60/E60*100</f>
        <v>34.557415768233767</v>
      </c>
      <c r="P60" s="45"/>
    </row>
    <row r="61" spans="1:16" x14ac:dyDescent="0.25">
      <c r="A61" s="493"/>
      <c r="B61" s="494"/>
      <c r="C61" s="90"/>
      <c r="D61" s="90"/>
      <c r="E61" s="90"/>
      <c r="F61" s="90"/>
      <c r="G61" s="90"/>
      <c r="H61" s="90"/>
      <c r="I61" s="90"/>
      <c r="J61" s="90"/>
      <c r="K61" s="495"/>
      <c r="L61" s="496"/>
      <c r="M61" s="497"/>
    </row>
    <row r="62" spans="1:16" x14ac:dyDescent="0.25">
      <c r="A62" s="736" t="s">
        <v>507</v>
      </c>
      <c r="B62" s="736"/>
      <c r="E62" s="1" t="s">
        <v>6</v>
      </c>
      <c r="G62" s="45" t="s">
        <v>6</v>
      </c>
      <c r="P62" s="45"/>
    </row>
    <row r="63" spans="1:16" x14ac:dyDescent="0.25">
      <c r="A63" s="10"/>
      <c r="B63" s="12"/>
    </row>
    <row r="64" spans="1:16" x14ac:dyDescent="0.25">
      <c r="B64" s="67">
        <v>0</v>
      </c>
      <c r="C64" s="62" t="s">
        <v>6</v>
      </c>
    </row>
    <row r="65" spans="2:4" x14ac:dyDescent="0.25">
      <c r="B65" s="70"/>
      <c r="C65" s="63"/>
      <c r="D65" s="63"/>
    </row>
    <row r="66" spans="2:4" x14ac:dyDescent="0.25">
      <c r="B66" s="66"/>
      <c r="C66" s="69"/>
    </row>
    <row r="67" spans="2:4" x14ac:dyDescent="0.25">
      <c r="B67" s="68"/>
      <c r="C67" s="65"/>
      <c r="D67" s="65"/>
    </row>
    <row r="68" spans="2:4" x14ac:dyDescent="0.25">
      <c r="B68" s="66"/>
      <c r="C68" s="67"/>
    </row>
    <row r="69" spans="2:4" x14ac:dyDescent="0.25">
      <c r="B69" s="68"/>
      <c r="C69" s="68"/>
      <c r="D69" s="68"/>
    </row>
    <row r="70" spans="2:4" x14ac:dyDescent="0.25">
      <c r="B70" s="66"/>
      <c r="C70" s="64"/>
    </row>
    <row r="71" spans="2:4" x14ac:dyDescent="0.25">
      <c r="B71" s="68"/>
      <c r="C71" s="65"/>
      <c r="D71" s="65"/>
    </row>
    <row r="72" spans="2:4" x14ac:dyDescent="0.25">
      <c r="B72" s="66"/>
      <c r="C72" s="67"/>
    </row>
    <row r="73" spans="2:4" x14ac:dyDescent="0.25">
      <c r="B73" s="68"/>
      <c r="C73" s="68"/>
      <c r="D73" s="68"/>
    </row>
    <row r="74" spans="2:4" x14ac:dyDescent="0.25">
      <c r="B74" s="66"/>
      <c r="C74" s="64"/>
    </row>
    <row r="75" spans="2:4" x14ac:dyDescent="0.25">
      <c r="B75" s="68"/>
      <c r="C75" s="65"/>
      <c r="D75" s="65"/>
    </row>
    <row r="76" spans="2:4" x14ac:dyDescent="0.25">
      <c r="B76" s="66"/>
      <c r="C76" s="67"/>
    </row>
    <row r="77" spans="2:4" x14ac:dyDescent="0.25">
      <c r="B77" s="68"/>
      <c r="C77" s="68"/>
      <c r="D77" s="68"/>
    </row>
    <row r="78" spans="2:4" x14ac:dyDescent="0.25">
      <c r="B78" s="66"/>
      <c r="C78" s="67"/>
    </row>
    <row r="79" spans="2:4" x14ac:dyDescent="0.25">
      <c r="B79" s="68"/>
      <c r="C79" s="68"/>
      <c r="D79" s="68"/>
    </row>
    <row r="80" spans="2:4" x14ac:dyDescent="0.25">
      <c r="B80" s="66"/>
      <c r="C80" s="67"/>
    </row>
    <row r="81" spans="1:11" x14ac:dyDescent="0.25">
      <c r="B81" s="68"/>
      <c r="C81" s="68"/>
      <c r="D81" s="68"/>
    </row>
    <row r="82" spans="1:11" x14ac:dyDescent="0.25">
      <c r="B82" s="66"/>
      <c r="C82" s="67"/>
    </row>
    <row r="83" spans="1:11" x14ac:dyDescent="0.25">
      <c r="A83" s="730"/>
      <c r="B83" s="12"/>
    </row>
    <row r="84" spans="1:11" x14ac:dyDescent="0.25">
      <c r="A84" s="730"/>
      <c r="B84" s="12"/>
    </row>
    <row r="85" spans="1:11" x14ac:dyDescent="0.25">
      <c r="A85" s="10"/>
      <c r="B85" s="12"/>
    </row>
    <row r="86" spans="1:11" x14ac:dyDescent="0.25">
      <c r="A86" s="10"/>
      <c r="B86" s="12"/>
    </row>
    <row r="87" spans="1:11" x14ac:dyDescent="0.25">
      <c r="A87" s="13"/>
      <c r="B87" s="12"/>
    </row>
    <row r="88" spans="1:11" x14ac:dyDescent="0.25">
      <c r="A88" s="13"/>
      <c r="B88" s="12"/>
    </row>
    <row r="89" spans="1:11" x14ac:dyDescent="0.25">
      <c r="A89" s="13"/>
      <c r="B89" s="12"/>
    </row>
    <row r="90" spans="1:11" x14ac:dyDescent="0.25">
      <c r="A90" s="13"/>
      <c r="B90" s="12"/>
    </row>
    <row r="91" spans="1:11" ht="14.25" thickBot="1" x14ac:dyDescent="0.3">
      <c r="A91" s="10"/>
      <c r="B91" s="12"/>
    </row>
    <row r="92" spans="1:11" ht="14.25" thickTop="1" x14ac:dyDescent="0.25">
      <c r="A92" s="10"/>
      <c r="B92" s="71"/>
      <c r="C92" s="14"/>
      <c r="D92" s="9"/>
      <c r="E92" s="9"/>
      <c r="F92" s="9"/>
      <c r="G92" s="9"/>
      <c r="H92" s="9"/>
      <c r="I92" s="9"/>
      <c r="J92" s="9"/>
      <c r="K92" s="11"/>
    </row>
    <row r="93" spans="1:11" x14ac:dyDescent="0.25">
      <c r="A93" s="5"/>
      <c r="B93" s="2"/>
      <c r="C93" s="5"/>
      <c r="D93" s="5"/>
      <c r="E93" s="5"/>
      <c r="F93" s="5"/>
      <c r="G93" s="5"/>
      <c r="H93" s="5"/>
      <c r="I93" s="5"/>
      <c r="J93" s="5"/>
      <c r="K93" s="15"/>
    </row>
    <row r="94" spans="1:11" x14ac:dyDescent="0.25">
      <c r="A94" s="5"/>
      <c r="B94" s="2"/>
      <c r="C94" s="5"/>
      <c r="D94" s="5"/>
      <c r="E94" s="5"/>
      <c r="F94" s="5"/>
      <c r="G94" s="5"/>
      <c r="H94" s="5"/>
      <c r="I94" s="5"/>
      <c r="J94" s="5"/>
      <c r="K94" s="15"/>
    </row>
    <row r="95" spans="1:11" x14ac:dyDescent="0.25">
      <c r="A95" s="5"/>
      <c r="B95" s="2"/>
      <c r="C95" s="5"/>
      <c r="D95" s="5"/>
      <c r="E95" s="5"/>
      <c r="F95" s="5"/>
      <c r="G95" s="5"/>
      <c r="H95" s="5"/>
      <c r="I95" s="5"/>
      <c r="J95" s="5"/>
      <c r="K95" s="15"/>
    </row>
    <row r="96" spans="1:11" x14ac:dyDescent="0.25">
      <c r="A96" s="5"/>
      <c r="B96" s="2"/>
      <c r="C96" s="5"/>
      <c r="D96" s="5"/>
      <c r="E96" s="5"/>
      <c r="F96" s="5"/>
      <c r="G96" s="5"/>
      <c r="H96" s="5"/>
      <c r="I96" s="5"/>
      <c r="J96" s="5"/>
      <c r="K96" s="15"/>
    </row>
    <row r="97" spans="1:11" x14ac:dyDescent="0.25">
      <c r="A97" s="5"/>
      <c r="B97" s="2"/>
      <c r="C97" s="5"/>
      <c r="D97" s="5"/>
      <c r="E97" s="5"/>
      <c r="F97" s="5"/>
      <c r="G97" s="5"/>
      <c r="H97" s="5"/>
      <c r="I97" s="5"/>
      <c r="J97" s="5"/>
      <c r="K97" s="15"/>
    </row>
    <row r="98" spans="1:11" x14ac:dyDescent="0.25">
      <c r="A98" s="5"/>
      <c r="B98" s="2"/>
      <c r="C98" s="5"/>
      <c r="D98" s="5"/>
      <c r="E98" s="5"/>
      <c r="F98" s="5"/>
      <c r="G98" s="5"/>
      <c r="H98" s="5"/>
      <c r="I98" s="5"/>
      <c r="J98" s="5"/>
      <c r="K98" s="15"/>
    </row>
    <row r="99" spans="1:11" x14ac:dyDescent="0.25">
      <c r="A99" s="5"/>
      <c r="B99" s="2"/>
      <c r="C99" s="5"/>
      <c r="D99" s="5"/>
      <c r="E99" s="5"/>
      <c r="F99" s="5"/>
      <c r="G99" s="5"/>
      <c r="H99" s="5"/>
      <c r="I99" s="5"/>
      <c r="J99" s="5"/>
      <c r="K99" s="15"/>
    </row>
    <row r="100" spans="1:11" x14ac:dyDescent="0.25">
      <c r="A100" s="5"/>
      <c r="B100" s="2"/>
      <c r="C100" s="5"/>
      <c r="D100" s="5"/>
      <c r="E100" s="5"/>
      <c r="F100" s="5"/>
      <c r="G100" s="5"/>
      <c r="H100" s="5"/>
      <c r="I100" s="5"/>
      <c r="J100" s="5"/>
      <c r="K100" s="15"/>
    </row>
    <row r="101" spans="1:11" x14ac:dyDescent="0.25">
      <c r="A101" s="5"/>
      <c r="B101" s="2"/>
      <c r="C101" s="5"/>
      <c r="D101" s="5"/>
      <c r="E101" s="5"/>
      <c r="F101" s="5"/>
      <c r="G101" s="5"/>
      <c r="H101" s="5"/>
      <c r="I101" s="5"/>
      <c r="J101" s="5"/>
      <c r="K101" s="15"/>
    </row>
    <row r="102" spans="1:11" x14ac:dyDescent="0.25">
      <c r="A102" s="5"/>
      <c r="B102" s="2"/>
      <c r="C102" s="5"/>
      <c r="D102" s="5"/>
      <c r="E102" s="5"/>
      <c r="F102" s="5"/>
      <c r="G102" s="5"/>
      <c r="H102" s="5"/>
      <c r="I102" s="5"/>
      <c r="J102" s="5"/>
      <c r="K102" s="15"/>
    </row>
    <row r="103" spans="1:11" x14ac:dyDescent="0.25">
      <c r="A103" s="5"/>
      <c r="B103" s="2"/>
      <c r="C103" s="5"/>
      <c r="D103" s="5"/>
      <c r="E103" s="5"/>
      <c r="F103" s="5"/>
      <c r="G103" s="5"/>
      <c r="H103" s="5"/>
      <c r="I103" s="5"/>
      <c r="J103" s="5"/>
      <c r="K103" s="15"/>
    </row>
    <row r="104" spans="1:11" x14ac:dyDescent="0.25">
      <c r="A104" s="5"/>
      <c r="B104" s="2"/>
      <c r="C104" s="5"/>
      <c r="D104" s="5"/>
      <c r="E104" s="5"/>
      <c r="F104" s="5"/>
      <c r="G104" s="5"/>
      <c r="H104" s="5"/>
      <c r="I104" s="5"/>
      <c r="J104" s="5"/>
      <c r="K104" s="15"/>
    </row>
    <row r="105" spans="1:11" x14ac:dyDescent="0.25">
      <c r="A105" s="5"/>
      <c r="B105" s="2"/>
      <c r="C105" s="5"/>
      <c r="D105" s="5"/>
      <c r="E105" s="5"/>
      <c r="F105" s="5"/>
      <c r="G105" s="5"/>
      <c r="H105" s="5"/>
      <c r="I105" s="5"/>
      <c r="J105" s="5"/>
      <c r="K105" s="15"/>
    </row>
    <row r="106" spans="1:11" x14ac:dyDescent="0.25">
      <c r="A106" s="5"/>
      <c r="B106" s="2"/>
      <c r="C106" s="5"/>
      <c r="D106" s="5"/>
      <c r="E106" s="5"/>
      <c r="F106" s="5"/>
      <c r="G106" s="5"/>
      <c r="H106" s="5"/>
      <c r="I106" s="5"/>
      <c r="J106" s="5"/>
      <c r="K106" s="15"/>
    </row>
    <row r="107" spans="1:11" x14ac:dyDescent="0.25">
      <c r="A107" s="5"/>
      <c r="B107" s="2"/>
      <c r="C107" s="5"/>
      <c r="D107" s="5"/>
      <c r="E107" s="5"/>
      <c r="F107" s="5"/>
      <c r="G107" s="5"/>
      <c r="H107" s="5"/>
      <c r="I107" s="5"/>
      <c r="J107" s="5"/>
      <c r="K107" s="15"/>
    </row>
    <row r="108" spans="1:11" x14ac:dyDescent="0.25">
      <c r="A108" s="5"/>
      <c r="B108" s="2"/>
      <c r="C108" s="5"/>
      <c r="D108" s="5"/>
      <c r="E108" s="5"/>
      <c r="F108" s="5"/>
      <c r="G108" s="5"/>
      <c r="H108" s="5"/>
      <c r="I108" s="5"/>
      <c r="J108" s="5"/>
      <c r="K108" s="15"/>
    </row>
    <row r="109" spans="1:11" x14ac:dyDescent="0.25">
      <c r="A109" s="5"/>
      <c r="B109" s="2"/>
      <c r="C109" s="5"/>
      <c r="D109" s="5"/>
      <c r="E109" s="5"/>
      <c r="F109" s="5"/>
      <c r="G109" s="5"/>
      <c r="H109" s="5"/>
      <c r="I109" s="5"/>
      <c r="J109" s="5"/>
      <c r="K109" s="15"/>
    </row>
    <row r="110" spans="1:11" x14ac:dyDescent="0.25">
      <c r="A110" s="5"/>
      <c r="B110" s="2"/>
      <c r="C110" s="5"/>
      <c r="D110" s="5"/>
      <c r="E110" s="5"/>
      <c r="F110" s="5"/>
      <c r="G110" s="5"/>
      <c r="H110" s="5"/>
      <c r="I110" s="5"/>
      <c r="J110" s="5"/>
      <c r="K110" s="15"/>
    </row>
    <row r="111" spans="1:11" x14ac:dyDescent="0.25">
      <c r="A111" s="5"/>
      <c r="B111" s="2"/>
      <c r="C111" s="5"/>
      <c r="D111" s="5"/>
      <c r="E111" s="5"/>
      <c r="F111" s="5"/>
      <c r="G111" s="5"/>
      <c r="H111" s="5"/>
      <c r="I111" s="5"/>
      <c r="J111" s="5"/>
      <c r="K111" s="15"/>
    </row>
    <row r="112" spans="1:11" x14ac:dyDescent="0.25">
      <c r="A112" s="5"/>
      <c r="B112" s="2"/>
      <c r="C112" s="5"/>
      <c r="D112" s="5"/>
      <c r="E112" s="5"/>
      <c r="F112" s="5"/>
      <c r="G112" s="5"/>
      <c r="H112" s="5"/>
      <c r="I112" s="5"/>
      <c r="J112" s="5"/>
      <c r="K112" s="15"/>
    </row>
    <row r="113" spans="1:14" x14ac:dyDescent="0.25">
      <c r="A113" s="5"/>
      <c r="B113" s="2"/>
      <c r="C113" s="5"/>
      <c r="D113" s="5"/>
      <c r="E113" s="5"/>
      <c r="F113" s="5"/>
      <c r="G113" s="5"/>
      <c r="H113" s="5"/>
      <c r="I113" s="5"/>
      <c r="J113" s="5"/>
      <c r="K113" s="15"/>
    </row>
    <row r="114" spans="1:14" x14ac:dyDescent="0.25">
      <c r="A114" s="5"/>
      <c r="B114" s="2"/>
      <c r="C114" s="5"/>
      <c r="D114" s="5"/>
      <c r="E114" s="5"/>
      <c r="F114" s="5"/>
      <c r="G114" s="5"/>
      <c r="H114" s="5"/>
      <c r="I114" s="5"/>
      <c r="J114" s="5"/>
      <c r="K114" s="15"/>
      <c r="L114" s="21"/>
      <c r="M114" s="8" t="s">
        <v>6</v>
      </c>
      <c r="N114" s="17"/>
    </row>
    <row r="115" spans="1:14" x14ac:dyDescent="0.25">
      <c r="A115" s="5"/>
      <c r="B115" s="2"/>
      <c r="C115" s="5"/>
      <c r="D115" s="5"/>
      <c r="E115" s="5"/>
      <c r="F115" s="5"/>
      <c r="G115" s="5"/>
      <c r="H115" s="5"/>
      <c r="I115" s="5"/>
      <c r="J115" s="5"/>
      <c r="K115" s="15"/>
      <c r="L115" s="21"/>
      <c r="M115" s="8" t="s">
        <v>6</v>
      </c>
      <c r="N115" s="17"/>
    </row>
    <row r="116" spans="1:14" x14ac:dyDescent="0.25">
      <c r="A116" s="5"/>
      <c r="B116" s="2"/>
      <c r="C116" s="5"/>
      <c r="D116" s="5"/>
      <c r="E116" s="5"/>
      <c r="F116" s="5"/>
      <c r="G116" s="5"/>
      <c r="H116" s="5"/>
      <c r="I116" s="5"/>
      <c r="J116" s="5"/>
      <c r="K116" s="15"/>
      <c r="L116" s="21"/>
      <c r="M116" s="8" t="s">
        <v>6</v>
      </c>
      <c r="N116" s="17"/>
    </row>
    <row r="117" spans="1:14" x14ac:dyDescent="0.25">
      <c r="A117" s="5"/>
      <c r="B117" s="2"/>
      <c r="C117" s="5"/>
      <c r="D117" s="5"/>
      <c r="E117" s="5"/>
      <c r="F117" s="5"/>
      <c r="G117" s="5"/>
      <c r="H117" s="5"/>
      <c r="I117" s="5"/>
      <c r="J117" s="5"/>
      <c r="K117" s="15"/>
      <c r="L117" s="21"/>
      <c r="M117" s="8" t="s">
        <v>6</v>
      </c>
      <c r="N117" s="17"/>
    </row>
    <row r="118" spans="1:14" x14ac:dyDescent="0.25">
      <c r="A118" s="5"/>
      <c r="B118" s="2"/>
      <c r="C118" s="5"/>
      <c r="D118" s="5"/>
      <c r="E118" s="5"/>
      <c r="F118" s="5"/>
      <c r="G118" s="5"/>
      <c r="H118" s="5"/>
      <c r="I118" s="5"/>
      <c r="J118" s="5"/>
      <c r="K118" s="15"/>
      <c r="L118" s="21"/>
      <c r="M118" s="8" t="s">
        <v>6</v>
      </c>
      <c r="N118" s="17"/>
    </row>
    <row r="119" spans="1:14" x14ac:dyDescent="0.25">
      <c r="A119" s="5"/>
      <c r="B119" s="2"/>
      <c r="C119" s="5"/>
      <c r="D119" s="5"/>
      <c r="E119" s="5"/>
      <c r="F119" s="5"/>
      <c r="G119" s="5"/>
      <c r="H119" s="5"/>
      <c r="I119" s="5"/>
      <c r="J119" s="5"/>
      <c r="K119" s="15"/>
      <c r="L119" s="21"/>
      <c r="M119" s="8" t="s">
        <v>6</v>
      </c>
      <c r="N119" s="17"/>
    </row>
    <row r="120" spans="1:14" x14ac:dyDescent="0.25">
      <c r="A120" s="5"/>
      <c r="B120" s="2"/>
      <c r="C120" s="5"/>
      <c r="D120" s="5"/>
      <c r="E120" s="5"/>
      <c r="F120" s="5"/>
      <c r="G120" s="5"/>
      <c r="H120" s="5"/>
      <c r="I120" s="5"/>
      <c r="J120" s="5"/>
      <c r="K120" s="15"/>
      <c r="L120" s="21"/>
      <c r="M120" s="8" t="s">
        <v>6</v>
      </c>
      <c r="N120" s="17"/>
    </row>
    <row r="121" spans="1:14" x14ac:dyDescent="0.25">
      <c r="A121" s="5"/>
      <c r="B121" s="2"/>
      <c r="C121" s="5"/>
      <c r="D121" s="5"/>
      <c r="E121" s="5"/>
      <c r="F121" s="5"/>
      <c r="G121" s="5"/>
      <c r="H121" s="5"/>
      <c r="I121" s="5"/>
      <c r="J121" s="5"/>
      <c r="K121" s="15"/>
      <c r="L121" s="21"/>
      <c r="M121" s="8" t="s">
        <v>6</v>
      </c>
      <c r="N121" s="17"/>
    </row>
    <row r="122" spans="1:14" x14ac:dyDescent="0.25">
      <c r="A122" s="5"/>
      <c r="B122" s="2"/>
      <c r="C122" s="5"/>
      <c r="D122" s="5"/>
      <c r="E122" s="5"/>
      <c r="F122" s="5"/>
      <c r="G122" s="5"/>
      <c r="H122" s="5"/>
      <c r="I122" s="5"/>
      <c r="J122" s="5"/>
      <c r="K122" s="15"/>
      <c r="L122" s="21"/>
      <c r="M122" s="8" t="s">
        <v>6</v>
      </c>
      <c r="N122" s="17"/>
    </row>
    <row r="123" spans="1:14" x14ac:dyDescent="0.25">
      <c r="A123" s="5"/>
      <c r="B123" s="2"/>
      <c r="C123" s="5"/>
      <c r="D123" s="5"/>
      <c r="E123" s="5"/>
      <c r="F123" s="5"/>
      <c r="G123" s="5"/>
      <c r="H123" s="5"/>
      <c r="I123" s="5"/>
      <c r="J123" s="5"/>
      <c r="K123" s="16"/>
      <c r="L123" s="21"/>
      <c r="M123" s="8" t="s">
        <v>6</v>
      </c>
      <c r="N123" s="17"/>
    </row>
    <row r="124" spans="1:14" x14ac:dyDescent="0.25">
      <c r="A124" s="5"/>
      <c r="B124" s="2"/>
      <c r="C124" s="5"/>
      <c r="D124" s="5"/>
      <c r="E124" s="5"/>
      <c r="F124" s="5"/>
      <c r="G124" s="5"/>
      <c r="H124" s="5"/>
      <c r="I124" s="5"/>
      <c r="J124" s="5"/>
      <c r="K124" s="16"/>
      <c r="L124" s="21"/>
      <c r="M124" s="8" t="s">
        <v>6</v>
      </c>
      <c r="N124" s="17"/>
    </row>
    <row r="125" spans="1:14" x14ac:dyDescent="0.25">
      <c r="A125" s="5"/>
      <c r="B125" s="2"/>
      <c r="C125" s="5"/>
      <c r="D125" s="5"/>
      <c r="E125" s="5"/>
      <c r="F125" s="5"/>
      <c r="G125" s="5"/>
      <c r="H125" s="5"/>
      <c r="I125" s="5"/>
      <c r="J125" s="5"/>
      <c r="K125" s="16"/>
      <c r="L125" s="21"/>
      <c r="M125" s="8" t="s">
        <v>6</v>
      </c>
      <c r="N125" s="17"/>
    </row>
    <row r="126" spans="1:14" x14ac:dyDescent="0.25">
      <c r="A126" s="5"/>
      <c r="B126" s="2"/>
      <c r="C126" s="5"/>
      <c r="D126" s="5"/>
      <c r="E126" s="5"/>
      <c r="F126" s="5"/>
      <c r="G126" s="5"/>
      <c r="H126" s="5"/>
      <c r="I126" s="5"/>
      <c r="J126" s="5"/>
      <c r="K126" s="16"/>
      <c r="L126" s="21"/>
      <c r="M126" s="8" t="s">
        <v>6</v>
      </c>
      <c r="N126" s="17"/>
    </row>
    <row r="127" spans="1:14" x14ac:dyDescent="0.25">
      <c r="A127" s="5"/>
      <c r="B127" s="2"/>
      <c r="C127" s="5"/>
      <c r="D127" s="5"/>
      <c r="E127" s="5"/>
      <c r="F127" s="5"/>
      <c r="G127" s="5"/>
      <c r="H127" s="5"/>
      <c r="I127" s="5"/>
      <c r="J127" s="5"/>
      <c r="K127" s="16"/>
      <c r="L127" s="21"/>
      <c r="M127" s="8" t="s">
        <v>6</v>
      </c>
      <c r="N127" s="17"/>
    </row>
    <row r="128" spans="1:14" x14ac:dyDescent="0.25">
      <c r="A128" s="5"/>
      <c r="B128" s="2"/>
      <c r="C128" s="5"/>
      <c r="D128" s="5"/>
      <c r="E128" s="5"/>
      <c r="F128" s="5"/>
      <c r="G128" s="5"/>
      <c r="H128" s="5"/>
      <c r="I128" s="5"/>
      <c r="J128" s="5"/>
      <c r="K128" s="16"/>
      <c r="L128" s="21"/>
      <c r="M128" s="8" t="s">
        <v>6</v>
      </c>
      <c r="N128" s="17"/>
    </row>
    <row r="129" spans="1:14" x14ac:dyDescent="0.25">
      <c r="A129" s="5"/>
      <c r="B129" s="2"/>
      <c r="C129" s="5"/>
      <c r="D129" s="5"/>
      <c r="E129" s="5"/>
      <c r="F129" s="5"/>
      <c r="G129" s="5"/>
      <c r="H129" s="5"/>
      <c r="I129" s="5"/>
      <c r="J129" s="5"/>
      <c r="K129" s="16"/>
      <c r="L129" s="21"/>
      <c r="M129" s="8" t="s">
        <v>6</v>
      </c>
      <c r="N129" s="17"/>
    </row>
    <row r="130" spans="1:14" x14ac:dyDescent="0.25">
      <c r="B130" s="12"/>
      <c r="K130" s="8"/>
      <c r="L130" s="22"/>
      <c r="M130" s="8" t="s">
        <v>6</v>
      </c>
      <c r="N130" s="17"/>
    </row>
    <row r="131" spans="1:14" x14ac:dyDescent="0.25">
      <c r="B131" s="12"/>
      <c r="K131" s="8"/>
      <c r="L131" s="22"/>
      <c r="M131" s="8" t="s">
        <v>6</v>
      </c>
      <c r="N131" s="17"/>
    </row>
    <row r="132" spans="1:14" x14ac:dyDescent="0.25">
      <c r="B132" s="12"/>
      <c r="K132" s="8"/>
      <c r="L132" s="22"/>
      <c r="M132" s="8" t="s">
        <v>6</v>
      </c>
      <c r="N132" s="17"/>
    </row>
    <row r="133" spans="1:14" x14ac:dyDescent="0.25">
      <c r="B133" s="12"/>
      <c r="K133" s="8"/>
      <c r="L133" s="22"/>
      <c r="M133" s="8" t="s">
        <v>6</v>
      </c>
      <c r="N133" s="17"/>
    </row>
    <row r="134" spans="1:14" x14ac:dyDescent="0.25">
      <c r="B134" s="12"/>
      <c r="K134" s="8"/>
      <c r="L134" s="22"/>
      <c r="M134" s="8" t="s">
        <v>6</v>
      </c>
      <c r="N134" s="17"/>
    </row>
    <row r="135" spans="1:14" x14ac:dyDescent="0.25">
      <c r="B135" s="12"/>
      <c r="K135" s="8"/>
      <c r="L135" s="22"/>
      <c r="M135" s="8" t="s">
        <v>6</v>
      </c>
      <c r="N135" s="17"/>
    </row>
    <row r="136" spans="1:14" x14ac:dyDescent="0.25">
      <c r="B136" s="12"/>
      <c r="K136" s="8"/>
      <c r="L136" s="22"/>
      <c r="M136" s="8" t="s">
        <v>6</v>
      </c>
      <c r="N136" s="17"/>
    </row>
    <row r="137" spans="1:14" x14ac:dyDescent="0.25">
      <c r="B137" s="12"/>
      <c r="K137" s="8"/>
      <c r="L137" s="22"/>
      <c r="M137" s="8" t="s">
        <v>6</v>
      </c>
      <c r="N137" s="17"/>
    </row>
    <row r="138" spans="1:14" x14ac:dyDescent="0.25">
      <c r="B138" s="12"/>
      <c r="K138" s="8"/>
      <c r="L138" s="22"/>
      <c r="M138" s="8" t="s">
        <v>6</v>
      </c>
      <c r="N138" s="17"/>
    </row>
    <row r="139" spans="1:14" x14ac:dyDescent="0.25">
      <c r="B139" s="12"/>
      <c r="K139" s="8"/>
      <c r="L139" s="22"/>
      <c r="M139" s="8" t="s">
        <v>6</v>
      </c>
      <c r="N139" s="17"/>
    </row>
    <row r="140" spans="1:14" x14ac:dyDescent="0.25">
      <c r="B140" s="12"/>
      <c r="K140" s="8"/>
      <c r="L140" s="22"/>
      <c r="M140" s="8" t="s">
        <v>6</v>
      </c>
      <c r="N140" s="17"/>
    </row>
    <row r="141" spans="1:14" x14ac:dyDescent="0.25">
      <c r="B141" s="12"/>
      <c r="K141" s="8"/>
      <c r="L141" s="22"/>
      <c r="M141" s="8" t="s">
        <v>6</v>
      </c>
      <c r="N141" s="17"/>
    </row>
    <row r="142" spans="1:14" x14ac:dyDescent="0.25">
      <c r="B142" s="12"/>
      <c r="K142" s="8"/>
      <c r="L142" s="22"/>
      <c r="M142" s="8" t="s">
        <v>6</v>
      </c>
      <c r="N142" s="17"/>
    </row>
    <row r="143" spans="1:14" x14ac:dyDescent="0.25">
      <c r="B143" s="12"/>
      <c r="K143" s="8"/>
      <c r="L143" s="22"/>
      <c r="M143" s="8" t="s">
        <v>6</v>
      </c>
      <c r="N143" s="17"/>
    </row>
    <row r="144" spans="1:14" x14ac:dyDescent="0.25">
      <c r="B144" s="12"/>
      <c r="K144" s="8"/>
      <c r="L144" s="22"/>
      <c r="M144" s="8" t="s">
        <v>6</v>
      </c>
      <c r="N144" s="17"/>
    </row>
    <row r="145" spans="2:14" x14ac:dyDescent="0.25">
      <c r="B145" s="12"/>
      <c r="K145" s="8"/>
      <c r="L145" s="22"/>
      <c r="M145" s="8" t="s">
        <v>6</v>
      </c>
      <c r="N145" s="17"/>
    </row>
    <row r="146" spans="2:14" x14ac:dyDescent="0.25">
      <c r="B146" s="12"/>
      <c r="K146" s="8"/>
      <c r="L146" s="22"/>
      <c r="M146" s="8" t="s">
        <v>6</v>
      </c>
      <c r="N146" s="17"/>
    </row>
    <row r="147" spans="2:14" x14ac:dyDescent="0.25">
      <c r="B147" s="12"/>
      <c r="K147" s="8"/>
      <c r="L147" s="22"/>
      <c r="M147" s="8" t="s">
        <v>6</v>
      </c>
      <c r="N147" s="17"/>
    </row>
    <row r="148" spans="2:14" x14ac:dyDescent="0.25">
      <c r="B148" s="12"/>
      <c r="K148" s="8"/>
      <c r="L148" s="22"/>
      <c r="M148" s="8" t="s">
        <v>6</v>
      </c>
      <c r="N148" s="17"/>
    </row>
    <row r="149" spans="2:14" x14ac:dyDescent="0.25">
      <c r="B149" s="12"/>
      <c r="K149" s="8"/>
      <c r="L149" s="22"/>
      <c r="M149" s="8" t="s">
        <v>6</v>
      </c>
      <c r="N149" s="18"/>
    </row>
    <row r="150" spans="2:14" x14ac:dyDescent="0.25">
      <c r="B150" s="12"/>
      <c r="K150" s="8"/>
      <c r="L150" s="22"/>
      <c r="M150" s="8" t="s">
        <v>6</v>
      </c>
      <c r="N150" s="18"/>
    </row>
    <row r="151" spans="2:14" x14ac:dyDescent="0.25">
      <c r="B151" s="12"/>
      <c r="K151" s="8"/>
      <c r="L151" s="22"/>
      <c r="M151" s="8" t="s">
        <v>6</v>
      </c>
      <c r="N151" s="18"/>
    </row>
    <row r="152" spans="2:14" x14ac:dyDescent="0.25">
      <c r="B152" s="12"/>
      <c r="K152" s="8"/>
      <c r="L152" s="22"/>
      <c r="M152" s="8" t="s">
        <v>6</v>
      </c>
      <c r="N152" s="18"/>
    </row>
    <row r="153" spans="2:14" x14ac:dyDescent="0.25">
      <c r="B153" s="12"/>
      <c r="K153" s="8"/>
      <c r="L153" s="22"/>
      <c r="M153" s="8" t="s">
        <v>6</v>
      </c>
      <c r="N153" s="18"/>
    </row>
    <row r="154" spans="2:14" x14ac:dyDescent="0.25">
      <c r="B154" s="12"/>
      <c r="K154" s="8"/>
      <c r="L154" s="22"/>
      <c r="M154" s="8" t="s">
        <v>6</v>
      </c>
      <c r="N154" s="18"/>
    </row>
    <row r="155" spans="2:14" x14ac:dyDescent="0.25">
      <c r="B155" s="12"/>
      <c r="K155" s="8"/>
      <c r="L155" s="22"/>
      <c r="M155" s="8" t="s">
        <v>6</v>
      </c>
      <c r="N155" s="18"/>
    </row>
    <row r="156" spans="2:14" x14ac:dyDescent="0.25">
      <c r="B156" s="12"/>
      <c r="K156" s="8"/>
      <c r="L156" s="22"/>
      <c r="M156" s="8" t="s">
        <v>6</v>
      </c>
      <c r="N156" s="18"/>
    </row>
    <row r="157" spans="2:14" x14ac:dyDescent="0.25">
      <c r="B157" s="12"/>
      <c r="K157" s="8"/>
      <c r="L157" s="22"/>
      <c r="M157" s="8" t="s">
        <v>6</v>
      </c>
      <c r="N157" s="18"/>
    </row>
    <row r="158" spans="2:14" x14ac:dyDescent="0.25">
      <c r="B158" s="12"/>
      <c r="K158" s="8"/>
      <c r="L158" s="22"/>
      <c r="M158" s="8" t="s">
        <v>6</v>
      </c>
      <c r="N158" s="18"/>
    </row>
    <row r="159" spans="2:14" x14ac:dyDescent="0.25">
      <c r="B159" s="12"/>
      <c r="K159" s="8"/>
      <c r="L159" s="22"/>
      <c r="M159" s="8" t="s">
        <v>6</v>
      </c>
      <c r="N159" s="18"/>
    </row>
    <row r="160" spans="2:14" x14ac:dyDescent="0.25">
      <c r="B160" s="12"/>
      <c r="K160" s="8"/>
      <c r="L160" s="22"/>
      <c r="M160" s="8" t="s">
        <v>6</v>
      </c>
      <c r="N160" s="18"/>
    </row>
    <row r="161" spans="2:14" x14ac:dyDescent="0.25">
      <c r="B161" s="12"/>
      <c r="K161" s="8"/>
      <c r="L161" s="22"/>
      <c r="M161" s="8" t="s">
        <v>6</v>
      </c>
      <c r="N161" s="18"/>
    </row>
    <row r="162" spans="2:14" x14ac:dyDescent="0.25">
      <c r="B162" s="12"/>
      <c r="K162" s="8"/>
      <c r="L162" s="22"/>
      <c r="M162" s="8" t="s">
        <v>6</v>
      </c>
      <c r="N162" s="18"/>
    </row>
    <row r="163" spans="2:14" x14ac:dyDescent="0.25">
      <c r="B163" s="12"/>
      <c r="K163" s="8"/>
      <c r="L163" s="22"/>
      <c r="M163" s="8" t="s">
        <v>6</v>
      </c>
      <c r="N163" s="18"/>
    </row>
    <row r="164" spans="2:14" x14ac:dyDescent="0.25">
      <c r="B164" s="12"/>
      <c r="K164" s="8"/>
      <c r="L164" s="22"/>
      <c r="M164" s="8" t="s">
        <v>6</v>
      </c>
      <c r="N164" s="18"/>
    </row>
    <row r="165" spans="2:14" x14ac:dyDescent="0.25">
      <c r="B165" s="12"/>
      <c r="K165" s="8"/>
      <c r="L165" s="22"/>
      <c r="M165" s="8" t="s">
        <v>6</v>
      </c>
      <c r="N165" s="18"/>
    </row>
    <row r="166" spans="2:14" x14ac:dyDescent="0.25">
      <c r="B166" s="12"/>
      <c r="K166" s="8"/>
      <c r="L166" s="22"/>
      <c r="M166" s="8" t="s">
        <v>6</v>
      </c>
      <c r="N166" s="18"/>
    </row>
    <row r="167" spans="2:14" x14ac:dyDescent="0.25">
      <c r="B167" s="12"/>
      <c r="K167" s="8"/>
      <c r="L167" s="22"/>
      <c r="M167" s="8" t="s">
        <v>6</v>
      </c>
      <c r="N167" s="18"/>
    </row>
    <row r="168" spans="2:14" x14ac:dyDescent="0.25">
      <c r="B168" s="12"/>
      <c r="K168" s="8"/>
      <c r="L168" s="22"/>
      <c r="M168" s="8" t="s">
        <v>6</v>
      </c>
      <c r="N168" s="18"/>
    </row>
    <row r="169" spans="2:14" x14ac:dyDescent="0.25">
      <c r="B169" s="12"/>
      <c r="K169" s="8"/>
      <c r="L169" s="22"/>
      <c r="M169" s="8" t="s">
        <v>6</v>
      </c>
      <c r="N169" s="18"/>
    </row>
    <row r="170" spans="2:14" x14ac:dyDescent="0.25">
      <c r="B170" s="12"/>
      <c r="K170" s="8"/>
      <c r="L170" s="22"/>
      <c r="M170" s="8" t="s">
        <v>6</v>
      </c>
      <c r="N170" s="18"/>
    </row>
    <row r="171" spans="2:14" x14ac:dyDescent="0.25">
      <c r="B171" s="12"/>
      <c r="K171" s="8"/>
      <c r="L171" s="22"/>
      <c r="M171" s="8" t="s">
        <v>6</v>
      </c>
      <c r="N171" s="18"/>
    </row>
    <row r="172" spans="2:14" x14ac:dyDescent="0.25">
      <c r="B172" s="12"/>
      <c r="K172" s="8"/>
      <c r="L172" s="22"/>
      <c r="M172" s="8" t="s">
        <v>6</v>
      </c>
      <c r="N172" s="18"/>
    </row>
    <row r="173" spans="2:14" x14ac:dyDescent="0.25">
      <c r="B173" s="12"/>
      <c r="K173" s="8"/>
      <c r="L173" s="22"/>
      <c r="M173" s="8" t="s">
        <v>6</v>
      </c>
      <c r="N173" s="18"/>
    </row>
    <row r="174" spans="2:14" x14ac:dyDescent="0.25">
      <c r="B174" s="12"/>
      <c r="K174" s="8"/>
      <c r="L174" s="22"/>
      <c r="M174" s="8" t="s">
        <v>6</v>
      </c>
      <c r="N174" s="18"/>
    </row>
    <row r="175" spans="2:14" x14ac:dyDescent="0.25">
      <c r="B175" s="12"/>
      <c r="K175" s="8"/>
      <c r="L175" s="22"/>
      <c r="M175" s="8" t="s">
        <v>6</v>
      </c>
      <c r="N175" s="18"/>
    </row>
    <row r="176" spans="2:14" x14ac:dyDescent="0.25">
      <c r="B176" s="12"/>
      <c r="K176" s="8"/>
      <c r="L176" s="22"/>
      <c r="M176" s="8" t="s">
        <v>6</v>
      </c>
      <c r="N176" s="18"/>
    </row>
    <row r="177" spans="2:14" x14ac:dyDescent="0.25">
      <c r="B177" s="12"/>
      <c r="K177" s="8"/>
      <c r="L177" s="22"/>
      <c r="M177" s="8" t="s">
        <v>6</v>
      </c>
      <c r="N177" s="18"/>
    </row>
    <row r="178" spans="2:14" x14ac:dyDescent="0.25">
      <c r="B178" s="12"/>
      <c r="K178" s="8"/>
      <c r="L178" s="22"/>
      <c r="M178" s="8" t="s">
        <v>6</v>
      </c>
      <c r="N178" s="18"/>
    </row>
    <row r="179" spans="2:14" x14ac:dyDescent="0.25">
      <c r="B179" s="12"/>
      <c r="K179" s="8"/>
      <c r="L179" s="22"/>
      <c r="M179" s="8" t="s">
        <v>6</v>
      </c>
      <c r="N179" s="18"/>
    </row>
    <row r="180" spans="2:14" x14ac:dyDescent="0.25">
      <c r="B180" s="12"/>
      <c r="K180" s="8"/>
      <c r="L180" s="22"/>
      <c r="M180" s="8" t="s">
        <v>6</v>
      </c>
      <c r="N180" s="18"/>
    </row>
    <row r="181" spans="2:14" x14ac:dyDescent="0.25">
      <c r="B181" s="12"/>
      <c r="K181" s="8"/>
      <c r="L181" s="22"/>
      <c r="M181" s="8" t="s">
        <v>6</v>
      </c>
      <c r="N181" s="18"/>
    </row>
    <row r="182" spans="2:14" x14ac:dyDescent="0.25">
      <c r="B182" s="12"/>
      <c r="K182" s="8"/>
      <c r="L182" s="22"/>
      <c r="M182" s="8" t="s">
        <v>6</v>
      </c>
      <c r="N182" s="18"/>
    </row>
    <row r="183" spans="2:14" x14ac:dyDescent="0.25">
      <c r="B183" s="12"/>
      <c r="K183" s="8"/>
      <c r="L183" s="22"/>
      <c r="M183" s="8" t="s">
        <v>6</v>
      </c>
      <c r="N183" s="18"/>
    </row>
    <row r="184" spans="2:14" x14ac:dyDescent="0.25">
      <c r="B184" s="12"/>
      <c r="K184" s="8"/>
      <c r="L184" s="22"/>
      <c r="M184" s="8" t="s">
        <v>6</v>
      </c>
      <c r="N184" s="18"/>
    </row>
    <row r="185" spans="2:14" x14ac:dyDescent="0.25">
      <c r="B185" s="12"/>
      <c r="K185" s="8"/>
      <c r="L185" s="22"/>
      <c r="M185" s="8" t="s">
        <v>6</v>
      </c>
      <c r="N185" s="18"/>
    </row>
    <row r="186" spans="2:14" x14ac:dyDescent="0.25">
      <c r="B186" s="12"/>
      <c r="K186" s="8"/>
      <c r="L186" s="22"/>
      <c r="M186" s="8" t="s">
        <v>6</v>
      </c>
      <c r="N186" s="18"/>
    </row>
    <row r="187" spans="2:14" x14ac:dyDescent="0.25">
      <c r="B187" s="12"/>
      <c r="K187" s="8"/>
      <c r="L187" s="22"/>
      <c r="M187" s="8" t="s">
        <v>6</v>
      </c>
      <c r="N187" s="18"/>
    </row>
    <row r="188" spans="2:14" x14ac:dyDescent="0.25">
      <c r="B188" s="12"/>
      <c r="K188" s="8"/>
      <c r="L188" s="22"/>
      <c r="M188" s="8" t="s">
        <v>6</v>
      </c>
      <c r="N188" s="18"/>
    </row>
    <row r="189" spans="2:14" x14ac:dyDescent="0.25">
      <c r="B189" s="12"/>
      <c r="K189" s="8"/>
      <c r="L189" s="22"/>
      <c r="M189" s="8" t="s">
        <v>6</v>
      </c>
      <c r="N189" s="18"/>
    </row>
    <row r="190" spans="2:14" x14ac:dyDescent="0.25">
      <c r="B190" s="12"/>
      <c r="K190" s="8"/>
      <c r="L190" s="22"/>
      <c r="M190" s="8" t="s">
        <v>6</v>
      </c>
      <c r="N190" s="18"/>
    </row>
    <row r="191" spans="2:14" x14ac:dyDescent="0.25">
      <c r="B191" s="12"/>
      <c r="K191" s="8"/>
      <c r="L191" s="22"/>
      <c r="M191" s="8" t="s">
        <v>6</v>
      </c>
      <c r="N191" s="18"/>
    </row>
    <row r="192" spans="2:14" x14ac:dyDescent="0.25">
      <c r="B192" s="12"/>
      <c r="K192" s="8"/>
      <c r="L192" s="22"/>
      <c r="M192" s="8" t="s">
        <v>6</v>
      </c>
      <c r="N192" s="18"/>
    </row>
    <row r="193" spans="2:14" x14ac:dyDescent="0.25">
      <c r="B193" s="12"/>
      <c r="K193" s="8"/>
      <c r="L193" s="22"/>
      <c r="M193" s="8" t="s">
        <v>6</v>
      </c>
      <c r="N193" s="18"/>
    </row>
    <row r="194" spans="2:14" x14ac:dyDescent="0.25">
      <c r="B194" s="12"/>
      <c r="K194" s="8"/>
      <c r="L194" s="22"/>
      <c r="M194" s="8" t="s">
        <v>6</v>
      </c>
      <c r="N194" s="18"/>
    </row>
    <row r="195" spans="2:14" x14ac:dyDescent="0.25">
      <c r="B195" s="12"/>
      <c r="K195" s="8"/>
      <c r="L195" s="22"/>
      <c r="M195" s="8" t="s">
        <v>6</v>
      </c>
      <c r="N195" s="18"/>
    </row>
    <row r="196" spans="2:14" x14ac:dyDescent="0.25">
      <c r="B196" s="12"/>
      <c r="K196" s="8"/>
      <c r="L196" s="22"/>
      <c r="M196" s="8" t="s">
        <v>6</v>
      </c>
      <c r="N196" s="18"/>
    </row>
    <row r="197" spans="2:14" x14ac:dyDescent="0.25">
      <c r="B197" s="12"/>
      <c r="K197" s="8"/>
      <c r="L197" s="22"/>
      <c r="M197" s="8" t="s">
        <v>6</v>
      </c>
      <c r="N197" s="18"/>
    </row>
    <row r="198" spans="2:14" x14ac:dyDescent="0.25">
      <c r="B198" s="12"/>
      <c r="K198" s="8"/>
      <c r="L198" s="22"/>
      <c r="M198" s="8" t="s">
        <v>6</v>
      </c>
      <c r="N198" s="18"/>
    </row>
    <row r="199" spans="2:14" x14ac:dyDescent="0.25">
      <c r="B199" s="12"/>
      <c r="K199" s="8"/>
      <c r="L199" s="22"/>
      <c r="M199" s="8" t="s">
        <v>6</v>
      </c>
      <c r="N199" s="18"/>
    </row>
    <row r="200" spans="2:14" x14ac:dyDescent="0.25">
      <c r="B200" s="12"/>
      <c r="K200" s="8"/>
      <c r="L200" s="22"/>
      <c r="M200" s="8" t="s">
        <v>6</v>
      </c>
      <c r="N200" s="18"/>
    </row>
    <row r="201" spans="2:14" x14ac:dyDescent="0.25">
      <c r="B201" s="12"/>
      <c r="K201" s="8"/>
      <c r="L201" s="22"/>
      <c r="M201" s="8" t="s">
        <v>6</v>
      </c>
      <c r="N201" s="18"/>
    </row>
    <row r="202" spans="2:14" x14ac:dyDescent="0.25">
      <c r="B202" s="12"/>
      <c r="K202" s="8"/>
      <c r="L202" s="22"/>
      <c r="M202" s="8" t="s">
        <v>6</v>
      </c>
      <c r="N202" s="18"/>
    </row>
    <row r="203" spans="2:14" x14ac:dyDescent="0.25">
      <c r="B203" s="12"/>
      <c r="K203" s="8"/>
      <c r="L203" s="22"/>
      <c r="M203" s="8" t="s">
        <v>6</v>
      </c>
      <c r="N203" s="18"/>
    </row>
    <row r="204" spans="2:14" x14ac:dyDescent="0.25">
      <c r="B204" s="12"/>
      <c r="K204" s="8"/>
      <c r="L204" s="22"/>
      <c r="M204" s="8" t="s">
        <v>6</v>
      </c>
      <c r="N204" s="18"/>
    </row>
    <row r="205" spans="2:14" x14ac:dyDescent="0.25">
      <c r="B205" s="12"/>
      <c r="K205" s="8"/>
      <c r="L205" s="22"/>
      <c r="M205" s="8" t="s">
        <v>6</v>
      </c>
      <c r="N205" s="18"/>
    </row>
    <row r="206" spans="2:14" x14ac:dyDescent="0.25">
      <c r="B206" s="12"/>
      <c r="K206" s="8"/>
      <c r="L206" s="22"/>
      <c r="M206" s="8" t="s">
        <v>6</v>
      </c>
      <c r="N206" s="18"/>
    </row>
    <row r="207" spans="2:14" x14ac:dyDescent="0.25">
      <c r="B207" s="12"/>
      <c r="K207" s="8"/>
      <c r="L207" s="22"/>
      <c r="M207" s="8" t="s">
        <v>6</v>
      </c>
      <c r="N207" s="18"/>
    </row>
    <row r="208" spans="2:14" x14ac:dyDescent="0.25">
      <c r="B208" s="12"/>
      <c r="K208" s="8"/>
      <c r="L208" s="22"/>
      <c r="M208" s="8" t="s">
        <v>6</v>
      </c>
      <c r="N208" s="18"/>
    </row>
    <row r="209" spans="2:14" x14ac:dyDescent="0.25">
      <c r="B209" s="12"/>
      <c r="K209" s="8"/>
      <c r="L209" s="22"/>
      <c r="M209" s="8" t="s">
        <v>6</v>
      </c>
      <c r="N209" s="18"/>
    </row>
    <row r="210" spans="2:14" x14ac:dyDescent="0.25">
      <c r="B210" s="12"/>
      <c r="K210" s="8"/>
      <c r="L210" s="22"/>
      <c r="M210" s="8" t="s">
        <v>6</v>
      </c>
      <c r="N210" s="18"/>
    </row>
    <row r="211" spans="2:14" x14ac:dyDescent="0.25">
      <c r="B211" s="12"/>
      <c r="K211" s="8"/>
      <c r="L211" s="22"/>
      <c r="M211" s="8" t="s">
        <v>6</v>
      </c>
      <c r="N211" s="18"/>
    </row>
    <row r="212" spans="2:14" x14ac:dyDescent="0.25">
      <c r="B212" s="12"/>
      <c r="K212" s="8"/>
      <c r="L212" s="22"/>
      <c r="M212" s="8" t="s">
        <v>6</v>
      </c>
      <c r="N212" s="18"/>
    </row>
    <row r="213" spans="2:14" x14ac:dyDescent="0.25">
      <c r="B213" s="12"/>
      <c r="K213" s="8"/>
      <c r="L213" s="22"/>
      <c r="M213" s="8" t="s">
        <v>6</v>
      </c>
      <c r="N213" s="18"/>
    </row>
    <row r="214" spans="2:14" x14ac:dyDescent="0.25">
      <c r="B214" s="12"/>
      <c r="K214" s="8"/>
      <c r="L214" s="22"/>
      <c r="M214" s="8" t="s">
        <v>6</v>
      </c>
      <c r="N214" s="8"/>
    </row>
    <row r="215" spans="2:14" x14ac:dyDescent="0.25">
      <c r="B215" s="12"/>
      <c r="K215" s="8"/>
      <c r="L215" s="22"/>
      <c r="M215" s="8" t="s">
        <v>6</v>
      </c>
      <c r="N215" s="8"/>
    </row>
    <row r="216" spans="2:14" x14ac:dyDescent="0.25">
      <c r="B216" s="12"/>
      <c r="K216" s="8"/>
      <c r="L216" s="22"/>
      <c r="M216" s="8" t="s">
        <v>6</v>
      </c>
      <c r="N216" s="8"/>
    </row>
    <row r="217" spans="2:14" x14ac:dyDescent="0.25">
      <c r="B217" s="12"/>
      <c r="K217" s="8"/>
      <c r="L217" s="22"/>
      <c r="M217" s="8" t="s">
        <v>6</v>
      </c>
      <c r="N217" s="8"/>
    </row>
    <row r="218" spans="2:14" x14ac:dyDescent="0.25">
      <c r="B218" s="12"/>
      <c r="K218" s="8"/>
      <c r="L218" s="22"/>
      <c r="M218" s="8" t="s">
        <v>6</v>
      </c>
      <c r="N218" s="8"/>
    </row>
    <row r="219" spans="2:14" x14ac:dyDescent="0.25">
      <c r="B219" s="12"/>
      <c r="K219" s="8"/>
      <c r="L219" s="22"/>
      <c r="M219" s="8" t="s">
        <v>6</v>
      </c>
      <c r="N219" s="8"/>
    </row>
    <row r="220" spans="2:14" x14ac:dyDescent="0.25">
      <c r="B220" s="12"/>
      <c r="K220" s="8"/>
      <c r="L220" s="22"/>
      <c r="M220" s="8" t="s">
        <v>6</v>
      </c>
      <c r="N220" s="8"/>
    </row>
    <row r="221" spans="2:14" x14ac:dyDescent="0.25">
      <c r="B221" s="12"/>
      <c r="K221" s="8"/>
      <c r="L221" s="22"/>
      <c r="M221" s="8" t="s">
        <v>6</v>
      </c>
      <c r="N221" s="8"/>
    </row>
    <row r="222" spans="2:14" x14ac:dyDescent="0.25">
      <c r="B222" s="12"/>
      <c r="K222" s="8"/>
      <c r="L222" s="22"/>
      <c r="M222" s="8" t="s">
        <v>6</v>
      </c>
      <c r="N222" s="8"/>
    </row>
    <row r="223" spans="2:14" x14ac:dyDescent="0.25">
      <c r="B223" s="12"/>
      <c r="K223" s="8"/>
      <c r="L223" s="22"/>
      <c r="M223" s="8" t="s">
        <v>6</v>
      </c>
      <c r="N223" s="8"/>
    </row>
    <row r="224" spans="2:14" x14ac:dyDescent="0.25">
      <c r="B224" s="12"/>
      <c r="K224" s="8"/>
      <c r="L224" s="22"/>
      <c r="M224" s="8" t="s">
        <v>6</v>
      </c>
      <c r="N224" s="8"/>
    </row>
    <row r="225" spans="2:14" x14ac:dyDescent="0.25">
      <c r="B225" s="12"/>
      <c r="K225" s="8"/>
      <c r="L225" s="22"/>
      <c r="M225" s="8" t="s">
        <v>6</v>
      </c>
      <c r="N225" s="8"/>
    </row>
    <row r="226" spans="2:14" x14ac:dyDescent="0.25">
      <c r="B226" s="12"/>
      <c r="K226" s="8"/>
      <c r="L226" s="22"/>
      <c r="M226" s="8" t="s">
        <v>6</v>
      </c>
      <c r="N226" s="8"/>
    </row>
    <row r="227" spans="2:14" x14ac:dyDescent="0.25">
      <c r="B227" s="12"/>
      <c r="K227" s="8"/>
      <c r="L227" s="22"/>
      <c r="M227" s="8" t="s">
        <v>6</v>
      </c>
      <c r="N227" s="8"/>
    </row>
    <row r="228" spans="2:14" x14ac:dyDescent="0.25">
      <c r="B228" s="12"/>
      <c r="K228" s="8"/>
      <c r="L228" s="22"/>
      <c r="M228" s="8" t="s">
        <v>6</v>
      </c>
      <c r="N228" s="8"/>
    </row>
    <row r="229" spans="2:14" x14ac:dyDescent="0.25">
      <c r="B229" s="12"/>
      <c r="K229" s="8"/>
      <c r="L229" s="22"/>
      <c r="M229" s="8" t="s">
        <v>6</v>
      </c>
      <c r="N229" s="8"/>
    </row>
    <row r="230" spans="2:14" x14ac:dyDescent="0.25">
      <c r="B230" s="12"/>
      <c r="K230" s="8"/>
      <c r="L230" s="22"/>
      <c r="M230" s="8" t="s">
        <v>6</v>
      </c>
      <c r="N230" s="8"/>
    </row>
    <row r="231" spans="2:14" x14ac:dyDescent="0.25">
      <c r="B231" s="12"/>
      <c r="K231" s="8"/>
      <c r="L231" s="22"/>
      <c r="M231" s="8" t="s">
        <v>6</v>
      </c>
      <c r="N231" s="8"/>
    </row>
    <row r="232" spans="2:14" x14ac:dyDescent="0.25">
      <c r="B232" s="12"/>
      <c r="K232" s="8"/>
      <c r="L232" s="22"/>
      <c r="M232" s="8" t="s">
        <v>6</v>
      </c>
      <c r="N232" s="8"/>
    </row>
    <row r="233" spans="2:14" x14ac:dyDescent="0.25">
      <c r="B233" s="12"/>
      <c r="K233" s="8"/>
      <c r="L233" s="22"/>
      <c r="M233" s="8" t="s">
        <v>6</v>
      </c>
      <c r="N233" s="8"/>
    </row>
    <row r="234" spans="2:14" x14ac:dyDescent="0.25">
      <c r="B234" s="12"/>
      <c r="K234" s="8"/>
      <c r="L234" s="22"/>
      <c r="M234" s="8" t="s">
        <v>6</v>
      </c>
      <c r="N234" s="8"/>
    </row>
    <row r="235" spans="2:14" x14ac:dyDescent="0.25">
      <c r="B235" s="12"/>
      <c r="K235" s="8"/>
      <c r="L235" s="22"/>
      <c r="M235" s="8" t="s">
        <v>6</v>
      </c>
      <c r="N235" s="8"/>
    </row>
    <row r="236" spans="2:14" x14ac:dyDescent="0.25">
      <c r="B236" s="12"/>
      <c r="K236" s="8"/>
      <c r="L236" s="22"/>
      <c r="M236" s="8" t="s">
        <v>6</v>
      </c>
      <c r="N236" s="8"/>
    </row>
    <row r="237" spans="2:14" x14ac:dyDescent="0.25">
      <c r="B237" s="12"/>
      <c r="K237" s="8"/>
      <c r="L237" s="22"/>
      <c r="M237" s="8" t="s">
        <v>6</v>
      </c>
      <c r="N237" s="8"/>
    </row>
    <row r="238" spans="2:14" x14ac:dyDescent="0.25">
      <c r="B238" s="12"/>
      <c r="K238" s="8"/>
      <c r="L238" s="22"/>
      <c r="M238" s="8" t="s">
        <v>6</v>
      </c>
      <c r="N238" s="8"/>
    </row>
    <row r="239" spans="2:14" x14ac:dyDescent="0.25">
      <c r="B239" s="12"/>
      <c r="K239" s="8"/>
      <c r="L239" s="22"/>
      <c r="M239" s="8" t="s">
        <v>6</v>
      </c>
      <c r="N239" s="8"/>
    </row>
    <row r="240" spans="2:14" x14ac:dyDescent="0.25">
      <c r="B240" s="12"/>
      <c r="K240" s="8"/>
      <c r="L240" s="22"/>
      <c r="M240" s="8" t="s">
        <v>6</v>
      </c>
      <c r="N240" s="8"/>
    </row>
    <row r="241" spans="2:14" x14ac:dyDescent="0.25">
      <c r="B241" s="12"/>
      <c r="K241" s="8"/>
      <c r="L241" s="22"/>
      <c r="M241" s="8" t="s">
        <v>6</v>
      </c>
      <c r="N241" s="8"/>
    </row>
    <row r="242" spans="2:14" x14ac:dyDescent="0.25">
      <c r="B242" s="12"/>
      <c r="K242" s="8"/>
      <c r="L242" s="22"/>
      <c r="M242" s="8" t="s">
        <v>6</v>
      </c>
      <c r="N242" s="8"/>
    </row>
    <row r="243" spans="2:14" x14ac:dyDescent="0.25">
      <c r="B243" s="12"/>
      <c r="K243" s="8"/>
      <c r="L243" s="22"/>
      <c r="M243" s="8" t="s">
        <v>6</v>
      </c>
      <c r="N243" s="8"/>
    </row>
    <row r="244" spans="2:14" x14ac:dyDescent="0.25">
      <c r="B244" s="12"/>
      <c r="K244" s="8"/>
      <c r="L244" s="22"/>
      <c r="M244" s="8" t="s">
        <v>6</v>
      </c>
      <c r="N244" s="8"/>
    </row>
    <row r="245" spans="2:14" x14ac:dyDescent="0.25">
      <c r="B245" s="12"/>
      <c r="K245" s="8"/>
      <c r="L245" s="22"/>
      <c r="M245" s="8" t="s">
        <v>6</v>
      </c>
      <c r="N245" s="8"/>
    </row>
    <row r="246" spans="2:14" x14ac:dyDescent="0.25">
      <c r="B246" s="12"/>
      <c r="K246" s="8"/>
      <c r="L246" s="22"/>
      <c r="M246" s="8" t="s">
        <v>6</v>
      </c>
      <c r="N246" s="8"/>
    </row>
    <row r="247" spans="2:14" x14ac:dyDescent="0.25">
      <c r="B247" s="12"/>
      <c r="K247" s="8"/>
      <c r="L247" s="22"/>
      <c r="M247" s="8" t="s">
        <v>6</v>
      </c>
      <c r="N247" s="8"/>
    </row>
    <row r="248" spans="2:14" x14ac:dyDescent="0.25">
      <c r="B248" s="12"/>
      <c r="K248" s="8"/>
      <c r="L248" s="22"/>
      <c r="M248" s="8" t="s">
        <v>6</v>
      </c>
      <c r="N248" s="8"/>
    </row>
    <row r="249" spans="2:14" x14ac:dyDescent="0.25">
      <c r="B249" s="12"/>
      <c r="K249" s="8"/>
      <c r="L249" s="22"/>
      <c r="M249" s="8" t="s">
        <v>6</v>
      </c>
      <c r="N249" s="8"/>
    </row>
    <row r="250" spans="2:14" x14ac:dyDescent="0.25">
      <c r="B250" s="12"/>
      <c r="K250" s="8"/>
      <c r="L250" s="22"/>
      <c r="M250" s="8" t="s">
        <v>6</v>
      </c>
      <c r="N250" s="8"/>
    </row>
    <row r="251" spans="2:14" x14ac:dyDescent="0.25">
      <c r="B251" s="12"/>
      <c r="K251" s="8"/>
      <c r="L251" s="22"/>
      <c r="M251" s="8" t="s">
        <v>6</v>
      </c>
      <c r="N251" s="8"/>
    </row>
    <row r="252" spans="2:14" x14ac:dyDescent="0.25">
      <c r="B252" s="12"/>
      <c r="K252" s="8"/>
      <c r="L252" s="22"/>
      <c r="M252" s="8" t="s">
        <v>6</v>
      </c>
      <c r="N252" s="8"/>
    </row>
    <row r="253" spans="2:14" x14ac:dyDescent="0.25">
      <c r="B253" s="12"/>
      <c r="K253" s="8"/>
      <c r="L253" s="22"/>
      <c r="M253" s="8" t="s">
        <v>6</v>
      </c>
      <c r="N253" s="8"/>
    </row>
    <row r="254" spans="2:14" x14ac:dyDescent="0.25">
      <c r="B254" s="12"/>
      <c r="K254" s="8"/>
      <c r="L254" s="22"/>
      <c r="M254" s="8" t="s">
        <v>6</v>
      </c>
      <c r="N254" s="8"/>
    </row>
    <row r="255" spans="2:14" x14ac:dyDescent="0.25">
      <c r="B255" s="12"/>
      <c r="K255" s="8"/>
      <c r="L255" s="22"/>
      <c r="M255" s="8" t="s">
        <v>6</v>
      </c>
      <c r="N255" s="8"/>
    </row>
    <row r="256" spans="2:14" x14ac:dyDescent="0.25">
      <c r="B256" s="12"/>
      <c r="K256" s="8"/>
      <c r="L256" s="22"/>
      <c r="M256" s="8" t="s">
        <v>6</v>
      </c>
      <c r="N256" s="8"/>
    </row>
    <row r="257" spans="2:14" x14ac:dyDescent="0.25">
      <c r="B257" s="12"/>
      <c r="K257" s="8"/>
      <c r="L257" s="22"/>
      <c r="M257" s="8" t="s">
        <v>6</v>
      </c>
      <c r="N257" s="8"/>
    </row>
    <row r="258" spans="2:14" x14ac:dyDescent="0.25">
      <c r="B258" s="12"/>
      <c r="K258" s="8"/>
      <c r="L258" s="22"/>
      <c r="M258" s="8" t="s">
        <v>6</v>
      </c>
      <c r="N258" s="8"/>
    </row>
    <row r="259" spans="2:14" x14ac:dyDescent="0.25">
      <c r="B259" s="12"/>
      <c r="K259" s="8"/>
      <c r="L259" s="22"/>
      <c r="M259" s="8" t="s">
        <v>6</v>
      </c>
      <c r="N259" s="8"/>
    </row>
    <row r="260" spans="2:14" x14ac:dyDescent="0.25">
      <c r="B260" s="12"/>
      <c r="K260" s="8"/>
      <c r="L260" s="22"/>
      <c r="M260" s="8" t="s">
        <v>6</v>
      </c>
      <c r="N260" s="8"/>
    </row>
    <row r="261" spans="2:14" x14ac:dyDescent="0.25">
      <c r="B261" s="12"/>
      <c r="K261" s="8"/>
      <c r="L261" s="22"/>
      <c r="M261" s="8" t="s">
        <v>6</v>
      </c>
      <c r="N261" s="8"/>
    </row>
    <row r="262" spans="2:14" x14ac:dyDescent="0.25">
      <c r="B262" s="12"/>
      <c r="K262" s="8"/>
      <c r="L262" s="22"/>
      <c r="M262" s="8" t="s">
        <v>6</v>
      </c>
      <c r="N262" s="8"/>
    </row>
    <row r="263" spans="2:14" x14ac:dyDescent="0.25">
      <c r="B263" s="12"/>
      <c r="K263" s="8"/>
      <c r="L263" s="22"/>
      <c r="M263" s="8" t="s">
        <v>6</v>
      </c>
      <c r="N263" s="8"/>
    </row>
    <row r="264" spans="2:14" x14ac:dyDescent="0.25">
      <c r="B264" s="12"/>
      <c r="K264" s="8"/>
      <c r="L264" s="22"/>
      <c r="M264" s="8" t="s">
        <v>6</v>
      </c>
      <c r="N264" s="8"/>
    </row>
    <row r="265" spans="2:14" x14ac:dyDescent="0.25">
      <c r="B265" s="12"/>
      <c r="K265" s="8"/>
      <c r="L265" s="22"/>
      <c r="M265" s="8" t="s">
        <v>6</v>
      </c>
      <c r="N265" s="8"/>
    </row>
    <row r="266" spans="2:14" x14ac:dyDescent="0.25">
      <c r="B266" s="12"/>
      <c r="K266" s="8"/>
      <c r="L266" s="22"/>
      <c r="M266" s="8" t="s">
        <v>6</v>
      </c>
      <c r="N266" s="8"/>
    </row>
    <row r="267" spans="2:14" x14ac:dyDescent="0.25">
      <c r="B267" s="12"/>
      <c r="K267" s="8"/>
      <c r="L267" s="22"/>
      <c r="M267" s="8" t="s">
        <v>6</v>
      </c>
      <c r="N267" s="8"/>
    </row>
    <row r="268" spans="2:14" x14ac:dyDescent="0.25">
      <c r="B268" s="12"/>
      <c r="K268" s="8"/>
      <c r="L268" s="22"/>
      <c r="M268" s="8" t="s">
        <v>6</v>
      </c>
      <c r="N268" s="8"/>
    </row>
    <row r="269" spans="2:14" x14ac:dyDescent="0.25">
      <c r="B269" s="12"/>
      <c r="K269" s="8"/>
      <c r="L269" s="22"/>
      <c r="M269" s="8" t="s">
        <v>6</v>
      </c>
      <c r="N269" s="8"/>
    </row>
    <row r="270" spans="2:14" x14ac:dyDescent="0.25">
      <c r="B270" s="12"/>
      <c r="K270" s="8"/>
      <c r="L270" s="22"/>
      <c r="M270" s="8" t="s">
        <v>6</v>
      </c>
      <c r="N270" s="8"/>
    </row>
    <row r="271" spans="2:14" x14ac:dyDescent="0.25">
      <c r="B271" s="12"/>
      <c r="K271" s="8"/>
      <c r="L271" s="22"/>
      <c r="M271" s="8" t="s">
        <v>6</v>
      </c>
      <c r="N271" s="8"/>
    </row>
    <row r="272" spans="2:14" x14ac:dyDescent="0.25">
      <c r="B272" s="12"/>
      <c r="K272" s="8"/>
      <c r="L272" s="22"/>
      <c r="M272" s="8" t="s">
        <v>6</v>
      </c>
      <c r="N272" s="8"/>
    </row>
    <row r="273" spans="2:14" x14ac:dyDescent="0.25">
      <c r="B273" s="12"/>
      <c r="K273" s="8"/>
      <c r="L273" s="22"/>
      <c r="M273" s="8" t="s">
        <v>6</v>
      </c>
      <c r="N273" s="8"/>
    </row>
    <row r="274" spans="2:14" x14ac:dyDescent="0.25">
      <c r="B274" s="12"/>
      <c r="K274" s="8"/>
      <c r="L274" s="22"/>
      <c r="M274" s="8" t="s">
        <v>6</v>
      </c>
      <c r="N274" s="8"/>
    </row>
    <row r="275" spans="2:14" x14ac:dyDescent="0.25">
      <c r="B275" s="12"/>
      <c r="K275" s="8"/>
      <c r="L275" s="22"/>
      <c r="M275" s="8" t="s">
        <v>6</v>
      </c>
      <c r="N275" s="8"/>
    </row>
    <row r="276" spans="2:14" x14ac:dyDescent="0.25">
      <c r="B276" s="12"/>
      <c r="K276" s="8"/>
      <c r="L276" s="22"/>
      <c r="M276" s="8" t="s">
        <v>6</v>
      </c>
      <c r="N276" s="8"/>
    </row>
    <row r="277" spans="2:14" x14ac:dyDescent="0.25">
      <c r="B277" s="12"/>
      <c r="K277" s="8"/>
      <c r="L277" s="22"/>
      <c r="M277" s="8" t="s">
        <v>6</v>
      </c>
      <c r="N277" s="8"/>
    </row>
    <row r="278" spans="2:14" x14ac:dyDescent="0.25">
      <c r="B278" s="12"/>
      <c r="K278" s="8"/>
      <c r="L278" s="22"/>
      <c r="M278" s="8" t="s">
        <v>6</v>
      </c>
      <c r="N278" s="8"/>
    </row>
    <row r="279" spans="2:14" x14ac:dyDescent="0.25">
      <c r="B279" s="12"/>
      <c r="K279" s="8"/>
      <c r="L279" s="22"/>
      <c r="M279" s="8" t="s">
        <v>6</v>
      </c>
      <c r="N279" s="8"/>
    </row>
    <row r="280" spans="2:14" x14ac:dyDescent="0.25">
      <c r="B280" s="12"/>
      <c r="K280" s="8"/>
      <c r="L280" s="22"/>
      <c r="M280" s="8" t="s">
        <v>6</v>
      </c>
      <c r="N280" s="8"/>
    </row>
    <row r="281" spans="2:14" x14ac:dyDescent="0.25">
      <c r="B281" s="12"/>
    </row>
    <row r="282" spans="2:14" x14ac:dyDescent="0.25">
      <c r="B282" s="12"/>
    </row>
    <row r="283" spans="2:14" x14ac:dyDescent="0.25">
      <c r="B283" s="12"/>
    </row>
    <row r="284" spans="2:14" x14ac:dyDescent="0.25">
      <c r="B284" s="12"/>
    </row>
    <row r="285" spans="2:14" x14ac:dyDescent="0.25">
      <c r="B285" s="12"/>
    </row>
    <row r="286" spans="2:14" x14ac:dyDescent="0.25">
      <c r="B286" s="12"/>
    </row>
    <row r="287" spans="2:14" x14ac:dyDescent="0.25">
      <c r="B287" s="12"/>
    </row>
    <row r="288" spans="2:14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</sheetData>
  <mergeCells count="11">
    <mergeCell ref="J7:M8"/>
    <mergeCell ref="A1:N1"/>
    <mergeCell ref="A2:N2"/>
    <mergeCell ref="A83:A84"/>
    <mergeCell ref="N7:N8"/>
    <mergeCell ref="B7:B8"/>
    <mergeCell ref="A7:A8"/>
    <mergeCell ref="A3:N3"/>
    <mergeCell ref="A4:N4"/>
    <mergeCell ref="A62:B62"/>
    <mergeCell ref="C7:I7"/>
  </mergeCells>
  <pageMargins left="0.19685039370078741" right="0" top="1.1417322834645669" bottom="0.74803149606299213" header="0.31496062992125984" footer="0.31496062992125984"/>
  <pageSetup scale="60" orientation="portrait" r:id="rId1"/>
  <ignoredErrors>
    <ignoredError sqref="H9:H10 N10 H52" formula="1"/>
    <ignoredError sqref="A55:A56 A9:A28 A30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18</vt:i4>
      </vt:variant>
    </vt:vector>
  </HeadingPairs>
  <TitlesOfParts>
    <vt:vector size="28" baseType="lpstr">
      <vt:lpstr>Recaudación Ing.</vt:lpstr>
      <vt:lpstr>Ingresos</vt:lpstr>
      <vt:lpstr>Financiamiento</vt:lpstr>
      <vt:lpstr>Flujo</vt:lpstr>
      <vt:lpstr>Balance Gastos</vt:lpstr>
      <vt:lpstr>Ejecución Gastos</vt:lpstr>
      <vt:lpstr>Cuentas Funcionamiento</vt:lpstr>
      <vt:lpstr>Estruc.Prog.</vt:lpstr>
      <vt:lpstr>Proyectos</vt:lpstr>
      <vt:lpstr>Inversiones Gasto</vt:lpstr>
      <vt:lpstr>'Balance Gastos'!Área_de_impresión</vt:lpstr>
      <vt:lpstr>'Cuentas Funcionamiento'!Área_de_impresión</vt:lpstr>
      <vt:lpstr>Estruc.Prog.!Área_de_impresión</vt:lpstr>
      <vt:lpstr>Financiamiento!Área_de_impresión</vt:lpstr>
      <vt:lpstr>Flujo!Área_de_impresión</vt:lpstr>
      <vt:lpstr>Ingresos!Área_de_impresión</vt:lpstr>
      <vt:lpstr>'Inversiones Gasto'!Área_de_impresión</vt:lpstr>
      <vt:lpstr>Proyectos!Área_de_impresión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'Ejecución Gastos'!Títulos_a_imprimir</vt:lpstr>
      <vt:lpstr>Proyectos!Títulos_a_imprimir</vt:lpstr>
      <vt:lpstr>'Recaudación Ing.'!Títulos_a_imprimir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2025-06-10T11:50:20Z</cp:lastPrinted>
  <dcterms:created xsi:type="dcterms:W3CDTF">2010-01-07T20:52:23Z</dcterms:created>
  <dcterms:modified xsi:type="dcterms:W3CDTF">2025-06-10T16:59:14Z</dcterms:modified>
</cp:coreProperties>
</file>