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5\Septiembre\"/>
    </mc:Choice>
  </mc:AlternateContent>
  <xr:revisionPtr revIDLastSave="0" documentId="8_{088B4E54-245D-47ED-A0D7-E947AFC85F46}" xr6:coauthVersionLast="47" xr6:coauthVersionMax="47" xr10:uidLastSave="{00000000-0000-0000-0000-000000000000}"/>
  <bookViews>
    <workbookView xWindow="-120" yWindow="-120" windowWidth="29040" windowHeight="15720" tabRatio="875" activeTab="4" xr2:uid="{00000000-000D-0000-FFFF-FFFF00000000}"/>
  </bookViews>
  <sheets>
    <sheet name="Resumen Pto" sheetId="18" r:id="rId1"/>
    <sheet name="CA1" sheetId="8" r:id="rId2"/>
    <sheet name="CA2" sheetId="9" r:id="rId3"/>
    <sheet name="C-A3 " sheetId="63" r:id="rId4"/>
    <sheet name="C-A4" sheetId="11" r:id="rId5"/>
    <sheet name="C-A5" sheetId="12" r:id="rId6"/>
    <sheet name="C-A6" sheetId="24" r:id="rId7"/>
    <sheet name="C-A6C" sheetId="26" r:id="rId8"/>
    <sheet name="C-A7" sheetId="15" r:id="rId9"/>
    <sheet name="C-A8A" sheetId="60" r:id="rId10"/>
  </sheets>
  <externalReferences>
    <externalReference r:id="rId11"/>
    <externalReference r:id="rId12"/>
  </externalReferences>
  <definedNames>
    <definedName name="a">"$#REF!.$CP$1"</definedName>
    <definedName name="_xlnm.Print_Area" localSheetId="2">'CA2'!$A$1:$I$33</definedName>
    <definedName name="_xlnm.Print_Area" localSheetId="3">'C-A3 '!$A$1:$H$35</definedName>
    <definedName name="_xlnm.Print_Area" localSheetId="4">'C-A4'!$A$3:$I$54</definedName>
    <definedName name="_xlnm.Print_Area" localSheetId="5">'C-A5'!$A$6:$K$51</definedName>
    <definedName name="_xlnm.Print_Area" localSheetId="7">'C-A6C'!$A$1:$L$59</definedName>
    <definedName name="_xlnm.Print_Area" localSheetId="8">'C-A7'!$A$3:$L$32</definedName>
    <definedName name="_xlnm.Print_Area" localSheetId="9">'C-A8A'!$A$8:$L$44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'CA1'!$B$3:$I$47</definedName>
    <definedName name="Excel_BuiltIn_Print_Area_7_1">'CA1'!$B$3:$I$41</definedName>
    <definedName name="Excel_BuiltIn_Print_Area_7_1_1">'CA1'!$B$3:$I$47</definedName>
    <definedName name="Excel_BuiltIn_Print_Area_8_1">[1]INGRESOS!$A$6:$I$39</definedName>
    <definedName name="Excel_BuiltIn_Print_Area_8_1_1">[1]INGRESOS!$A$6:$I$40</definedName>
    <definedName name="Excel_BuiltIn_Print_Area_9_1">'C-A3 '!$A$4:$H$36</definedName>
    <definedName name="Excel_BuiltIn_Print_Titles_11">'C-A5'!$4:$5</definedName>
    <definedName name="Excel_BuiltIn_Print_Titles_12_1">"$#REF!.$A$1:$B$65535;$#REF!.$A$1:$IV$7"</definedName>
    <definedName name="Excel_BuiltIn_Print_Titles_7">'CA1'!$3:$4</definedName>
    <definedName name="Excel_BuiltIn_Print_Titles_7_1">"$cuadro_A_1.$#REF!$#REF!:$#REF!$#REF!"</definedName>
    <definedName name="Excel_BuiltIn_Print_Titles_8_1">[1]INGRESOS!$A$1:$IV$5</definedName>
    <definedName name="_xlnm.Print_Titles" localSheetId="1">'CA1'!$1:$4</definedName>
    <definedName name="_xlnm.Print_Titles" localSheetId="5">'C-A5'!$1:$5</definedName>
    <definedName name="_xlnm.Print_Titles" localSheetId="6">'C-A6'!$4:$10</definedName>
    <definedName name="_xlnm.Print_Titles" localSheetId="9">'C-A8A'!$1:$7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11" l="1"/>
  <c r="F26" i="11"/>
  <c r="C26" i="11"/>
  <c r="B26" i="11"/>
  <c r="H42" i="60"/>
  <c r="H16" i="60"/>
  <c r="Q16" i="60"/>
  <c r="H8" i="60"/>
  <c r="G8" i="60"/>
  <c r="G11" i="15"/>
  <c r="F11" i="12"/>
  <c r="F20" i="12"/>
  <c r="F28" i="12"/>
  <c r="F13" i="12"/>
  <c r="O54" i="26"/>
  <c r="L13" i="60"/>
  <c r="L12" i="60"/>
  <c r="E11" i="18"/>
  <c r="E13" i="18"/>
  <c r="D13" i="18"/>
  <c r="D12" i="18"/>
  <c r="D11" i="18"/>
  <c r="E39" i="8"/>
  <c r="E30" i="9"/>
  <c r="E28" i="9" l="1"/>
  <c r="E27" i="9"/>
  <c r="E26" i="9"/>
  <c r="E25" i="8"/>
  <c r="E43" i="8"/>
  <c r="E32" i="8"/>
  <c r="E27" i="8"/>
  <c r="E29" i="8"/>
  <c r="E28" i="8"/>
  <c r="E19" i="8"/>
  <c r="E18" i="8"/>
  <c r="C8" i="60" l="1"/>
  <c r="H33" i="60" l="1"/>
  <c r="I8" i="60"/>
  <c r="G35" i="60"/>
  <c r="G36" i="60"/>
  <c r="G37" i="60"/>
  <c r="G39" i="60"/>
  <c r="G40" i="60"/>
  <c r="G41" i="60"/>
  <c r="G34" i="60"/>
  <c r="G18" i="60"/>
  <c r="L18" i="60" s="1"/>
  <c r="G19" i="60"/>
  <c r="G20" i="60"/>
  <c r="G21" i="60"/>
  <c r="G22" i="60"/>
  <c r="G23" i="60"/>
  <c r="G24" i="60"/>
  <c r="G25" i="60"/>
  <c r="G26" i="60"/>
  <c r="G27" i="60"/>
  <c r="G28" i="60"/>
  <c r="G29" i="60"/>
  <c r="G30" i="60"/>
  <c r="G17" i="60"/>
  <c r="G15" i="60"/>
  <c r="G10" i="60"/>
  <c r="G9" i="60"/>
  <c r="M8" i="60"/>
  <c r="M17" i="60"/>
  <c r="M16" i="60" s="1"/>
  <c r="M33" i="60"/>
  <c r="N9" i="15"/>
  <c r="N29" i="15"/>
  <c r="P29" i="15"/>
  <c r="N11" i="15"/>
  <c r="N17" i="15"/>
  <c r="G15" i="15"/>
  <c r="D182" i="24"/>
  <c r="D94" i="24"/>
  <c r="D144" i="24"/>
  <c r="D128" i="24"/>
  <c r="D120" i="24"/>
  <c r="D114" i="24"/>
  <c r="D110" i="24"/>
  <c r="D98" i="24"/>
  <c r="D95" i="24"/>
  <c r="D37" i="24"/>
  <c r="D76" i="24"/>
  <c r="D73" i="24"/>
  <c r="D67" i="24"/>
  <c r="D62" i="24"/>
  <c r="D58" i="24"/>
  <c r="D55" i="24"/>
  <c r="F160" i="24"/>
  <c r="R94" i="24"/>
  <c r="H143" i="24"/>
  <c r="R135" i="24"/>
  <c r="J120" i="24"/>
  <c r="F120" i="24"/>
  <c r="O104" i="24"/>
  <c r="O107" i="24"/>
  <c r="Q107" i="24"/>
  <c r="O105" i="24"/>
  <c r="H105" i="24"/>
  <c r="R105" i="24"/>
  <c r="G98" i="24"/>
  <c r="G95" i="24"/>
  <c r="R63" i="24"/>
  <c r="G83" i="24"/>
  <c r="O63" i="24"/>
  <c r="P63" i="24"/>
  <c r="H61" i="24"/>
  <c r="O59" i="24"/>
  <c r="H59" i="24" s="1"/>
  <c r="J38" i="24"/>
  <c r="G38" i="24"/>
  <c r="O11" i="24"/>
  <c r="O16" i="24"/>
  <c r="O19" i="24"/>
  <c r="R22" i="24"/>
  <c r="H19" i="24"/>
  <c r="D30" i="63" l="1"/>
  <c r="D15" i="63"/>
  <c r="D14" i="63"/>
  <c r="D13" i="63"/>
  <c r="D12" i="63"/>
  <c r="D10" i="63"/>
  <c r="B10" i="63"/>
  <c r="L41" i="60" l="1"/>
  <c r="L40" i="60"/>
  <c r="J36" i="60"/>
  <c r="L35" i="60"/>
  <c r="I33" i="60"/>
  <c r="H43" i="12" s="1"/>
  <c r="F33" i="60"/>
  <c r="E43" i="12" s="1"/>
  <c r="E33" i="60"/>
  <c r="D43" i="12" s="1"/>
  <c r="D33" i="60"/>
  <c r="D30" i="18" s="1"/>
  <c r="B33" i="60"/>
  <c r="B43" i="12" s="1"/>
  <c r="J30" i="60"/>
  <c r="L29" i="60"/>
  <c r="L28" i="60"/>
  <c r="L27" i="60"/>
  <c r="L26" i="60"/>
  <c r="K25" i="60"/>
  <c r="J24" i="60"/>
  <c r="J22" i="60"/>
  <c r="L22" i="60"/>
  <c r="L21" i="60"/>
  <c r="J20" i="60"/>
  <c r="L19" i="60"/>
  <c r="J18" i="60"/>
  <c r="I16" i="60"/>
  <c r="F16" i="60"/>
  <c r="E42" i="12" s="1"/>
  <c r="E16" i="60"/>
  <c r="D42" i="12" s="1"/>
  <c r="D16" i="60"/>
  <c r="C42" i="12" s="1"/>
  <c r="B16" i="60"/>
  <c r="B42" i="12" s="1"/>
  <c r="L15" i="60"/>
  <c r="G14" i="60"/>
  <c r="J13" i="60"/>
  <c r="J12" i="60"/>
  <c r="L10" i="60"/>
  <c r="L9" i="60"/>
  <c r="B9" i="60"/>
  <c r="F8" i="60"/>
  <c r="E8" i="60"/>
  <c r="D41" i="12" s="1"/>
  <c r="D8" i="60"/>
  <c r="D26" i="18" s="1"/>
  <c r="B8" i="60"/>
  <c r="B26" i="18" s="1"/>
  <c r="G29" i="15"/>
  <c r="G28" i="15"/>
  <c r="J28" i="15" s="1"/>
  <c r="G27" i="15"/>
  <c r="G26" i="15"/>
  <c r="K26" i="15" s="1"/>
  <c r="G25" i="15"/>
  <c r="G24" i="15"/>
  <c r="G23" i="15"/>
  <c r="G22" i="15"/>
  <c r="J22" i="15" s="1"/>
  <c r="I21" i="15"/>
  <c r="H21" i="15"/>
  <c r="F21" i="15"/>
  <c r="E21" i="15"/>
  <c r="D21" i="15"/>
  <c r="C21" i="15"/>
  <c r="G20" i="15"/>
  <c r="J20" i="15" s="1"/>
  <c r="J19" i="15"/>
  <c r="G19" i="15"/>
  <c r="K19" i="15" s="1"/>
  <c r="G17" i="15"/>
  <c r="G16" i="15"/>
  <c r="J16" i="15" s="1"/>
  <c r="I11" i="15"/>
  <c r="H11" i="15"/>
  <c r="H9" i="15" s="1"/>
  <c r="F11" i="15"/>
  <c r="E11" i="15"/>
  <c r="D11" i="15"/>
  <c r="C11" i="15"/>
  <c r="H55" i="26"/>
  <c r="F55" i="26"/>
  <c r="E55" i="26"/>
  <c r="I53" i="26"/>
  <c r="G53" i="26"/>
  <c r="F53" i="26"/>
  <c r="E53" i="26"/>
  <c r="D53" i="26"/>
  <c r="C53" i="26"/>
  <c r="C52" i="26"/>
  <c r="F50" i="26"/>
  <c r="E50" i="26"/>
  <c r="H47" i="26"/>
  <c r="H46" i="26"/>
  <c r="H45" i="26" s="1"/>
  <c r="F46" i="26"/>
  <c r="E46" i="26"/>
  <c r="D46" i="26"/>
  <c r="C46" i="26"/>
  <c r="C45" i="26" s="1"/>
  <c r="I42" i="26"/>
  <c r="H42" i="26"/>
  <c r="G42" i="26"/>
  <c r="L42" i="26" s="1"/>
  <c r="F42" i="26"/>
  <c r="E42" i="26"/>
  <c r="D42" i="26"/>
  <c r="K42" i="26" s="1"/>
  <c r="C42" i="26"/>
  <c r="C41" i="26"/>
  <c r="F35" i="26"/>
  <c r="C35" i="26"/>
  <c r="F34" i="26"/>
  <c r="C28" i="26"/>
  <c r="F25" i="26"/>
  <c r="I24" i="26"/>
  <c r="H24" i="26"/>
  <c r="F24" i="26"/>
  <c r="E24" i="26"/>
  <c r="D24" i="26"/>
  <c r="C24" i="26"/>
  <c r="F22" i="26"/>
  <c r="C19" i="26"/>
  <c r="L18" i="26"/>
  <c r="H18" i="26"/>
  <c r="F18" i="26"/>
  <c r="E18" i="26"/>
  <c r="D17" i="26"/>
  <c r="I16" i="26"/>
  <c r="H16" i="26"/>
  <c r="F16" i="26"/>
  <c r="E16" i="26"/>
  <c r="D16" i="26"/>
  <c r="C16" i="26"/>
  <c r="I15" i="26"/>
  <c r="H15" i="26"/>
  <c r="F15" i="26"/>
  <c r="E15" i="26"/>
  <c r="D15" i="26"/>
  <c r="C15" i="26"/>
  <c r="I13" i="26"/>
  <c r="H13" i="26"/>
  <c r="F13" i="26"/>
  <c r="E13" i="26"/>
  <c r="D13" i="26"/>
  <c r="C13" i="26"/>
  <c r="I12" i="26"/>
  <c r="H12" i="26"/>
  <c r="F12" i="26"/>
  <c r="E12" i="26"/>
  <c r="D12" i="26"/>
  <c r="C12" i="26"/>
  <c r="I11" i="26"/>
  <c r="H11" i="26"/>
  <c r="F11" i="26"/>
  <c r="E11" i="26"/>
  <c r="D11" i="26"/>
  <c r="D10" i="26" s="1"/>
  <c r="C11" i="26"/>
  <c r="H181" i="24"/>
  <c r="M181" i="24" s="1"/>
  <c r="E181" i="24"/>
  <c r="H179" i="24"/>
  <c r="L179" i="24" s="1"/>
  <c r="J178" i="24"/>
  <c r="I55" i="26" s="1"/>
  <c r="H178" i="24"/>
  <c r="M178" i="24" s="1"/>
  <c r="F178" i="24"/>
  <c r="C178" i="24"/>
  <c r="C55" i="26" s="1"/>
  <c r="H177" i="24"/>
  <c r="M177" i="24" s="1"/>
  <c r="M176" i="24"/>
  <c r="L176" i="24"/>
  <c r="M175" i="24"/>
  <c r="L175" i="24"/>
  <c r="K175" i="24"/>
  <c r="J174" i="24"/>
  <c r="I174" i="24"/>
  <c r="H54" i="26" s="1"/>
  <c r="G174" i="24"/>
  <c r="F54" i="26" s="1"/>
  <c r="F174" i="24"/>
  <c r="E54" i="26" s="1"/>
  <c r="E174" i="24"/>
  <c r="D54" i="26" s="1"/>
  <c r="C174" i="24"/>
  <c r="B32" i="12" s="1"/>
  <c r="L172" i="24"/>
  <c r="K172" i="24"/>
  <c r="J172" i="24"/>
  <c r="I172" i="24"/>
  <c r="H172" i="24"/>
  <c r="G172" i="24"/>
  <c r="F172" i="24"/>
  <c r="E172" i="24"/>
  <c r="C172" i="24"/>
  <c r="H170" i="24"/>
  <c r="M170" i="24" s="1"/>
  <c r="H169" i="24"/>
  <c r="L169" i="24" s="1"/>
  <c r="J168" i="24"/>
  <c r="I52" i="26" s="1"/>
  <c r="I168" i="24"/>
  <c r="H52" i="26" s="1"/>
  <c r="G168" i="24"/>
  <c r="F52" i="26" s="1"/>
  <c r="F168" i="24"/>
  <c r="E52" i="26" s="1"/>
  <c r="E168" i="24"/>
  <c r="D52" i="26" s="1"/>
  <c r="C168" i="24"/>
  <c r="H167" i="24"/>
  <c r="H166" i="24"/>
  <c r="H165" i="24"/>
  <c r="K165" i="24" s="1"/>
  <c r="M164" i="24"/>
  <c r="H164" i="24"/>
  <c r="L164" i="24" s="1"/>
  <c r="H163" i="24"/>
  <c r="K163" i="24" s="1"/>
  <c r="E163" i="24"/>
  <c r="J162" i="24"/>
  <c r="I51" i="26" s="1"/>
  <c r="G162" i="24"/>
  <c r="F51" i="26" s="1"/>
  <c r="F162" i="24"/>
  <c r="E162" i="24"/>
  <c r="D51" i="26" s="1"/>
  <c r="C162" i="24"/>
  <c r="C51" i="26" s="1"/>
  <c r="H161" i="24"/>
  <c r="K161" i="24" s="1"/>
  <c r="J160" i="24"/>
  <c r="I50" i="26" s="1"/>
  <c r="I160" i="24"/>
  <c r="H50" i="26" s="1"/>
  <c r="E160" i="24"/>
  <c r="C160" i="24"/>
  <c r="C50" i="26" s="1"/>
  <c r="H158" i="24"/>
  <c r="K158" i="24" s="1"/>
  <c r="J157" i="24"/>
  <c r="I47" i="26" s="1"/>
  <c r="G157" i="24"/>
  <c r="F47" i="26" s="1"/>
  <c r="F157" i="24"/>
  <c r="E157" i="24"/>
  <c r="E154" i="24" s="1"/>
  <c r="C157" i="24"/>
  <c r="H156" i="24"/>
  <c r="L156" i="24" s="1"/>
  <c r="J155" i="24"/>
  <c r="I155" i="24"/>
  <c r="I154" i="24" s="1"/>
  <c r="G155" i="24"/>
  <c r="H155" i="24" s="1"/>
  <c r="F155" i="24"/>
  <c r="C155" i="24"/>
  <c r="C154" i="24" s="1"/>
  <c r="H153" i="24"/>
  <c r="L153" i="24" s="1"/>
  <c r="H152" i="24"/>
  <c r="L152" i="24" s="1"/>
  <c r="H151" i="24"/>
  <c r="M151" i="24" s="1"/>
  <c r="H150" i="24"/>
  <c r="H149" i="24"/>
  <c r="K149" i="24" s="1"/>
  <c r="H148" i="24"/>
  <c r="H147" i="24"/>
  <c r="L147" i="24" s="1"/>
  <c r="H146" i="24"/>
  <c r="M146" i="24" s="1"/>
  <c r="E146" i="24"/>
  <c r="L146" i="24" s="1"/>
  <c r="H145" i="24"/>
  <c r="J144" i="24"/>
  <c r="I43" i="26" s="1"/>
  <c r="I144" i="24"/>
  <c r="H43" i="26" s="1"/>
  <c r="G144" i="24"/>
  <c r="F43" i="26" s="1"/>
  <c r="F144" i="24"/>
  <c r="E43" i="26" s="1"/>
  <c r="C144" i="24"/>
  <c r="C43" i="26" s="1"/>
  <c r="M143" i="24"/>
  <c r="L143" i="24"/>
  <c r="K143" i="24"/>
  <c r="J42" i="26" s="1"/>
  <c r="H142" i="24"/>
  <c r="E142" i="24"/>
  <c r="H141" i="24"/>
  <c r="K141" i="24" s="1"/>
  <c r="H140" i="24"/>
  <c r="M140" i="24" s="1"/>
  <c r="E140" i="24"/>
  <c r="H139" i="24"/>
  <c r="K139" i="24" s="1"/>
  <c r="H138" i="24"/>
  <c r="K138" i="24" s="1"/>
  <c r="H137" i="24"/>
  <c r="K137" i="24" s="1"/>
  <c r="H136" i="24"/>
  <c r="M136" i="24" s="1"/>
  <c r="L135" i="24"/>
  <c r="H135" i="24"/>
  <c r="M135" i="24" s="1"/>
  <c r="J134" i="24"/>
  <c r="I41" i="26" s="1"/>
  <c r="I134" i="24"/>
  <c r="H41" i="26" s="1"/>
  <c r="G134" i="24"/>
  <c r="H134" i="24" s="1"/>
  <c r="F134" i="24"/>
  <c r="E41" i="26" s="1"/>
  <c r="C134" i="24"/>
  <c r="H133" i="24"/>
  <c r="H132" i="24"/>
  <c r="M132" i="24" s="1"/>
  <c r="H131" i="24"/>
  <c r="K131" i="24" s="1"/>
  <c r="E131" i="24"/>
  <c r="H130" i="24"/>
  <c r="K130" i="24" s="1"/>
  <c r="H129" i="24"/>
  <c r="M129" i="24" s="1"/>
  <c r="E129" i="24"/>
  <c r="J128" i="24"/>
  <c r="I40" i="26" s="1"/>
  <c r="I128" i="24"/>
  <c r="H40" i="26" s="1"/>
  <c r="G128" i="24"/>
  <c r="F40" i="26" s="1"/>
  <c r="F128" i="24"/>
  <c r="E40" i="26" s="1"/>
  <c r="C128" i="24"/>
  <c r="C40" i="26" s="1"/>
  <c r="H127" i="24"/>
  <c r="K127" i="24" s="1"/>
  <c r="H126" i="24"/>
  <c r="M126" i="24" s="1"/>
  <c r="E126" i="24"/>
  <c r="H125" i="24"/>
  <c r="K125" i="24" s="1"/>
  <c r="H124" i="24"/>
  <c r="L124" i="24" s="1"/>
  <c r="H123" i="24"/>
  <c r="M123" i="24" s="1"/>
  <c r="E123" i="24"/>
  <c r="H122" i="24"/>
  <c r="H121" i="24"/>
  <c r="K121" i="24" s="1"/>
  <c r="E121" i="24"/>
  <c r="I39" i="26"/>
  <c r="I120" i="24"/>
  <c r="H39" i="26" s="1"/>
  <c r="G120" i="24"/>
  <c r="F39" i="26" s="1"/>
  <c r="E39" i="26"/>
  <c r="C120" i="24"/>
  <c r="C39" i="26" s="1"/>
  <c r="H119" i="24"/>
  <c r="E119" i="24"/>
  <c r="H118" i="24"/>
  <c r="M118" i="24" s="1"/>
  <c r="E118" i="24"/>
  <c r="L118" i="24" s="1"/>
  <c r="H117" i="24"/>
  <c r="M117" i="24" s="1"/>
  <c r="H116" i="24"/>
  <c r="M116" i="24" s="1"/>
  <c r="H115" i="24"/>
  <c r="E115" i="24"/>
  <c r="J114" i="24"/>
  <c r="I38" i="26" s="1"/>
  <c r="I114" i="24"/>
  <c r="H38" i="26" s="1"/>
  <c r="G114" i="24"/>
  <c r="F38" i="26" s="1"/>
  <c r="F114" i="24"/>
  <c r="E38" i="26" s="1"/>
  <c r="C114" i="24"/>
  <c r="C38" i="26" s="1"/>
  <c r="H113" i="24"/>
  <c r="M113" i="24" s="1"/>
  <c r="H112" i="24"/>
  <c r="K112" i="24" s="1"/>
  <c r="H111" i="24"/>
  <c r="K111" i="24" s="1"/>
  <c r="E111" i="24"/>
  <c r="J110" i="24"/>
  <c r="I37" i="26" s="1"/>
  <c r="I110" i="24"/>
  <c r="H37" i="26" s="1"/>
  <c r="G110" i="24"/>
  <c r="F37" i="26" s="1"/>
  <c r="F110" i="24"/>
  <c r="E37" i="26" s="1"/>
  <c r="C110" i="24"/>
  <c r="C37" i="26" s="1"/>
  <c r="H109" i="24"/>
  <c r="H108" i="24"/>
  <c r="E108" i="24"/>
  <c r="H107" i="24"/>
  <c r="K107" i="24" s="1"/>
  <c r="H106" i="24"/>
  <c r="M106" i="24" s="1"/>
  <c r="M105" i="24"/>
  <c r="J104" i="24"/>
  <c r="I36" i="26" s="1"/>
  <c r="I104" i="24"/>
  <c r="H36" i="26" s="1"/>
  <c r="G104" i="24"/>
  <c r="F36" i="26" s="1"/>
  <c r="F104" i="24"/>
  <c r="E36" i="26" s="1"/>
  <c r="E104" i="24"/>
  <c r="D36" i="26" s="1"/>
  <c r="C104" i="24"/>
  <c r="C36" i="26" s="1"/>
  <c r="H103" i="24"/>
  <c r="M103" i="24" s="1"/>
  <c r="E103" i="24"/>
  <c r="H102" i="24"/>
  <c r="L102" i="24" s="1"/>
  <c r="H101" i="24"/>
  <c r="E101" i="24"/>
  <c r="L100" i="24"/>
  <c r="H100" i="24"/>
  <c r="M100" i="24" s="1"/>
  <c r="H99" i="24"/>
  <c r="M99" i="24" s="1"/>
  <c r="H98" i="24"/>
  <c r="J98" i="24"/>
  <c r="I35" i="26" s="1"/>
  <c r="I98" i="24"/>
  <c r="H35" i="26" s="1"/>
  <c r="F98" i="24"/>
  <c r="C98" i="24"/>
  <c r="H97" i="24"/>
  <c r="K97" i="24" s="1"/>
  <c r="E97" i="24"/>
  <c r="L97" i="24" s="1"/>
  <c r="H96" i="24"/>
  <c r="M96" i="24" s="1"/>
  <c r="E96" i="24"/>
  <c r="E95" i="24" s="1"/>
  <c r="J95" i="24"/>
  <c r="I34" i="26" s="1"/>
  <c r="I95" i="24"/>
  <c r="H34" i="26" s="1"/>
  <c r="F95" i="24"/>
  <c r="E34" i="26" s="1"/>
  <c r="C95" i="24"/>
  <c r="H92" i="24"/>
  <c r="M92" i="24" s="1"/>
  <c r="E92" i="24"/>
  <c r="M91" i="24"/>
  <c r="K91" i="24"/>
  <c r="H90" i="24"/>
  <c r="L90" i="24" s="1"/>
  <c r="H89" i="24"/>
  <c r="M89" i="24" s="1"/>
  <c r="H88" i="24"/>
  <c r="M88" i="24" s="1"/>
  <c r="E88" i="24"/>
  <c r="H87" i="24"/>
  <c r="M87" i="24" s="1"/>
  <c r="L86" i="24"/>
  <c r="K86" i="24"/>
  <c r="H85" i="24"/>
  <c r="L85" i="24" s="1"/>
  <c r="H84" i="24"/>
  <c r="E84" i="24"/>
  <c r="J83" i="24"/>
  <c r="I31" i="26" s="1"/>
  <c r="I83" i="24"/>
  <c r="H31" i="26" s="1"/>
  <c r="H83" i="24"/>
  <c r="F31" i="26"/>
  <c r="F83" i="24"/>
  <c r="E31" i="26" s="1"/>
  <c r="C83" i="24"/>
  <c r="C31" i="26" s="1"/>
  <c r="H82" i="24"/>
  <c r="M82" i="24" s="1"/>
  <c r="H81" i="24"/>
  <c r="F81" i="24"/>
  <c r="F76" i="24" s="1"/>
  <c r="E30" i="26" s="1"/>
  <c r="E81" i="24"/>
  <c r="H80" i="24"/>
  <c r="M80" i="24" s="1"/>
  <c r="E80" i="24"/>
  <c r="M79" i="24"/>
  <c r="K79" i="24"/>
  <c r="H79" i="24"/>
  <c r="E79" i="24"/>
  <c r="H78" i="24"/>
  <c r="K78" i="24" s="1"/>
  <c r="E78" i="24"/>
  <c r="H77" i="24"/>
  <c r="K77" i="24" s="1"/>
  <c r="E77" i="24"/>
  <c r="J76" i="24"/>
  <c r="I30" i="26" s="1"/>
  <c r="I76" i="24"/>
  <c r="H30" i="26" s="1"/>
  <c r="G76" i="24"/>
  <c r="H76" i="24" s="1"/>
  <c r="C76" i="24"/>
  <c r="C30" i="26" s="1"/>
  <c r="H75" i="24"/>
  <c r="M75" i="24" s="1"/>
  <c r="J73" i="24"/>
  <c r="I29" i="26" s="1"/>
  <c r="I73" i="24"/>
  <c r="H29" i="26" s="1"/>
  <c r="G73" i="24"/>
  <c r="F29" i="26" s="1"/>
  <c r="F73" i="24"/>
  <c r="E73" i="24"/>
  <c r="C73" i="24"/>
  <c r="C29" i="26" s="1"/>
  <c r="H72" i="24"/>
  <c r="L72" i="24" s="1"/>
  <c r="H71" i="24"/>
  <c r="H70" i="24"/>
  <c r="M70" i="24" s="1"/>
  <c r="H69" i="24"/>
  <c r="L69" i="24" s="1"/>
  <c r="J67" i="24"/>
  <c r="I28" i="26" s="1"/>
  <c r="I67" i="24"/>
  <c r="H28" i="26" s="1"/>
  <c r="G67" i="24"/>
  <c r="F28" i="26" s="1"/>
  <c r="F67" i="24"/>
  <c r="E28" i="26" s="1"/>
  <c r="E67" i="24"/>
  <c r="D28" i="26" s="1"/>
  <c r="C67" i="24"/>
  <c r="H66" i="24"/>
  <c r="K66" i="24" s="1"/>
  <c r="E66" i="24"/>
  <c r="H65" i="24"/>
  <c r="M65" i="24" s="1"/>
  <c r="E65" i="24"/>
  <c r="H64" i="24"/>
  <c r="M64" i="24" s="1"/>
  <c r="E64" i="24"/>
  <c r="E63" i="24"/>
  <c r="J62" i="24"/>
  <c r="I27" i="26" s="1"/>
  <c r="I62" i="24"/>
  <c r="H27" i="26" s="1"/>
  <c r="G62" i="24"/>
  <c r="F62" i="24"/>
  <c r="C62" i="24"/>
  <c r="C27" i="26" s="1"/>
  <c r="M61" i="24"/>
  <c r="E61" i="24"/>
  <c r="E58" i="24" s="1"/>
  <c r="H60" i="24"/>
  <c r="L60" i="24" s="1"/>
  <c r="M59" i="24"/>
  <c r="J58" i="24"/>
  <c r="I26" i="26" s="1"/>
  <c r="I58" i="24"/>
  <c r="H26" i="26" s="1"/>
  <c r="G58" i="24"/>
  <c r="H58" i="24" s="1"/>
  <c r="G26" i="26" s="1"/>
  <c r="F58" i="24"/>
  <c r="E26" i="26" s="1"/>
  <c r="C58" i="24"/>
  <c r="C26" i="26" s="1"/>
  <c r="H57" i="24"/>
  <c r="K57" i="24" s="1"/>
  <c r="L57" i="24"/>
  <c r="H56" i="24"/>
  <c r="M56" i="24" s="1"/>
  <c r="H55" i="24"/>
  <c r="G25" i="26" s="1"/>
  <c r="J55" i="24"/>
  <c r="I25" i="26" s="1"/>
  <c r="I55" i="24"/>
  <c r="H25" i="26" s="1"/>
  <c r="F55" i="24"/>
  <c r="E55" i="24"/>
  <c r="D25" i="26" s="1"/>
  <c r="C55" i="24"/>
  <c r="C25" i="26" s="1"/>
  <c r="H54" i="24"/>
  <c r="K54" i="24" s="1"/>
  <c r="E54" i="24"/>
  <c r="H52" i="24"/>
  <c r="K52" i="24" s="1"/>
  <c r="H51" i="24"/>
  <c r="K51" i="24" s="1"/>
  <c r="H50" i="24"/>
  <c r="L50" i="24" s="1"/>
  <c r="H49" i="24"/>
  <c r="M49" i="24" s="1"/>
  <c r="E45" i="24"/>
  <c r="D23" i="26" s="1"/>
  <c r="C49" i="24"/>
  <c r="H48" i="24"/>
  <c r="M48" i="24" s="1"/>
  <c r="H47" i="24"/>
  <c r="K47" i="24" s="1"/>
  <c r="H46" i="24"/>
  <c r="M46" i="24" s="1"/>
  <c r="J45" i="24"/>
  <c r="I23" i="26" s="1"/>
  <c r="I45" i="24"/>
  <c r="G45" i="24"/>
  <c r="F23" i="26" s="1"/>
  <c r="F45" i="24"/>
  <c r="E23" i="26" s="1"/>
  <c r="C45" i="24"/>
  <c r="C23" i="26" s="1"/>
  <c r="H44" i="24"/>
  <c r="M44" i="24" s="1"/>
  <c r="L43" i="24"/>
  <c r="K43" i="24"/>
  <c r="L42" i="24"/>
  <c r="H42" i="24"/>
  <c r="K42" i="24" s="1"/>
  <c r="H41" i="24"/>
  <c r="M41" i="24" s="1"/>
  <c r="E41" i="24"/>
  <c r="M40" i="24"/>
  <c r="H40" i="24"/>
  <c r="E40" i="24"/>
  <c r="H39" i="24"/>
  <c r="K39" i="24" s="1"/>
  <c r="I22" i="26"/>
  <c r="I38" i="24"/>
  <c r="H22" i="26" s="1"/>
  <c r="H38" i="24"/>
  <c r="F38" i="24"/>
  <c r="E22" i="26" s="1"/>
  <c r="C38" i="24"/>
  <c r="C22" i="26" s="1"/>
  <c r="H35" i="24"/>
  <c r="M35" i="24" s="1"/>
  <c r="M34" i="24"/>
  <c r="M33" i="24"/>
  <c r="L33" i="24"/>
  <c r="H33" i="24"/>
  <c r="K33" i="24" s="1"/>
  <c r="H32" i="24"/>
  <c r="M32" i="24" s="1"/>
  <c r="H31" i="24"/>
  <c r="K31" i="24" s="1"/>
  <c r="H30" i="24"/>
  <c r="J29" i="24"/>
  <c r="I19" i="26" s="1"/>
  <c r="I29" i="24"/>
  <c r="G29" i="24"/>
  <c r="F19" i="26" s="1"/>
  <c r="F29" i="24"/>
  <c r="E29" i="24"/>
  <c r="H28" i="24"/>
  <c r="K28" i="24" s="1"/>
  <c r="E28" i="24"/>
  <c r="L28" i="24" s="1"/>
  <c r="L27" i="24" s="1"/>
  <c r="K18" i="26" s="1"/>
  <c r="J27" i="24"/>
  <c r="I18" i="26" s="1"/>
  <c r="H27" i="24"/>
  <c r="G18" i="26" s="1"/>
  <c r="C27" i="24"/>
  <c r="C18" i="26" s="1"/>
  <c r="M26" i="24"/>
  <c r="H26" i="24"/>
  <c r="K26" i="24" s="1"/>
  <c r="H25" i="24"/>
  <c r="H24" i="24"/>
  <c r="L24" i="24" s="1"/>
  <c r="H23" i="24"/>
  <c r="M23" i="24" s="1"/>
  <c r="J22" i="24"/>
  <c r="G22" i="24"/>
  <c r="F22" i="24"/>
  <c r="E22" i="24"/>
  <c r="C22" i="24"/>
  <c r="C17" i="26" s="1"/>
  <c r="H21" i="24"/>
  <c r="G16" i="26" s="1"/>
  <c r="H20" i="24"/>
  <c r="K20" i="24" s="1"/>
  <c r="J15" i="26" s="1"/>
  <c r="E20" i="24"/>
  <c r="M19" i="24"/>
  <c r="H18" i="24"/>
  <c r="K18" i="24" s="1"/>
  <c r="H17" i="24"/>
  <c r="L17" i="24" s="1"/>
  <c r="J16" i="24"/>
  <c r="I14" i="26" s="1"/>
  <c r="I16" i="24"/>
  <c r="H14" i="26" s="1"/>
  <c r="G16" i="24"/>
  <c r="F16" i="24"/>
  <c r="E14" i="26" s="1"/>
  <c r="E16" i="24"/>
  <c r="D14" i="26" s="1"/>
  <c r="C16" i="24"/>
  <c r="C14" i="26" s="1"/>
  <c r="H15" i="24"/>
  <c r="H14" i="24"/>
  <c r="K14" i="24" s="1"/>
  <c r="J12" i="26" s="1"/>
  <c r="H13" i="24"/>
  <c r="K13" i="24" s="1"/>
  <c r="J11" i="26" s="1"/>
  <c r="J12" i="24"/>
  <c r="I12" i="24"/>
  <c r="G12" i="24"/>
  <c r="H12" i="24" s="1"/>
  <c r="F12" i="24"/>
  <c r="E12" i="24"/>
  <c r="C12" i="24"/>
  <c r="G43" i="12"/>
  <c r="H41" i="12"/>
  <c r="G41" i="12"/>
  <c r="L36" i="12"/>
  <c r="F35" i="12"/>
  <c r="D32" i="12"/>
  <c r="F30" i="12"/>
  <c r="G26" i="12"/>
  <c r="G25" i="12"/>
  <c r="G24" i="12"/>
  <c r="G23" i="12"/>
  <c r="H48" i="11"/>
  <c r="C47" i="11"/>
  <c r="H46" i="11"/>
  <c r="C46" i="11"/>
  <c r="E45" i="11"/>
  <c r="F25" i="11"/>
  <c r="D26" i="11"/>
  <c r="D25" i="11" s="1"/>
  <c r="C25" i="11"/>
  <c r="B25" i="11"/>
  <c r="H24" i="11"/>
  <c r="D23" i="11"/>
  <c r="D21" i="11" s="1"/>
  <c r="D19" i="11"/>
  <c r="C19" i="11"/>
  <c r="D18" i="11"/>
  <c r="D16" i="11"/>
  <c r="B16" i="11"/>
  <c r="D15" i="11"/>
  <c r="D12" i="11"/>
  <c r="D29" i="11" s="1"/>
  <c r="D26" i="9"/>
  <c r="F24" i="9"/>
  <c r="F22" i="9" s="1"/>
  <c r="C24" i="9"/>
  <c r="C22" i="9" s="1"/>
  <c r="G23" i="9"/>
  <c r="G21" i="9"/>
  <c r="G20" i="9"/>
  <c r="E20" i="9"/>
  <c r="D20" i="9"/>
  <c r="C20" i="9"/>
  <c r="F19" i="9"/>
  <c r="F18" i="9"/>
  <c r="D18" i="9"/>
  <c r="C18" i="9"/>
  <c r="F17" i="9"/>
  <c r="E17" i="9"/>
  <c r="D17" i="9"/>
  <c r="C17" i="9"/>
  <c r="F16" i="9"/>
  <c r="D16" i="9"/>
  <c r="C16" i="9"/>
  <c r="C15" i="9"/>
  <c r="F14" i="9"/>
  <c r="D14" i="9"/>
  <c r="C14" i="9"/>
  <c r="F13" i="9"/>
  <c r="D13" i="9"/>
  <c r="C13" i="9"/>
  <c r="F47" i="8"/>
  <c r="G47" i="8" s="1"/>
  <c r="I47" i="8" s="1"/>
  <c r="G46" i="8"/>
  <c r="E45" i="8"/>
  <c r="D45" i="8"/>
  <c r="E26" i="11" s="1"/>
  <c r="E25" i="11" s="1"/>
  <c r="G43" i="8"/>
  <c r="G42" i="8"/>
  <c r="I42" i="8" s="1"/>
  <c r="F42" i="8"/>
  <c r="E42" i="8"/>
  <c r="E41" i="8" s="1"/>
  <c r="D42" i="8"/>
  <c r="C42" i="8"/>
  <c r="F41" i="8"/>
  <c r="F40" i="8" s="1"/>
  <c r="D41" i="8"/>
  <c r="D40" i="8" s="1"/>
  <c r="C41" i="8"/>
  <c r="C40" i="8" s="1"/>
  <c r="G39" i="8"/>
  <c r="F38" i="8"/>
  <c r="E38" i="8"/>
  <c r="E37" i="8" s="1"/>
  <c r="D38" i="8"/>
  <c r="C38" i="8"/>
  <c r="F37" i="8"/>
  <c r="F36" i="8" s="1"/>
  <c r="D37" i="8"/>
  <c r="D36" i="8" s="1"/>
  <c r="C37" i="8"/>
  <c r="G33" i="8"/>
  <c r="G19" i="9" s="1"/>
  <c r="G32" i="8"/>
  <c r="F31" i="8"/>
  <c r="G31" i="8" s="1"/>
  <c r="G19" i="11" s="1"/>
  <c r="D31" i="8"/>
  <c r="E19" i="11" s="1"/>
  <c r="C31" i="8"/>
  <c r="B19" i="11" s="1"/>
  <c r="G30" i="8"/>
  <c r="H30" i="8" s="1"/>
  <c r="G29" i="8"/>
  <c r="H29" i="8" s="1"/>
  <c r="G28" i="8"/>
  <c r="G15" i="9" s="1"/>
  <c r="F15" i="9"/>
  <c r="D28" i="8"/>
  <c r="D15" i="9" s="1"/>
  <c r="G27" i="8"/>
  <c r="G17" i="9" s="1"/>
  <c r="F26" i="8"/>
  <c r="G26" i="8" s="1"/>
  <c r="C26" i="8"/>
  <c r="B18" i="11" s="1"/>
  <c r="G25" i="8"/>
  <c r="E23" i="8"/>
  <c r="E21" i="8" s="1"/>
  <c r="F17" i="11" s="1"/>
  <c r="D25" i="8"/>
  <c r="D23" i="8" s="1"/>
  <c r="D21" i="8" s="1"/>
  <c r="G24" i="8"/>
  <c r="H24" i="8" s="1"/>
  <c r="F23" i="8"/>
  <c r="F21" i="8" s="1"/>
  <c r="C23" i="8"/>
  <c r="C21" i="8" s="1"/>
  <c r="G22" i="8"/>
  <c r="H22" i="8" s="1"/>
  <c r="G19" i="8"/>
  <c r="G14" i="9" s="1"/>
  <c r="E17" i="8"/>
  <c r="E15" i="8" s="1"/>
  <c r="G18" i="8"/>
  <c r="G13" i="9" s="1"/>
  <c r="F17" i="8"/>
  <c r="G17" i="8" s="1"/>
  <c r="D17" i="8"/>
  <c r="C17" i="8"/>
  <c r="C15" i="8" s="1"/>
  <c r="F15" i="8"/>
  <c r="D15" i="8"/>
  <c r="C25" i="18"/>
  <c r="C16" i="18" s="1"/>
  <c r="D23" i="18"/>
  <c r="B23" i="18"/>
  <c r="E22" i="18"/>
  <c r="B22" i="18"/>
  <c r="D21" i="18"/>
  <c r="B21" i="18"/>
  <c r="E20" i="18"/>
  <c r="B20" i="18"/>
  <c r="C18" i="18"/>
  <c r="D9" i="18"/>
  <c r="C9" i="18"/>
  <c r="E24" i="9" l="1"/>
  <c r="E22" i="9" s="1"/>
  <c r="I20" i="9"/>
  <c r="C11" i="9"/>
  <c r="C9" i="9" s="1"/>
  <c r="F20" i="9"/>
  <c r="F11" i="9" s="1"/>
  <c r="F9" i="9" s="1"/>
  <c r="F34" i="8"/>
  <c r="G18" i="9"/>
  <c r="H18" i="8"/>
  <c r="I18" i="8"/>
  <c r="I32" i="8"/>
  <c r="H20" i="9"/>
  <c r="H43" i="8"/>
  <c r="I43" i="8"/>
  <c r="H17" i="9"/>
  <c r="I27" i="8"/>
  <c r="G41" i="8"/>
  <c r="G40" i="8" s="1"/>
  <c r="H40" i="8" s="1"/>
  <c r="E40" i="8"/>
  <c r="F28" i="63" s="1"/>
  <c r="H17" i="8"/>
  <c r="H42" i="12"/>
  <c r="I42" i="60"/>
  <c r="B30" i="18"/>
  <c r="J14" i="60"/>
  <c r="L14" i="60"/>
  <c r="G42" i="12"/>
  <c r="G39" i="12" s="1"/>
  <c r="G36" i="12" s="1"/>
  <c r="L24" i="60"/>
  <c r="J10" i="60"/>
  <c r="L30" i="60"/>
  <c r="J19" i="60"/>
  <c r="J29" i="60"/>
  <c r="K19" i="60"/>
  <c r="L20" i="60"/>
  <c r="L25" i="60"/>
  <c r="G33" i="60"/>
  <c r="F43" i="12" s="1"/>
  <c r="J27" i="60"/>
  <c r="B42" i="60"/>
  <c r="D21" i="63" s="1"/>
  <c r="D19" i="63" s="1"/>
  <c r="J28" i="60"/>
  <c r="B41" i="12"/>
  <c r="B39" i="12" s="1"/>
  <c r="B36" i="12" s="1"/>
  <c r="K36" i="60"/>
  <c r="L37" i="60"/>
  <c r="B28" i="18"/>
  <c r="B25" i="18" s="1"/>
  <c r="J9" i="60"/>
  <c r="C41" i="12"/>
  <c r="I9" i="15"/>
  <c r="F9" i="15"/>
  <c r="L19" i="15"/>
  <c r="E23" i="18"/>
  <c r="H73" i="24"/>
  <c r="K164" i="24"/>
  <c r="L119" i="24"/>
  <c r="H157" i="24"/>
  <c r="G47" i="26" s="1"/>
  <c r="F14" i="26"/>
  <c r="H16" i="24"/>
  <c r="C159" i="24"/>
  <c r="L103" i="24"/>
  <c r="M130" i="24"/>
  <c r="M158" i="24"/>
  <c r="H110" i="24"/>
  <c r="C54" i="26"/>
  <c r="C49" i="26" s="1"/>
  <c r="L75" i="24"/>
  <c r="E120" i="24"/>
  <c r="D39" i="26" s="1"/>
  <c r="H160" i="24"/>
  <c r="M160" i="24" s="1"/>
  <c r="L40" i="24"/>
  <c r="M81" i="24"/>
  <c r="K40" i="24"/>
  <c r="G154" i="24"/>
  <c r="E18" i="12" s="1"/>
  <c r="K75" i="24"/>
  <c r="L149" i="24"/>
  <c r="C11" i="24"/>
  <c r="G32" i="12"/>
  <c r="K169" i="24"/>
  <c r="M85" i="24"/>
  <c r="E83" i="24"/>
  <c r="M155" i="24"/>
  <c r="J154" i="24"/>
  <c r="B28" i="12"/>
  <c r="B22" i="12" s="1"/>
  <c r="F17" i="26"/>
  <c r="H22" i="24"/>
  <c r="F27" i="26"/>
  <c r="H62" i="24"/>
  <c r="K62" i="24" s="1"/>
  <c r="L79" i="24"/>
  <c r="K98" i="24"/>
  <c r="J35" i="26" s="1"/>
  <c r="E11" i="24"/>
  <c r="C15" i="12" s="1"/>
  <c r="E144" i="24"/>
  <c r="D43" i="26" s="1"/>
  <c r="K135" i="24"/>
  <c r="L163" i="24"/>
  <c r="H174" i="24"/>
  <c r="M174" i="24" s="1"/>
  <c r="E32" i="12"/>
  <c r="E28" i="12"/>
  <c r="E22" i="12" s="1"/>
  <c r="L158" i="24"/>
  <c r="I46" i="26"/>
  <c r="I45" i="26" s="1"/>
  <c r="G18" i="12"/>
  <c r="M152" i="24"/>
  <c r="L142" i="24"/>
  <c r="F41" i="26"/>
  <c r="F33" i="26" s="1"/>
  <c r="L130" i="24"/>
  <c r="L126" i="24"/>
  <c r="H120" i="24"/>
  <c r="G39" i="26" s="1"/>
  <c r="H114" i="24"/>
  <c r="K114" i="24" s="1"/>
  <c r="J38" i="26" s="1"/>
  <c r="M111" i="24"/>
  <c r="M110" i="24"/>
  <c r="H104" i="24"/>
  <c r="G36" i="26" s="1"/>
  <c r="L36" i="26" s="1"/>
  <c r="I33" i="26"/>
  <c r="H33" i="26"/>
  <c r="L99" i="24"/>
  <c r="F94" i="24"/>
  <c r="D17" i="12" s="1"/>
  <c r="E35" i="26"/>
  <c r="E33" i="26" s="1"/>
  <c r="J94" i="24"/>
  <c r="I94" i="24"/>
  <c r="L78" i="24"/>
  <c r="F30" i="26"/>
  <c r="M66" i="24"/>
  <c r="L66" i="24"/>
  <c r="L61" i="24"/>
  <c r="K61" i="24"/>
  <c r="F26" i="26"/>
  <c r="J26" i="26"/>
  <c r="L47" i="24"/>
  <c r="M47" i="24"/>
  <c r="H45" i="24"/>
  <c r="K45" i="24" s="1"/>
  <c r="K35" i="24"/>
  <c r="L35" i="24"/>
  <c r="H29" i="24"/>
  <c r="G19" i="26" s="1"/>
  <c r="G11" i="24"/>
  <c r="E10" i="26"/>
  <c r="I10" i="26"/>
  <c r="H10" i="26"/>
  <c r="M14" i="24"/>
  <c r="L12" i="26" s="1"/>
  <c r="F10" i="26"/>
  <c r="M13" i="24"/>
  <c r="L11" i="26" s="1"/>
  <c r="L13" i="24"/>
  <c r="K11" i="26" s="1"/>
  <c r="K118" i="24"/>
  <c r="K49" i="24"/>
  <c r="K70" i="24"/>
  <c r="K89" i="24"/>
  <c r="M107" i="24"/>
  <c r="L113" i="24"/>
  <c r="L107" i="24"/>
  <c r="L70" i="24"/>
  <c r="K178" i="24"/>
  <c r="M138" i="24"/>
  <c r="L64" i="24"/>
  <c r="L31" i="24"/>
  <c r="K147" i="24"/>
  <c r="L39" i="24"/>
  <c r="M24" i="24"/>
  <c r="L19" i="26" s="1"/>
  <c r="M39" i="24"/>
  <c r="L161" i="24"/>
  <c r="K32" i="24"/>
  <c r="M52" i="24"/>
  <c r="L140" i="24"/>
  <c r="K156" i="24"/>
  <c r="M161" i="24"/>
  <c r="G55" i="26"/>
  <c r="J55" i="26" s="1"/>
  <c r="K113" i="24"/>
  <c r="L138" i="24"/>
  <c r="K90" i="24"/>
  <c r="L23" i="24"/>
  <c r="M102" i="24"/>
  <c r="M131" i="24"/>
  <c r="M90" i="24"/>
  <c r="M31" i="24"/>
  <c r="M78" i="24"/>
  <c r="M127" i="24"/>
  <c r="M147" i="24"/>
  <c r="L32" i="24"/>
  <c r="K46" i="24"/>
  <c r="L54" i="24"/>
  <c r="K92" i="24"/>
  <c r="K23" i="24"/>
  <c r="K96" i="24"/>
  <c r="L131" i="24"/>
  <c r="K50" i="24"/>
  <c r="L96" i="24"/>
  <c r="K179" i="24"/>
  <c r="M50" i="24"/>
  <c r="L139" i="24"/>
  <c r="K24" i="24"/>
  <c r="K132" i="24"/>
  <c r="L127" i="24"/>
  <c r="K155" i="24"/>
  <c r="K181" i="24"/>
  <c r="L46" i="24"/>
  <c r="L92" i="24"/>
  <c r="K69" i="24"/>
  <c r="K102" i="24"/>
  <c r="L160" i="24"/>
  <c r="M57" i="24"/>
  <c r="M72" i="24"/>
  <c r="M139" i="24"/>
  <c r="M97" i="24"/>
  <c r="L20" i="24"/>
  <c r="K15" i="26" s="1"/>
  <c r="M54" i="24"/>
  <c r="M60" i="24"/>
  <c r="K85" i="24"/>
  <c r="M124" i="24"/>
  <c r="K126" i="24"/>
  <c r="M20" i="24"/>
  <c r="L15" i="26" s="1"/>
  <c r="K99" i="24"/>
  <c r="L116" i="24"/>
  <c r="G15" i="26"/>
  <c r="L49" i="24"/>
  <c r="M21" i="24"/>
  <c r="L16" i="26" s="1"/>
  <c r="K41" i="24"/>
  <c r="K80" i="24"/>
  <c r="K129" i="24"/>
  <c r="K100" i="24"/>
  <c r="K117" i="24"/>
  <c r="L123" i="24"/>
  <c r="B17" i="11"/>
  <c r="B15" i="11" s="1"/>
  <c r="B12" i="11" s="1"/>
  <c r="B29" i="11" s="1"/>
  <c r="D31" i="26"/>
  <c r="L83" i="24"/>
  <c r="M125" i="24"/>
  <c r="L125" i="24"/>
  <c r="D28" i="12"/>
  <c r="D22" i="12" s="1"/>
  <c r="F159" i="24"/>
  <c r="D9" i="15"/>
  <c r="D19" i="18"/>
  <c r="D18" i="18" s="1"/>
  <c r="M25" i="24"/>
  <c r="L25" i="24"/>
  <c r="I54" i="26"/>
  <c r="I49" i="26" s="1"/>
  <c r="H32" i="12"/>
  <c r="E16" i="11"/>
  <c r="C16" i="11"/>
  <c r="K153" i="24"/>
  <c r="E51" i="26"/>
  <c r="E27" i="26"/>
  <c r="M153" i="24"/>
  <c r="F49" i="26"/>
  <c r="F13" i="8"/>
  <c r="C28" i="63"/>
  <c r="D28" i="63"/>
  <c r="D26" i="63" s="1"/>
  <c r="E23" i="11"/>
  <c r="E21" i="11" s="1"/>
  <c r="D34" i="8"/>
  <c r="H47" i="8"/>
  <c r="B39" i="11"/>
  <c r="B18" i="12"/>
  <c r="H15" i="9"/>
  <c r="D39" i="11"/>
  <c r="C39" i="11"/>
  <c r="C18" i="12"/>
  <c r="E39" i="11"/>
  <c r="K170" i="24"/>
  <c r="L170" i="24"/>
  <c r="H28" i="8"/>
  <c r="G38" i="26"/>
  <c r="L38" i="26" s="1"/>
  <c r="M114" i="24"/>
  <c r="H144" i="24"/>
  <c r="K144" i="24" s="1"/>
  <c r="L25" i="15"/>
  <c r="K25" i="15"/>
  <c r="J25" i="15"/>
  <c r="C13" i="8"/>
  <c r="C11" i="8" s="1"/>
  <c r="I28" i="8"/>
  <c r="E16" i="9"/>
  <c r="E43" i="11"/>
  <c r="C43" i="12"/>
  <c r="L80" i="24"/>
  <c r="G37" i="26"/>
  <c r="L37" i="26" s="1"/>
  <c r="K110" i="24"/>
  <c r="J37" i="26" s="1"/>
  <c r="K133" i="24"/>
  <c r="M133" i="24"/>
  <c r="L133" i="24"/>
  <c r="M145" i="24"/>
  <c r="L145" i="24"/>
  <c r="K145" i="24"/>
  <c r="L15" i="15"/>
  <c r="K15" i="15"/>
  <c r="J15" i="15"/>
  <c r="D39" i="12"/>
  <c r="M15" i="24"/>
  <c r="L13" i="26" s="1"/>
  <c r="L15" i="24"/>
  <c r="K13" i="26" s="1"/>
  <c r="G13" i="26"/>
  <c r="K15" i="24"/>
  <c r="J13" i="26" s="1"/>
  <c r="L81" i="24"/>
  <c r="M115" i="24"/>
  <c r="K115" i="24"/>
  <c r="I17" i="8"/>
  <c r="G15" i="8"/>
  <c r="B30" i="63"/>
  <c r="C36" i="8"/>
  <c r="C34" i="8" s="1"/>
  <c r="G30" i="26"/>
  <c r="L30" i="26" s="1"/>
  <c r="M76" i="24"/>
  <c r="K81" i="24"/>
  <c r="D34" i="26"/>
  <c r="K140" i="24"/>
  <c r="D45" i="26"/>
  <c r="L17" i="15"/>
  <c r="K17" i="15"/>
  <c r="J17" i="15"/>
  <c r="L27" i="15"/>
  <c r="K27" i="15"/>
  <c r="J27" i="15"/>
  <c r="K15" i="60"/>
  <c r="J15" i="60"/>
  <c r="E15" i="9"/>
  <c r="I15" i="9" s="1"/>
  <c r="E26" i="8"/>
  <c r="E19" i="26"/>
  <c r="E17" i="11"/>
  <c r="D17" i="11"/>
  <c r="C17" i="11"/>
  <c r="L22" i="24"/>
  <c r="K17" i="26" s="1"/>
  <c r="E38" i="24"/>
  <c r="L41" i="24"/>
  <c r="L165" i="24"/>
  <c r="G23" i="8"/>
  <c r="H25" i="8"/>
  <c r="J11" i="24"/>
  <c r="I17" i="26"/>
  <c r="K58" i="24"/>
  <c r="M71" i="24"/>
  <c r="L71" i="24"/>
  <c r="K71" i="24"/>
  <c r="K76" i="24"/>
  <c r="L101" i="24"/>
  <c r="E98" i="24"/>
  <c r="L121" i="24"/>
  <c r="L141" i="24"/>
  <c r="M165" i="24"/>
  <c r="D19" i="26"/>
  <c r="D9" i="26" s="1"/>
  <c r="D28" i="18"/>
  <c r="D25" i="18" s="1"/>
  <c r="F16" i="11"/>
  <c r="I29" i="8"/>
  <c r="G16" i="9"/>
  <c r="F11" i="24"/>
  <c r="I25" i="8"/>
  <c r="H19" i="11"/>
  <c r="H19" i="26"/>
  <c r="H9" i="26" s="1"/>
  <c r="I11" i="24"/>
  <c r="E76" i="24"/>
  <c r="L77" i="24"/>
  <c r="M101" i="24"/>
  <c r="K101" i="24"/>
  <c r="K166" i="24"/>
  <c r="L166" i="24"/>
  <c r="C36" i="11"/>
  <c r="K25" i="26"/>
  <c r="L65" i="24"/>
  <c r="K72" i="24"/>
  <c r="E128" i="24"/>
  <c r="L129" i="24"/>
  <c r="M148" i="24"/>
  <c r="L148" i="24"/>
  <c r="K148" i="24"/>
  <c r="M166" i="24"/>
  <c r="B28" i="63"/>
  <c r="B23" i="11"/>
  <c r="B21" i="11" s="1"/>
  <c r="C30" i="63"/>
  <c r="D26" i="8"/>
  <c r="C23" i="11"/>
  <c r="C21" i="11" s="1"/>
  <c r="C21" i="26"/>
  <c r="M108" i="24"/>
  <c r="K108" i="24"/>
  <c r="D42" i="60"/>
  <c r="I14" i="9"/>
  <c r="D11" i="9"/>
  <c r="M17" i="24"/>
  <c r="K17" i="24"/>
  <c r="M30" i="24"/>
  <c r="L30" i="24"/>
  <c r="K30" i="24"/>
  <c r="L58" i="24"/>
  <c r="D26" i="26"/>
  <c r="K26" i="26" s="1"/>
  <c r="D29" i="26"/>
  <c r="L73" i="24"/>
  <c r="G31" i="26"/>
  <c r="M83" i="24"/>
  <c r="H95" i="24"/>
  <c r="L95" i="24" s="1"/>
  <c r="L108" i="24"/>
  <c r="L136" i="24"/>
  <c r="K136" i="24"/>
  <c r="C32" i="12"/>
  <c r="F30" i="63"/>
  <c r="E36" i="8"/>
  <c r="E34" i="8" s="1"/>
  <c r="H19" i="8"/>
  <c r="H26" i="8"/>
  <c r="G18" i="11"/>
  <c r="E18" i="9"/>
  <c r="E31" i="8"/>
  <c r="I39" i="8"/>
  <c r="H39" i="8"/>
  <c r="H38" i="8" s="1"/>
  <c r="H37" i="8" s="1"/>
  <c r="H36" i="8" s="1"/>
  <c r="G38" i="8"/>
  <c r="D24" i="9"/>
  <c r="D22" i="9" s="1"/>
  <c r="B15" i="12"/>
  <c r="L55" i="24"/>
  <c r="L38" i="60"/>
  <c r="J38" i="60"/>
  <c r="I19" i="8"/>
  <c r="H32" i="8"/>
  <c r="F23" i="11"/>
  <c r="F21" i="11" s="1"/>
  <c r="F45" i="8"/>
  <c r="G45" i="8" s="1"/>
  <c r="E14" i="9"/>
  <c r="M18" i="24"/>
  <c r="L18" i="24"/>
  <c r="M55" i="24"/>
  <c r="L157" i="24"/>
  <c r="D47" i="26"/>
  <c r="K47" i="26" s="1"/>
  <c r="D11" i="63"/>
  <c r="L181" i="24"/>
  <c r="E178" i="24"/>
  <c r="C9" i="15"/>
  <c r="B19" i="18"/>
  <c r="B18" i="18" s="1"/>
  <c r="J39" i="60"/>
  <c r="L39" i="60"/>
  <c r="E9" i="15"/>
  <c r="L12" i="24"/>
  <c r="H23" i="26"/>
  <c r="H21" i="26" s="1"/>
  <c r="I37" i="24"/>
  <c r="E110" i="24"/>
  <c r="L111" i="24"/>
  <c r="E114" i="24"/>
  <c r="L115" i="24"/>
  <c r="M134" i="24"/>
  <c r="G41" i="26"/>
  <c r="L41" i="26" s="1"/>
  <c r="E47" i="26"/>
  <c r="J47" i="26" s="1"/>
  <c r="K157" i="24"/>
  <c r="F154" i="24"/>
  <c r="G11" i="26"/>
  <c r="J37" i="60"/>
  <c r="F45" i="26"/>
  <c r="L29" i="15"/>
  <c r="K29" i="15"/>
  <c r="J29" i="15"/>
  <c r="E13" i="9"/>
  <c r="C28" i="12"/>
  <c r="C22" i="12" s="1"/>
  <c r="G12" i="26"/>
  <c r="L14" i="24"/>
  <c r="K12" i="26" s="1"/>
  <c r="M51" i="24"/>
  <c r="L51" i="24"/>
  <c r="G94" i="24"/>
  <c r="E17" i="12" s="1"/>
  <c r="M112" i="24"/>
  <c r="L112" i="24"/>
  <c r="M142" i="24"/>
  <c r="K142" i="24"/>
  <c r="G21" i="15"/>
  <c r="K21" i="15" s="1"/>
  <c r="L167" i="24"/>
  <c r="K167" i="24"/>
  <c r="I21" i="26"/>
  <c r="G13" i="15"/>
  <c r="C37" i="24"/>
  <c r="E29" i="26"/>
  <c r="K73" i="24"/>
  <c r="L117" i="24"/>
  <c r="M121" i="24"/>
  <c r="M137" i="24"/>
  <c r="L137" i="24"/>
  <c r="H162" i="24"/>
  <c r="L162" i="24" s="1"/>
  <c r="E42" i="60"/>
  <c r="J40" i="60"/>
  <c r="L26" i="26"/>
  <c r="M109" i="24"/>
  <c r="L109" i="24"/>
  <c r="M122" i="24"/>
  <c r="L122" i="24"/>
  <c r="K122" i="24"/>
  <c r="F42" i="60"/>
  <c r="E41" i="12"/>
  <c r="E39" i="12" s="1"/>
  <c r="E36" i="12" s="1"/>
  <c r="K21" i="24"/>
  <c r="J16" i="26" s="1"/>
  <c r="F37" i="24"/>
  <c r="E62" i="24"/>
  <c r="G29" i="26"/>
  <c r="M73" i="24"/>
  <c r="L89" i="24"/>
  <c r="M98" i="24"/>
  <c r="G35" i="26"/>
  <c r="K109" i="24"/>
  <c r="H128" i="24"/>
  <c r="L132" i="24"/>
  <c r="G159" i="24"/>
  <c r="H28" i="12"/>
  <c r="H22" i="12" s="1"/>
  <c r="J159" i="24"/>
  <c r="L23" i="15"/>
  <c r="K23" i="15"/>
  <c r="J23" i="15"/>
  <c r="J25" i="60"/>
  <c r="L21" i="24"/>
  <c r="K16" i="26" s="1"/>
  <c r="L26" i="24"/>
  <c r="M38" i="24"/>
  <c r="G22" i="26"/>
  <c r="C94" i="24"/>
  <c r="C182" i="24" s="1"/>
  <c r="C34" i="26"/>
  <c r="C33" i="26" s="1"/>
  <c r="J37" i="24"/>
  <c r="E25" i="26"/>
  <c r="K55" i="24"/>
  <c r="H63" i="24"/>
  <c r="M150" i="24"/>
  <c r="L150" i="24"/>
  <c r="L155" i="24"/>
  <c r="H42" i="8"/>
  <c r="H14" i="9"/>
  <c r="K38" i="24"/>
  <c r="M58" i="24"/>
  <c r="K150" i="24"/>
  <c r="J26" i="60"/>
  <c r="I17" i="9"/>
  <c r="K12" i="24"/>
  <c r="K83" i="24"/>
  <c r="M119" i="24"/>
  <c r="K119" i="24"/>
  <c r="K124" i="24"/>
  <c r="G46" i="26"/>
  <c r="K46" i="26" s="1"/>
  <c r="M156" i="24"/>
  <c r="K26" i="60"/>
  <c r="L34" i="60"/>
  <c r="J34" i="60"/>
  <c r="H27" i="8"/>
  <c r="K64" i="24"/>
  <c r="K134" i="24"/>
  <c r="J41" i="26" s="1"/>
  <c r="E134" i="24"/>
  <c r="H168" i="24"/>
  <c r="C10" i="26"/>
  <c r="C9" i="26" s="1"/>
  <c r="H67" i="24"/>
  <c r="E17" i="26"/>
  <c r="E9" i="26" s="1"/>
  <c r="G24" i="26"/>
  <c r="K24" i="26" s="1"/>
  <c r="E27" i="24"/>
  <c r="K19" i="24"/>
  <c r="K44" i="24"/>
  <c r="K56" i="24"/>
  <c r="K59" i="24"/>
  <c r="K105" i="24"/>
  <c r="D50" i="26"/>
  <c r="K9" i="60"/>
  <c r="J41" i="60"/>
  <c r="H39" i="12"/>
  <c r="H36" i="12" s="1"/>
  <c r="L19" i="24"/>
  <c r="K27" i="24"/>
  <c r="J18" i="26" s="1"/>
  <c r="G37" i="24"/>
  <c r="L44" i="24"/>
  <c r="L56" i="24"/>
  <c r="L59" i="24"/>
  <c r="L105" i="24"/>
  <c r="K151" i="24"/>
  <c r="J35" i="60"/>
  <c r="K146" i="24"/>
  <c r="L151" i="24"/>
  <c r="K35" i="60"/>
  <c r="K48" i="24"/>
  <c r="K82" i="24"/>
  <c r="K116" i="24"/>
  <c r="K123" i="24"/>
  <c r="M157" i="24"/>
  <c r="K160" i="24"/>
  <c r="K177" i="24"/>
  <c r="G50" i="26"/>
  <c r="L48" i="24"/>
  <c r="L82" i="24"/>
  <c r="L106" i="24"/>
  <c r="L177" i="24"/>
  <c r="K10" i="60"/>
  <c r="K60" i="24"/>
  <c r="K87" i="24"/>
  <c r="K152" i="24"/>
  <c r="H18" i="9" l="1"/>
  <c r="I41" i="8"/>
  <c r="H41" i="8"/>
  <c r="I40" i="8"/>
  <c r="G28" i="63"/>
  <c r="G23" i="11"/>
  <c r="I23" i="11" s="1"/>
  <c r="F26" i="63"/>
  <c r="B21" i="63"/>
  <c r="B19" i="63" s="1"/>
  <c r="K33" i="60"/>
  <c r="B45" i="11"/>
  <c r="B43" i="11" s="1"/>
  <c r="J33" i="60"/>
  <c r="E30" i="18"/>
  <c r="B16" i="18"/>
  <c r="C39" i="12"/>
  <c r="C36" i="12" s="1"/>
  <c r="L33" i="60"/>
  <c r="K8" i="60"/>
  <c r="D36" i="11"/>
  <c r="E36" i="11"/>
  <c r="K39" i="26"/>
  <c r="J29" i="26"/>
  <c r="H18" i="12"/>
  <c r="F21" i="26"/>
  <c r="H154" i="24"/>
  <c r="F18" i="12" s="1"/>
  <c r="J18" i="12" s="1"/>
  <c r="B41" i="11"/>
  <c r="B20" i="12"/>
  <c r="E16" i="12"/>
  <c r="H37" i="24"/>
  <c r="G37" i="11" s="1"/>
  <c r="M154" i="24"/>
  <c r="F9" i="26"/>
  <c r="F56" i="26" s="1"/>
  <c r="B15" i="63"/>
  <c r="B36" i="11"/>
  <c r="E45" i="26"/>
  <c r="J45" i="26" s="1"/>
  <c r="E15" i="12"/>
  <c r="E13" i="12" s="1"/>
  <c r="H11" i="24"/>
  <c r="L174" i="24"/>
  <c r="F32" i="12"/>
  <c r="I32" i="12" s="1"/>
  <c r="G54" i="26"/>
  <c r="L54" i="26" s="1"/>
  <c r="K174" i="24"/>
  <c r="L154" i="24"/>
  <c r="G39" i="11"/>
  <c r="M120" i="24"/>
  <c r="L39" i="26"/>
  <c r="K120" i="24"/>
  <c r="J39" i="26" s="1"/>
  <c r="L120" i="24"/>
  <c r="H94" i="24"/>
  <c r="K94" i="24" s="1"/>
  <c r="L104" i="24"/>
  <c r="K36" i="26"/>
  <c r="K104" i="24"/>
  <c r="J36" i="26" s="1"/>
  <c r="M104" i="24"/>
  <c r="L35" i="26"/>
  <c r="F38" i="11"/>
  <c r="H17" i="12"/>
  <c r="G17" i="12"/>
  <c r="J30" i="26"/>
  <c r="L45" i="24"/>
  <c r="M45" i="24"/>
  <c r="G23" i="26"/>
  <c r="J23" i="26" s="1"/>
  <c r="L29" i="24"/>
  <c r="K19" i="26" s="1"/>
  <c r="K29" i="24"/>
  <c r="J19" i="26" s="1"/>
  <c r="M29" i="24"/>
  <c r="I9" i="26"/>
  <c r="I56" i="26" s="1"/>
  <c r="K54" i="26"/>
  <c r="J54" i="26"/>
  <c r="G182" i="24"/>
  <c r="E20" i="12"/>
  <c r="C18" i="11"/>
  <c r="E18" i="11"/>
  <c r="D13" i="8"/>
  <c r="D11" i="8" s="1"/>
  <c r="C26" i="63"/>
  <c r="H20" i="12"/>
  <c r="J182" i="24"/>
  <c r="H13" i="9"/>
  <c r="E11" i="9"/>
  <c r="L76" i="24"/>
  <c r="D30" i="26"/>
  <c r="K30" i="26" s="1"/>
  <c r="L98" i="24"/>
  <c r="D35" i="26"/>
  <c r="K35" i="26" s="1"/>
  <c r="M22" i="24"/>
  <c r="L17" i="26" s="1"/>
  <c r="G17" i="26"/>
  <c r="F41" i="12"/>
  <c r="E26" i="18"/>
  <c r="L8" i="60"/>
  <c r="K50" i="26"/>
  <c r="D37" i="26"/>
  <c r="K37" i="26" s="1"/>
  <c r="L110" i="24"/>
  <c r="G15" i="12"/>
  <c r="H39" i="11"/>
  <c r="F11" i="8"/>
  <c r="F9" i="8" s="1"/>
  <c r="G9" i="8" s="1"/>
  <c r="G13" i="8"/>
  <c r="B16" i="12"/>
  <c r="B37" i="11"/>
  <c r="B35" i="11" s="1"/>
  <c r="B33" i="11" s="1"/>
  <c r="D38" i="26"/>
  <c r="K38" i="26" s="1"/>
  <c r="L114" i="24"/>
  <c r="G16" i="12"/>
  <c r="L22" i="26"/>
  <c r="J22" i="26"/>
  <c r="G14" i="26"/>
  <c r="L16" i="24"/>
  <c r="K14" i="26" s="1"/>
  <c r="K16" i="24"/>
  <c r="J14" i="26" s="1"/>
  <c r="M16" i="24"/>
  <c r="L14" i="26" s="1"/>
  <c r="B26" i="63"/>
  <c r="H28" i="63"/>
  <c r="L134" i="24"/>
  <c r="D41" i="26"/>
  <c r="K41" i="26" s="1"/>
  <c r="K13" i="15"/>
  <c r="J13" i="15"/>
  <c r="L13" i="15"/>
  <c r="F21" i="63"/>
  <c r="F19" i="63" s="1"/>
  <c r="F45" i="11"/>
  <c r="F43" i="11" s="1"/>
  <c r="G45" i="26"/>
  <c r="L46" i="26"/>
  <c r="L29" i="26"/>
  <c r="J8" i="60"/>
  <c r="M12" i="24"/>
  <c r="L10" i="26" s="1"/>
  <c r="D9" i="9"/>
  <c r="E37" i="24"/>
  <c r="L38" i="24"/>
  <c r="D22" i="26"/>
  <c r="G16" i="11"/>
  <c r="H15" i="8"/>
  <c r="I15" i="8"/>
  <c r="C9" i="8"/>
  <c r="B11" i="18"/>
  <c r="I18" i="9"/>
  <c r="D55" i="26"/>
  <c r="K55" i="26" s="1"/>
  <c r="L178" i="24"/>
  <c r="G9" i="15"/>
  <c r="K9" i="15" s="1"/>
  <c r="B17" i="12"/>
  <c r="B38" i="11"/>
  <c r="L21" i="15"/>
  <c r="E21" i="18"/>
  <c r="J21" i="15"/>
  <c r="D16" i="12"/>
  <c r="F37" i="11"/>
  <c r="K28" i="12"/>
  <c r="F22" i="12"/>
  <c r="I22" i="12" s="1"/>
  <c r="I28" i="12" s="1"/>
  <c r="E21" i="26"/>
  <c r="C56" i="26"/>
  <c r="F36" i="11"/>
  <c r="D15" i="12"/>
  <c r="J46" i="26"/>
  <c r="F19" i="11"/>
  <c r="I19" i="11" s="1"/>
  <c r="I31" i="8"/>
  <c r="D27" i="26"/>
  <c r="L62" i="24"/>
  <c r="M162" i="24"/>
  <c r="H159" i="24"/>
  <c r="K159" i="24" s="1"/>
  <c r="I162" i="24"/>
  <c r="G51" i="26"/>
  <c r="J51" i="26" s="1"/>
  <c r="J17" i="60"/>
  <c r="G16" i="60"/>
  <c r="G42" i="60" s="1"/>
  <c r="K42" i="60" s="1"/>
  <c r="L17" i="60"/>
  <c r="E159" i="24"/>
  <c r="H45" i="8"/>
  <c r="I45" i="8"/>
  <c r="H23" i="11"/>
  <c r="I16" i="9"/>
  <c r="H16" i="9"/>
  <c r="D16" i="18"/>
  <c r="L24" i="26"/>
  <c r="J24" i="26"/>
  <c r="H15" i="12"/>
  <c r="F15" i="63"/>
  <c r="F182" i="24"/>
  <c r="D20" i="12"/>
  <c r="F41" i="11"/>
  <c r="G28" i="26"/>
  <c r="M67" i="24"/>
  <c r="K67" i="24"/>
  <c r="K37" i="24" s="1"/>
  <c r="L67" i="24"/>
  <c r="K22" i="24"/>
  <c r="J17" i="26" s="1"/>
  <c r="D40" i="26"/>
  <c r="L128" i="24"/>
  <c r="E13" i="8"/>
  <c r="E11" i="8" s="1"/>
  <c r="I38" i="8"/>
  <c r="G37" i="8"/>
  <c r="G34" i="26"/>
  <c r="M95" i="24"/>
  <c r="K95" i="24"/>
  <c r="J34" i="26" s="1"/>
  <c r="I26" i="8"/>
  <c r="F18" i="11"/>
  <c r="G43" i="26"/>
  <c r="M144" i="24"/>
  <c r="L144" i="24"/>
  <c r="E49" i="26"/>
  <c r="K162" i="24"/>
  <c r="D36" i="12"/>
  <c r="K43" i="12"/>
  <c r="J43" i="12"/>
  <c r="E94" i="24"/>
  <c r="C21" i="63"/>
  <c r="C19" i="63" s="1"/>
  <c r="D45" i="11"/>
  <c r="D43" i="11" s="1"/>
  <c r="C45" i="11"/>
  <c r="C43" i="11" s="1"/>
  <c r="J50" i="26"/>
  <c r="G49" i="26"/>
  <c r="L50" i="26"/>
  <c r="G27" i="26"/>
  <c r="L27" i="26" s="1"/>
  <c r="M62" i="24"/>
  <c r="G10" i="26"/>
  <c r="L47" i="26"/>
  <c r="H16" i="12"/>
  <c r="G40" i="26"/>
  <c r="L40" i="26" s="1"/>
  <c r="M128" i="24"/>
  <c r="K128" i="24"/>
  <c r="J40" i="26" s="1"/>
  <c r="G52" i="26"/>
  <c r="M168" i="24"/>
  <c r="L168" i="24"/>
  <c r="K168" i="24"/>
  <c r="K63" i="24"/>
  <c r="L63" i="24"/>
  <c r="M63" i="24"/>
  <c r="D18" i="12"/>
  <c r="K154" i="24"/>
  <c r="F39" i="11"/>
  <c r="L31" i="26"/>
  <c r="J31" i="26"/>
  <c r="H31" i="8"/>
  <c r="G21" i="8"/>
  <c r="I23" i="8"/>
  <c r="H23" i="8"/>
  <c r="J25" i="26"/>
  <c r="L25" i="26"/>
  <c r="K29" i="26"/>
  <c r="I13" i="9"/>
  <c r="I43" i="12"/>
  <c r="I18" i="11"/>
  <c r="H18" i="11"/>
  <c r="G11" i="9"/>
  <c r="B13" i="18"/>
  <c r="C15" i="11"/>
  <c r="C12" i="11" s="1"/>
  <c r="C29" i="11" s="1"/>
  <c r="K31" i="26"/>
  <c r="E15" i="11"/>
  <c r="E12" i="11" s="1"/>
  <c r="E29" i="11" s="1"/>
  <c r="F15" i="11" l="1"/>
  <c r="F12" i="11" s="1"/>
  <c r="F29" i="11" s="1"/>
  <c r="J32" i="12"/>
  <c r="K32" i="12"/>
  <c r="B50" i="11"/>
  <c r="B13" i="12"/>
  <c r="B14" i="63" s="1"/>
  <c r="B12" i="63" s="1"/>
  <c r="L45" i="26"/>
  <c r="I39" i="11"/>
  <c r="K45" i="26"/>
  <c r="M94" i="24"/>
  <c r="F17" i="12"/>
  <c r="I17" i="12" s="1"/>
  <c r="G38" i="11"/>
  <c r="I38" i="11" s="1"/>
  <c r="D33" i="26"/>
  <c r="M37" i="24"/>
  <c r="F16" i="12"/>
  <c r="I16" i="12" s="1"/>
  <c r="E11" i="12"/>
  <c r="E9" i="12" s="1"/>
  <c r="K23" i="26"/>
  <c r="L23" i="26"/>
  <c r="G33" i="26"/>
  <c r="L34" i="26"/>
  <c r="K34" i="26"/>
  <c r="G15" i="63"/>
  <c r="H15" i="63" s="1"/>
  <c r="M159" i="24"/>
  <c r="I20" i="12"/>
  <c r="G41" i="11"/>
  <c r="I41" i="11" s="1"/>
  <c r="G21" i="26"/>
  <c r="L21" i="26" s="1"/>
  <c r="D49" i="26"/>
  <c r="G17" i="11"/>
  <c r="I21" i="8"/>
  <c r="H21" i="8"/>
  <c r="F10" i="63"/>
  <c r="E9" i="8"/>
  <c r="H9" i="8" s="1"/>
  <c r="K27" i="26"/>
  <c r="G30" i="63"/>
  <c r="G36" i="8"/>
  <c r="G34" i="8" s="1"/>
  <c r="I37" i="8"/>
  <c r="I36" i="8" s="1"/>
  <c r="I16" i="11"/>
  <c r="H16" i="11"/>
  <c r="K41" i="12"/>
  <c r="J41" i="12"/>
  <c r="I41" i="12"/>
  <c r="C10" i="63"/>
  <c r="D9" i="8"/>
  <c r="K40" i="26"/>
  <c r="F12" i="63"/>
  <c r="D21" i="26"/>
  <c r="K22" i="26"/>
  <c r="G21" i="63"/>
  <c r="G45" i="11"/>
  <c r="L42" i="60"/>
  <c r="C16" i="12"/>
  <c r="E37" i="11"/>
  <c r="D37" i="11"/>
  <c r="C37" i="11"/>
  <c r="L37" i="24"/>
  <c r="I11" i="9"/>
  <c r="G9" i="26"/>
  <c r="K10" i="26"/>
  <c r="J10" i="26"/>
  <c r="J49" i="26"/>
  <c r="E56" i="26"/>
  <c r="J27" i="26"/>
  <c r="G11" i="8"/>
  <c r="G15" i="11"/>
  <c r="I13" i="8"/>
  <c r="H13" i="8"/>
  <c r="H182" i="24"/>
  <c r="K182" i="24" s="1"/>
  <c r="G36" i="11"/>
  <c r="M11" i="24"/>
  <c r="L9" i="26" s="1"/>
  <c r="F15" i="12"/>
  <c r="L11" i="24"/>
  <c r="I18" i="12"/>
  <c r="K18" i="12"/>
  <c r="H13" i="12"/>
  <c r="D13" i="12"/>
  <c r="L9" i="15"/>
  <c r="L49" i="26"/>
  <c r="K11" i="24"/>
  <c r="L11" i="15"/>
  <c r="E19" i="18"/>
  <c r="E18" i="18" s="1"/>
  <c r="K11" i="15"/>
  <c r="J11" i="15"/>
  <c r="L43" i="26"/>
  <c r="K43" i="26"/>
  <c r="J43" i="26"/>
  <c r="F35" i="11"/>
  <c r="F33" i="11" s="1"/>
  <c r="F50" i="11" s="1"/>
  <c r="G13" i="12"/>
  <c r="L16" i="60"/>
  <c r="E28" i="18"/>
  <c r="E25" i="18" s="1"/>
  <c r="F42" i="12"/>
  <c r="F39" i="12" s="1"/>
  <c r="K16" i="60"/>
  <c r="J16" i="60"/>
  <c r="B9" i="18"/>
  <c r="E9" i="9"/>
  <c r="H11" i="9"/>
  <c r="L52" i="26"/>
  <c r="K52" i="26"/>
  <c r="J52" i="26"/>
  <c r="K22" i="12"/>
  <c r="J22" i="12"/>
  <c r="J28" i="12" s="1"/>
  <c r="J9" i="15"/>
  <c r="I37" i="11"/>
  <c r="L51" i="26"/>
  <c r="K51" i="26"/>
  <c r="L28" i="26"/>
  <c r="J28" i="26"/>
  <c r="K28" i="26"/>
  <c r="C15" i="63"/>
  <c r="E182" i="24"/>
  <c r="E41" i="11"/>
  <c r="L159" i="24"/>
  <c r="C20" i="12"/>
  <c r="D41" i="11"/>
  <c r="C41" i="11"/>
  <c r="E38" i="11"/>
  <c r="C17" i="12"/>
  <c r="D38" i="11"/>
  <c r="C38" i="11"/>
  <c r="L94" i="24"/>
  <c r="G28" i="12"/>
  <c r="G22" i="12" s="1"/>
  <c r="H51" i="26"/>
  <c r="H49" i="26" s="1"/>
  <c r="H56" i="26" s="1"/>
  <c r="I159" i="24"/>
  <c r="J42" i="60"/>
  <c r="I9" i="8" l="1"/>
  <c r="B11" i="12"/>
  <c r="J17" i="12"/>
  <c r="K17" i="12"/>
  <c r="H38" i="11"/>
  <c r="J16" i="12"/>
  <c r="K16" i="12"/>
  <c r="K21" i="26"/>
  <c r="J21" i="26"/>
  <c r="F36" i="12"/>
  <c r="K39" i="12"/>
  <c r="J39" i="12"/>
  <c r="I39" i="12"/>
  <c r="G43" i="11"/>
  <c r="I45" i="11"/>
  <c r="H45" i="11"/>
  <c r="I17" i="11"/>
  <c r="H17" i="11"/>
  <c r="D56" i="26"/>
  <c r="K49" i="26"/>
  <c r="G19" i="63"/>
  <c r="H19" i="63" s="1"/>
  <c r="H21" i="63"/>
  <c r="K20" i="12"/>
  <c r="J20" i="12"/>
  <c r="I36" i="11"/>
  <c r="G35" i="11"/>
  <c r="H36" i="11"/>
  <c r="G25" i="11"/>
  <c r="I26" i="11"/>
  <c r="H26" i="11"/>
  <c r="K15" i="12"/>
  <c r="J15" i="12"/>
  <c r="I34" i="8"/>
  <c r="H34" i="8"/>
  <c r="E9" i="18"/>
  <c r="J9" i="26"/>
  <c r="K9" i="26"/>
  <c r="E16" i="18"/>
  <c r="H30" i="63"/>
  <c r="G26" i="63"/>
  <c r="H26" i="63" s="1"/>
  <c r="L33" i="26"/>
  <c r="J33" i="26"/>
  <c r="G56" i="26"/>
  <c r="L56" i="26" s="1"/>
  <c r="C35" i="11"/>
  <c r="C33" i="11" s="1"/>
  <c r="C50" i="11" s="1"/>
  <c r="G12" i="11"/>
  <c r="I15" i="11"/>
  <c r="H15" i="11"/>
  <c r="D35" i="11"/>
  <c r="D33" i="11" s="1"/>
  <c r="D50" i="11" s="1"/>
  <c r="G12" i="63"/>
  <c r="M182" i="24"/>
  <c r="G10" i="63"/>
  <c r="H11" i="8"/>
  <c r="I11" i="8"/>
  <c r="H41" i="11"/>
  <c r="I15" i="12"/>
  <c r="F14" i="63"/>
  <c r="D11" i="12"/>
  <c r="C13" i="12"/>
  <c r="G20" i="12"/>
  <c r="I182" i="24"/>
  <c r="K42" i="12"/>
  <c r="J42" i="12"/>
  <c r="I42" i="12"/>
  <c r="L182" i="24"/>
  <c r="H11" i="12"/>
  <c r="H9" i="12" s="1"/>
  <c r="B9" i="12"/>
  <c r="H37" i="11"/>
  <c r="E35" i="11"/>
  <c r="K33" i="26"/>
  <c r="J56" i="26" l="1"/>
  <c r="J13" i="12"/>
  <c r="K13" i="12"/>
  <c r="G11" i="12"/>
  <c r="G9" i="12" s="1"/>
  <c r="C14" i="63"/>
  <c r="C11" i="12"/>
  <c r="K56" i="26"/>
  <c r="H25" i="11"/>
  <c r="I25" i="11"/>
  <c r="G21" i="11"/>
  <c r="G29" i="11" s="1"/>
  <c r="G14" i="63"/>
  <c r="H14" i="63" s="1"/>
  <c r="H12" i="63"/>
  <c r="H35" i="11"/>
  <c r="E33" i="11"/>
  <c r="D9" i="12"/>
  <c r="I43" i="11"/>
  <c r="H43" i="11"/>
  <c r="G17" i="63"/>
  <c r="G32" i="63" s="1"/>
  <c r="H10" i="63"/>
  <c r="I35" i="11"/>
  <c r="G33" i="11"/>
  <c r="I13" i="12"/>
  <c r="I12" i="11"/>
  <c r="H12" i="11"/>
  <c r="J36" i="12"/>
  <c r="K36" i="12"/>
  <c r="I36" i="12"/>
  <c r="I11" i="12" l="1"/>
  <c r="F9" i="12"/>
  <c r="I9" i="12" s="1"/>
  <c r="I29" i="11"/>
  <c r="H29" i="11"/>
  <c r="K11" i="12"/>
  <c r="J11" i="12"/>
  <c r="E50" i="11"/>
  <c r="E52" i="11" s="1"/>
  <c r="H33" i="11"/>
  <c r="H50" i="11" s="1"/>
  <c r="G50" i="11"/>
  <c r="I50" i="11" s="1"/>
  <c r="I33" i="11"/>
  <c r="C12" i="63"/>
  <c r="C9" i="12"/>
  <c r="I21" i="11"/>
  <c r="H21" i="11"/>
  <c r="G52" i="11" l="1"/>
  <c r="J9" i="12"/>
  <c r="K9" i="12"/>
  <c r="G24" i="9" l="1"/>
  <c r="I24" i="9" s="1"/>
  <c r="G22" i="9"/>
  <c r="G9" i="9" s="1"/>
  <c r="I9" i="9" s="1"/>
  <c r="G30" i="9"/>
  <c r="G27" i="9"/>
  <c r="I27" i="9" s="1"/>
  <c r="G28" i="9"/>
  <c r="I28" i="9" s="1"/>
  <c r="G26" i="9"/>
  <c r="H26" i="9" s="1"/>
  <c r="H22" i="9" l="1"/>
  <c r="H24" i="9"/>
  <c r="I22" i="9"/>
  <c r="H30" i="9"/>
  <c r="H28" i="9"/>
  <c r="H9" i="9"/>
  <c r="I30" i="9"/>
  <c r="I26" i="9"/>
  <c r="F26" i="12"/>
  <c r="E26" i="12"/>
  <c r="E25" i="12"/>
  <c r="F25" i="12"/>
  <c r="A52" i="12"/>
  <c r="F23" i="12"/>
  <c r="E23" i="12"/>
  <c r="A52" i="12" a="1"/>
  <c r="V54" i="24"/>
  <c r="F24" i="12"/>
  <c r="E24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<sst xmlns="http://schemas.openxmlformats.org/spreadsheetml/2006/main" count="1057" uniqueCount="545">
  <si>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</si>
  <si>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</si>
  <si>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</si>
  <si>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</si>
  <si>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</si>
  <si>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</si>
  <si>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</si>
  <si>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</si>
  <si>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</si>
  <si>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</si>
  <si>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</si>
  <si>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</si>
  <si>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</si>
  <si>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</si>
  <si>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</si>
  <si>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</si>
  <si>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</si>
  <si>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</si>
  <si>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</si>
  <si>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</si>
  <si>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</si>
  <si>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</si>
  <si>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</si>
  <si>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</si>
  <si>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VARIACION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</si>
  <si>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</si>
  <si>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</si>
  <si>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</si>
  <si>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</si>
  <si>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</si>
  <si>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</si>
  <si>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   4. Ingresos Varios</t>
  </si>
  <si>
    <t xml:space="preserve"> II  Ingreso de Capital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</si>
  <si>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</si>
  <si>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</si>
  <si>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</si>
  <si>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</si>
  <si>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OTROS - BIBLIOTECA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</si>
  <si>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</si>
  <si>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</si>
  <si>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</si>
  <si>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</si>
  <si>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SALDO A LA FECHA</t>
  </si>
  <si>
    <t>EJECUCIÓN PORCENTUAL</t>
  </si>
  <si>
    <t>COMPROMETIDO</t>
  </si>
  <si>
    <t>PAGADO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</si>
  <si>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</si>
  <si>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</si>
  <si>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</si>
  <si>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</si>
  <si>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</si>
  <si>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ANUAL</t>
  </si>
  <si>
    <t>DIRECCION Y ADMON  GENERAL</t>
  </si>
  <si>
    <t>EDUC. SUPERIOR TECNOLOGICA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</si>
  <si>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</si>
  <si>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</si>
  <si>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</si>
  <si>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</si>
  <si>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</si>
  <si>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</si>
  <si>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</si>
  <si>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</si>
  <si>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</si>
  <si>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</si>
  <si>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>RECAUDACION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</si>
  <si>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</si>
  <si>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</si>
  <si>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</si>
  <si>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</si>
  <si>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</si>
  <si>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</si>
  <si>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</si>
  <si>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</si>
  <si>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</si>
  <si>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</si>
  <si>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</si>
  <si>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</si>
  <si>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</si>
  <si>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</si>
  <si>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</si>
  <si>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</si>
  <si>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</si>
  <si>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</si>
  <si>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</si>
  <si>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</si>
  <si>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</si>
  <si>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</si>
  <si>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</si>
  <si>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</si>
  <si>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</si>
  <si>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</si>
  <si>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1.95.1.2.4.1.97</t>
  </si>
  <si>
    <t xml:space="preserve">      3.3. Otros  -Biblioteca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</si>
  <si>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</si>
  <si>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</si>
  <si>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</si>
  <si>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</si>
  <si>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</si>
  <si>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</si>
  <si>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</si>
  <si>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</si>
  <si>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</si>
  <si>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</si>
  <si>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</si>
  <si>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</si>
  <si>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</si>
  <si>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</si>
  <si>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</si>
  <si>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</si>
  <si>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</si>
  <si>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</si>
  <si>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</si>
  <si>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</si>
  <si>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</si>
  <si>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</si>
  <si>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</si>
  <si>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 xml:space="preserve">  CODIFICACION PRESUPUESTARIA</t>
  </si>
  <si>
    <t xml:space="preserve"> RECAUDACION</t>
  </si>
  <si>
    <t>ACUMULADA</t>
  </si>
  <si>
    <t>ABOLUTA</t>
  </si>
  <si>
    <t xml:space="preserve">    LABORATORIOS Y C. ESPECIALIZADOS</t>
  </si>
  <si>
    <t xml:space="preserve"> 1.2.1.4.12</t>
  </si>
  <si>
    <t xml:space="preserve"> 1.2.1.4.99</t>
  </si>
  <si>
    <t>1.2.4.1.24</t>
  </si>
  <si>
    <t>1.2.4.1.97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</si>
  <si>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</si>
  <si>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</si>
  <si>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</si>
  <si>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</si>
  <si>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</si>
  <si>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</si>
  <si>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</si>
  <si>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</si>
  <si>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</si>
  <si>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</si>
  <si>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</si>
  <si>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</si>
  <si>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</si>
  <si>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</si>
  <si>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</si>
  <si>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</si>
  <si>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</si>
  <si>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</si>
  <si>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</si>
  <si>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</si>
  <si>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</si>
  <si>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</si>
  <si>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</si>
  <si>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</si>
  <si>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</si>
  <si>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</si>
  <si>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</si>
  <si>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</si>
  <si>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</si>
  <si>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</si>
  <si>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</si>
  <si>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</si>
  <si>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</si>
  <si>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</si>
  <si>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</si>
  <si>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</si>
  <si>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</si>
  <si>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</si>
  <si>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</si>
  <si>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</si>
  <si>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</si>
  <si>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</si>
  <si>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</si>
  <si>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</si>
  <si>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</si>
  <si>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</si>
  <si>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</si>
  <si>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</si>
  <si>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</si>
  <si>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</si>
  <si>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</si>
  <si>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</si>
  <si>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</si>
  <si>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</si>
  <si>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</si>
  <si>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</si>
  <si>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</si>
  <si>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II  Gastos DE CAPITAL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</si>
  <si>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</si>
  <si>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</si>
  <si>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</si>
  <si>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</si>
  <si>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</si>
  <si>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</si>
  <si>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</si>
  <si>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</si>
  <si>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</si>
  <si>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</si>
  <si>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COLUMNA SUMATORIA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</si>
  <si>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</si>
  <si>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</si>
  <si>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</si>
  <si>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</si>
  <si>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</si>
  <si>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</si>
  <si>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</si>
  <si>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</si>
  <si>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</si>
  <si>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</si>
  <si>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</si>
  <si>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</si>
  <si>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</si>
  <si>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</si>
  <si>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</si>
  <si>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</si>
  <si>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</si>
  <si>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</si>
  <si>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</si>
  <si>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</si>
  <si>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</si>
  <si>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</si>
  <si>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</si>
  <si>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</si>
  <si>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</si>
  <si>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</si>
  <si>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</si>
  <si>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</si>
  <si>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</si>
  <si>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</si>
  <si>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</si>
  <si>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</si>
  <si>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</si>
  <si>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</si>
  <si>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</si>
  <si>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</si>
  <si>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</si>
  <si>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</si>
  <si>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</si>
  <si>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</si>
  <si>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</si>
  <si>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</si>
  <si>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</si>
  <si>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</si>
  <si>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</si>
  <si>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097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</si>
  <si>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</si>
  <si>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</si>
  <si>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</si>
  <si>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</si>
  <si>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</si>
  <si>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</si>
  <si>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</si>
  <si>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</si>
  <si>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</si>
  <si>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</si>
  <si>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</si>
  <si>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</si>
  <si>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</si>
  <si>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</si>
  <si>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</si>
  <si>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</si>
  <si>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</si>
  <si>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</si>
  <si>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</si>
  <si>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</si>
  <si>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</si>
  <si>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</si>
  <si>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</si>
  <si>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</si>
  <si>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</si>
  <si>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</si>
  <si>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</si>
  <si>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</si>
  <si>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</si>
  <si>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</si>
  <si>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</si>
  <si>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</si>
  <si>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</si>
  <si>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</si>
  <si>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</si>
  <si>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</si>
  <si>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</si>
  <si>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</si>
  <si>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</si>
  <si>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</si>
  <si>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</si>
  <si>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</si>
  <si>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</si>
  <si>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</si>
  <si>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</si>
  <si>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</si>
  <si>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</si>
  <si>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</si>
  <si>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</si>
  <si>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</si>
  <si>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</si>
  <si>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</si>
  <si>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 xml:space="preserve">                                                                                                                            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</si>
  <si>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</si>
  <si>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</si>
  <si>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</si>
  <si>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</si>
  <si>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</si>
  <si>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</si>
  <si>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</si>
  <si>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</si>
  <si>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</si>
  <si>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</si>
  <si>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</si>
  <si>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</si>
  <si>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</si>
  <si>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</si>
  <si>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</si>
  <si>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</si>
  <si>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</si>
  <si>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</si>
  <si>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</si>
  <si>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</si>
  <si>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</si>
  <si>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</si>
  <si>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</si>
  <si>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</si>
  <si>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</si>
  <si>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</si>
  <si>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</si>
  <si>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</si>
  <si>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</si>
  <si>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</si>
  <si>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</si>
  <si>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</si>
  <si>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</si>
  <si>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</si>
  <si>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</si>
  <si>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</si>
  <si>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</si>
  <si>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</si>
  <si>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</si>
  <si>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</si>
  <si>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</si>
  <si>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</si>
  <si>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</si>
  <si>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</si>
  <si>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</si>
  <si>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</si>
  <si>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</si>
  <si>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</si>
  <si>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</si>
  <si>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</si>
  <si>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</si>
  <si>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</si>
  <si>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</si>
  <si>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</si>
  <si>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</si>
  <si>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</si>
  <si>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</si>
  <si>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</si>
  <si>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</si>
  <si>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</si>
  <si>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</si>
  <si>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</si>
  <si>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</si>
  <si>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</si>
  <si>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</si>
  <si>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</si>
  <si>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</si>
  <si>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</si>
  <si>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</si>
  <si>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</si>
  <si>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</si>
  <si>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</si>
  <si>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</si>
  <si>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</si>
  <si>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</si>
  <si>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</si>
  <si>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</si>
  <si>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</si>
  <si>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</si>
  <si>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</si>
  <si>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</si>
  <si>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</si>
  <si>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</si>
  <si>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</si>
  <si>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</si>
  <si>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</si>
  <si>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</si>
  <si>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</si>
  <si>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</si>
  <si>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</si>
  <si>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</si>
  <si>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</si>
  <si>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</si>
  <si>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</si>
  <si>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</si>
  <si>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</si>
  <si>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</si>
  <si>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</si>
  <si>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</si>
  <si>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|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</si>
  <si>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</si>
  <si>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</si>
  <si>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</si>
  <si>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</si>
  <si>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</si>
  <si>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</si>
  <si>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</si>
  <si>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</si>
  <si>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</si>
  <si>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</si>
  <si>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</si>
  <si>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</si>
  <si>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</si>
  <si>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</si>
  <si>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</si>
  <si>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UTILES DE ASEO</t>
  </si>
  <si>
    <t>274</t>
  </si>
  <si>
    <t>UTILES DE LABORATORIOS</t>
  </si>
  <si>
    <t>275</t>
  </si>
  <si>
    <t>UTILES DE OFICINA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</si>
  <si>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</si>
  <si>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</si>
  <si>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</si>
  <si>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</si>
  <si>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</si>
  <si>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</si>
  <si>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</si>
  <si>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</si>
  <si>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</si>
  <si>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</si>
  <si>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</si>
  <si>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</si>
  <si>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</si>
  <si>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</si>
  <si>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</si>
  <si>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</si>
  <si>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</si>
  <si>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</si>
  <si>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</si>
  <si>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</si>
  <si>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</si>
  <si>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</si>
  <si>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</si>
  <si>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</si>
  <si>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</si>
  <si>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</si>
  <si>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</si>
  <si>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</si>
  <si>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</si>
  <si>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</si>
  <si>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</si>
  <si>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</si>
  <si>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</si>
  <si>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</si>
  <si>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622</t>
  </si>
  <si>
    <t>BECAS UNIVERSITARIAS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</si>
  <si>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</si>
  <si>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</si>
  <si>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</si>
  <si>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</si>
  <si>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</si>
  <si>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</si>
  <si>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</si>
  <si>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</si>
  <si>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</si>
  <si>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</si>
  <si>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</si>
  <si>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</si>
  <si>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</si>
  <si>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</si>
  <si>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</si>
  <si>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</si>
  <si>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UNIVERSIDAD TECNOLÓGICA DE PANAMA</t>
  </si>
  <si>
    <t xml:space="preserve"> EJECUCION PRESUPUESTARIA  DE FUNCIONAMIENTO </t>
  </si>
  <si>
    <t>CTA.</t>
  </si>
  <si>
    <t>120</t>
  </si>
  <si>
    <t>CR.REC.POR S. NO PERS.</t>
  </si>
  <si>
    <t>PENSIÓN Y JUBILACIONES</t>
  </si>
  <si>
    <t>TRANSF. CORRIENTES A INST.PUB.</t>
  </si>
  <si>
    <t>CRED. REC. POR TRANSF.</t>
  </si>
  <si>
    <t xml:space="preserve">    Fuente: Dirección Nacional de Presupuesto.</t>
  </si>
  <si>
    <t xml:space="preserve">  EJECUCION PRESUPUESTARIA SEGÚN ESTRUCTURA PROGRAMATICA  </t>
  </si>
  <si>
    <t>P</t>
  </si>
  <si>
    <t>SALDO  A LA FECHA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</si>
  <si>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</si>
  <si>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</si>
  <si>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</si>
  <si>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</si>
  <si>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</si>
  <si>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</si>
  <si>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</si>
  <si>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</si>
  <si>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</si>
  <si>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</si>
  <si>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</si>
  <si>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PROGRAMAS-PROYECTOS</t>
  </si>
  <si>
    <t>SALDO ANUAL</t>
  </si>
  <si>
    <t>PROGRAMA DE CONSTRUCCIONES</t>
  </si>
  <si>
    <t>CONSTRUCCION II FASE DEL PROYECTO DEL CAMPUS CENTRAL</t>
  </si>
  <si>
    <t>MANTENIMIENTO PREVENTIVO Y CORRECTIVO DE LA INFRAESTRUCTURA FISICA Y PATRIMONIAL DE LA UTP A NIVEL NACIONAL.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</si>
  <si>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</si>
  <si>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</si>
  <si>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</si>
  <si>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FORTALECIMIENTO DE LA SEDE REGIONAL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</si>
  <si>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</si>
  <si>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</si>
  <si>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</si>
  <si>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</si>
  <si>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</si>
  <si>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</si>
  <si>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</si>
  <si>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</si>
  <si>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</si>
  <si>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</si>
  <si>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</si>
  <si>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</si>
  <si>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HABILITACIÓN DE LABORATORIOS DE QUÍMICA CAMPUS CENTRAL</t>
  </si>
  <si>
    <t>INVESTIGACION Y TRANSFERENCIA DE TECNOLOGÍA</t>
  </si>
  <si>
    <t>DESARROLLO DE CONSULTORÍAS PARA PROYECOTS DE ESTADO</t>
  </si>
  <si>
    <t>FORTALECIMIENTO DE LA GESTIÓN DE PATENTES TECNOLÓGICAS</t>
  </si>
  <si>
    <t>DESARROLLO DEL CENTRO DE ESTUDIOS MULTIDISCIPLINARIO EN CIENCIAS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</si>
  <si>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</si>
  <si>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</si>
  <si>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</si>
  <si>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</si>
  <si>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</si>
  <si>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</si>
  <si>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</si>
  <si>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</si>
  <si>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</si>
  <si>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</si>
  <si>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</si>
  <si>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</si>
  <si>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</si>
  <si>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</si>
  <si>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</si>
  <si>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</si>
  <si>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</si>
  <si>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</si>
  <si>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VI. Resultado Presupuestario (III -1V + V)</t>
  </si>
  <si>
    <t xml:space="preserve">        Inversión Física  </t>
  </si>
  <si>
    <t xml:space="preserve"> OBJETO DE GASTO: AL 30 DE OCTUBRE  DE 2025</t>
  </si>
  <si>
    <t xml:space="preserve"> NIVEL DE CUENTA AL 30 DE OCTUBRE DE 2025 (En Balboas) </t>
  </si>
  <si>
    <t>CONTENCIÓN</t>
  </si>
  <si>
    <t xml:space="preserve">   AL 30 DE OCTUBRE DE 2025 (En Balboas)</t>
  </si>
  <si>
    <t>POR PROGRAMA  AL 30 DE  OCTUBRE DE 2025 (En Balboas)</t>
  </si>
  <si>
    <t>REHABILITACIÓN DE LOS ESTACIONAMIENTOS DEL CENTRO R. CHIRIQUÍ</t>
  </si>
  <si>
    <t>MEJORAMIENTO DE LAB. ACADÉMICOS Y DE ÁREAS DOC. Y ADM. FII-UTP</t>
  </si>
  <si>
    <t>HABILITACIÓN DEL LAB. DE ANÁLISIS INDUSTRIALES Y CIENCIA (LABAICA</t>
  </si>
  <si>
    <t>DESARROLLO DEL HUB DE FORMACIÓN PARA LA TRANSF. DIGITAL E INDUSTRA 4.0</t>
  </si>
  <si>
    <t>AL 30 DE OCTUBRE DE 2025 (En Balboas)</t>
  </si>
  <si>
    <t>AL 30 DE OCTUBRE DE 2025 (En Miles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</si>
</sst>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.0"/>
    <numFmt numFmtId="170" formatCode="#,##0\ ;\(#,##0\)"/>
    <numFmt numFmtId="171" formatCode="#,##0.000000000"/>
    <numFmt numFmtId="172" formatCode="#,##0.0\ ;\(#,##0.0\)"/>
    <numFmt numFmtId="173" formatCode="#,##0.0_);[Red]\(#,##0.0\)"/>
    <numFmt numFmtId="174" formatCode="#,##0\ ;&quot; (&quot;#,##0\);&quot; - &quot;;@\ "/>
    <numFmt numFmtId="175" formatCode="dd/mmm"/>
  </numFmts>
  <fonts count="78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sz val="11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10"/>
      <name val="Arial Black"/>
      <family val="2"/>
    </font>
    <font>
      <b/>
      <sz val="8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</fills>
  <borders count="156">
    <border>
      <left/>
      <right/>
      <top/>
      <bottom/>
      <diagonal/>
    </border>
    <border>
      <left/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 style="thin">
        <color theme="3" tint="-0.499984740745262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/>
      <diagonal/>
    </border>
    <border>
      <left style="thin">
        <color theme="3" tint="-0.499984740745262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3" tint="-0.499984740745262"/>
      </right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 style="thin">
        <color auto="1"/>
      </top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/>
      <top/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/>
      <diagonal/>
    </border>
    <border>
      <left style="thin">
        <color indexed="62"/>
      </left>
      <right/>
      <top style="thin">
        <color indexed="62"/>
      </top>
      <bottom/>
      <diagonal/>
    </border>
    <border>
      <left/>
      <right/>
      <top style="thin">
        <color indexed="62"/>
      </top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indexed="62"/>
      </bottom>
      <diagonal/>
    </border>
    <border>
      <left/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/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auto="1"/>
      </top>
      <bottom style="thin">
        <color auto="1"/>
      </bottom>
      <diagonal/>
    </border>
    <border>
      <left/>
      <right style="thin">
        <color indexed="62"/>
      </right>
      <top style="thin">
        <color rgb="FF000066"/>
      </top>
      <bottom style="thin">
        <color rgb="FF000066"/>
      </bottom>
      <diagonal/>
    </border>
    <border>
      <left style="thin">
        <color indexed="62"/>
      </left>
      <right style="thin">
        <color indexed="62"/>
      </right>
      <top style="thin">
        <color rgb="FF000066"/>
      </top>
      <bottom style="thin">
        <color rgb="FF000066"/>
      </bottom>
      <diagonal/>
    </border>
    <border>
      <left/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/>
      <bottom style="thin">
        <color indexed="62"/>
      </bottom>
      <diagonal/>
    </border>
    <border>
      <left style="thin">
        <color indexed="62"/>
      </left>
      <right/>
      <top style="thin">
        <color indexed="62"/>
      </top>
      <bottom style="thin">
        <color auto="1"/>
      </bottom>
      <diagonal/>
    </border>
    <border>
      <left style="thin">
        <color indexed="62"/>
      </left>
      <right/>
      <top style="thin">
        <color auto="1"/>
      </top>
      <bottom style="thin">
        <color auto="1"/>
      </bottom>
      <diagonal/>
    </border>
    <border>
      <left style="thin">
        <color indexed="62"/>
      </left>
      <right/>
      <top style="thin">
        <color indexed="62"/>
      </top>
      <bottom style="thin">
        <color indexed="62"/>
      </bottom>
      <diagonal/>
    </border>
    <border>
      <left style="thin">
        <color indexed="62"/>
      </left>
      <right/>
      <top style="thin">
        <color rgb="FF000066"/>
      </top>
      <bottom style="thin">
        <color rgb="FF000066"/>
      </bottom>
      <diagonal/>
    </border>
    <border>
      <left/>
      <right style="thin">
        <color theme="3" tint="-0.499984740745262"/>
      </right>
      <top style="medium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medium">
        <color auto="1"/>
      </top>
      <bottom/>
      <diagonal/>
    </border>
    <border>
      <left style="thin">
        <color theme="3" tint="-0.499984740745262"/>
      </left>
      <right/>
      <top style="medium">
        <color auto="1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auto="1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/>
      <right style="thin">
        <color indexed="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 style="thin">
        <color indexed="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/>
      <top style="medium">
        <color rgb="FF000066"/>
      </top>
      <bottom style="medium">
        <color rgb="FF000066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rgb="FF000066"/>
      </top>
      <bottom style="medium">
        <color rgb="FF000066"/>
      </bottom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/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2"/>
      </left>
      <right style="thin">
        <color indexed="62"/>
      </right>
      <top style="medium">
        <color auto="1"/>
      </top>
      <bottom style="medium">
        <color auto="1"/>
      </bottom>
      <diagonal/>
    </border>
    <border>
      <left/>
      <right style="thin">
        <color indexed="62"/>
      </right>
      <top style="medium">
        <color auto="1"/>
      </top>
      <bottom style="medium">
        <color auto="1"/>
      </bottom>
      <diagonal/>
    </border>
    <border>
      <left style="thin">
        <color indexed="62"/>
      </left>
      <right/>
      <top style="medium">
        <color auto="1"/>
      </top>
      <bottom style="medium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medium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medium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thin">
        <color auto="1"/>
      </bottom>
      <diagonal/>
    </border>
    <border>
      <left/>
      <right/>
      <top style="thin">
        <color rgb="FF002060"/>
      </top>
      <bottom style="thin">
        <color auto="1"/>
      </bottom>
      <diagonal/>
    </border>
    <border>
      <left/>
      <right style="thin">
        <color rgb="FF002060"/>
      </right>
      <top style="thin">
        <color rgb="FF002060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3" tint="-0.499984740745262"/>
      </bottom>
      <diagonal/>
    </border>
    <border>
      <left style="thin">
        <color auto="1"/>
      </left>
      <right/>
      <top style="thin">
        <color auto="1"/>
      </top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auto="1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auto="1"/>
      </top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auto="1"/>
      </right>
      <top style="thin">
        <color theme="3" tint="-0.499984740745262"/>
      </top>
      <bottom style="thin">
        <color auto="1"/>
      </bottom>
      <diagonal/>
    </border>
    <border>
      <left style="thin">
        <color auto="1"/>
      </left>
      <right style="thin">
        <color rgb="FF002060"/>
      </right>
      <top/>
      <bottom/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auto="1"/>
      </right>
      <top/>
      <bottom style="thin">
        <color auto="1"/>
      </bottom>
      <diagonal/>
    </border>
    <border>
      <left style="thin">
        <color rgb="FF002060"/>
      </left>
      <right/>
      <top/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/>
      <bottom style="thin">
        <color indexed="18"/>
      </bottom>
      <diagonal/>
    </border>
    <border>
      <left/>
      <right style="thin">
        <color rgb="FF002060"/>
      </right>
      <top style="thin">
        <color rgb="FF002060"/>
      </top>
      <bottom style="thin">
        <color indexed="62"/>
      </bottom>
      <diagonal/>
    </border>
    <border>
      <left/>
      <right style="thin">
        <color rgb="FF002060"/>
      </right>
      <top style="thin">
        <color indexed="62"/>
      </top>
      <bottom style="thin">
        <color indexed="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/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indexed="62"/>
      </left>
      <right style="thin">
        <color indexed="64"/>
      </right>
      <top style="thin">
        <color indexed="62"/>
      </top>
      <bottom/>
      <diagonal/>
    </border>
    <border>
      <left style="thin">
        <color indexed="62"/>
      </left>
      <right style="thin">
        <color indexed="64"/>
      </right>
      <top/>
      <bottom/>
      <diagonal/>
    </border>
  </borders>
  <cellStyleXfs count="6">
    <xf numFmtId="0" fontId="0" fillId="0" borderId="0"/>
    <xf numFmtId="164" fontId="39" fillId="0" borderId="0" applyFill="0" applyBorder="0" applyAlignment="0" applyProtection="0"/>
    <xf numFmtId="165" fontId="39" fillId="0" borderId="0" applyFill="0" applyBorder="0" applyAlignment="0" applyProtection="0"/>
    <xf numFmtId="0" fontId="39" fillId="0" borderId="0"/>
    <xf numFmtId="0" fontId="39" fillId="0" borderId="0"/>
    <xf numFmtId="0" fontId="62" fillId="0" borderId="0"/>
  </cellStyleXfs>
  <cellXfs count="759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8" xfId="0" applyBorder="1"/>
    <xf numFmtId="0" fontId="7" fillId="0" borderId="0" xfId="0" applyFont="1"/>
    <xf numFmtId="0" fontId="8" fillId="0" borderId="0" xfId="0" applyFont="1" applyAlignment="1">
      <alignment horizontal="center"/>
    </xf>
    <xf numFmtId="3" fontId="14" fillId="0" borderId="0" xfId="0" applyNumberFormat="1" applyFont="1"/>
    <xf numFmtId="4" fontId="0" fillId="0" borderId="0" xfId="0" applyNumberFormat="1"/>
    <xf numFmtId="0" fontId="5" fillId="0" borderId="0" xfId="0" applyFont="1"/>
    <xf numFmtId="0" fontId="16" fillId="0" borderId="0" xfId="0" applyFont="1"/>
    <xf numFmtId="4" fontId="14" fillId="0" borderId="0" xfId="0" applyNumberFormat="1" applyFont="1"/>
    <xf numFmtId="0" fontId="18" fillId="0" borderId="0" xfId="0" applyFont="1"/>
    <xf numFmtId="0" fontId="7" fillId="4" borderId="13" xfId="0" applyFont="1" applyFill="1" applyBorder="1" applyAlignment="1">
      <alignment horizontal="center" vertical="center"/>
    </xf>
    <xf numFmtId="0" fontId="7" fillId="4" borderId="32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3" fontId="8" fillId="0" borderId="17" xfId="0" applyNumberFormat="1" applyFont="1" applyBorder="1"/>
    <xf numFmtId="3" fontId="8" fillId="0" borderId="33" xfId="0" applyNumberFormat="1" applyFont="1" applyBorder="1"/>
    <xf numFmtId="3" fontId="18" fillId="0" borderId="6" xfId="0" applyNumberFormat="1" applyFont="1" applyBorder="1"/>
    <xf numFmtId="3" fontId="18" fillId="0" borderId="34" xfId="0" applyNumberFormat="1" applyFont="1" applyBorder="1"/>
    <xf numFmtId="0" fontId="0" fillId="0" borderId="35" xfId="0" applyBorder="1" applyAlignment="1">
      <alignment horizontal="left" vertical="center" wrapText="1"/>
    </xf>
    <xf numFmtId="3" fontId="18" fillId="0" borderId="6" xfId="0" applyNumberFormat="1" applyFont="1" applyBorder="1" applyAlignment="1">
      <alignment vertical="center"/>
    </xf>
    <xf numFmtId="3" fontId="18" fillId="0" borderId="34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7" fillId="0" borderId="36" xfId="0" applyFont="1" applyBorder="1" applyAlignment="1">
      <alignment horizontal="center" vertical="center"/>
    </xf>
    <xf numFmtId="3" fontId="8" fillId="3" borderId="37" xfId="0" applyNumberFormat="1" applyFont="1" applyFill="1" applyBorder="1"/>
    <xf numFmtId="0" fontId="0" fillId="0" borderId="35" xfId="0" applyBorder="1" applyAlignment="1">
      <alignment wrapText="1"/>
    </xf>
    <xf numFmtId="3" fontId="18" fillId="3" borderId="6" xfId="0" applyNumberFormat="1" applyFont="1" applyFill="1" applyBorder="1"/>
    <xf numFmtId="3" fontId="18" fillId="3" borderId="34" xfId="0" applyNumberFormat="1" applyFont="1" applyFill="1" applyBorder="1"/>
    <xf numFmtId="3" fontId="19" fillId="0" borderId="34" xfId="0" applyNumberFormat="1" applyFont="1" applyBorder="1"/>
    <xf numFmtId="3" fontId="18" fillId="3" borderId="0" xfId="0" applyNumberFormat="1" applyFont="1" applyFill="1"/>
    <xf numFmtId="0" fontId="0" fillId="0" borderId="28" xfId="0" applyBorder="1"/>
    <xf numFmtId="0" fontId="0" fillId="0" borderId="13" xfId="0" applyBorder="1"/>
    <xf numFmtId="0" fontId="0" fillId="0" borderId="18" xfId="0" applyBorder="1"/>
    <xf numFmtId="3" fontId="0" fillId="0" borderId="19" xfId="0" applyNumberFormat="1" applyBorder="1"/>
    <xf numFmtId="3" fontId="0" fillId="0" borderId="13" xfId="0" applyNumberFormat="1" applyBorder="1"/>
    <xf numFmtId="0" fontId="0" fillId="0" borderId="26" xfId="0" applyBorder="1"/>
    <xf numFmtId="0" fontId="0" fillId="0" borderId="11" xfId="0" applyBorder="1"/>
    <xf numFmtId="3" fontId="0" fillId="0" borderId="26" xfId="0" applyNumberFormat="1" applyBorder="1"/>
    <xf numFmtId="3" fontId="0" fillId="0" borderId="11" xfId="0" applyNumberFormat="1" applyBorder="1"/>
    <xf numFmtId="0" fontId="7" fillId="0" borderId="38" xfId="0" applyFont="1" applyBorder="1" applyAlignment="1">
      <alignment horizontal="center" vertical="center"/>
    </xf>
    <xf numFmtId="3" fontId="8" fillId="0" borderId="13" xfId="0" applyNumberFormat="1" applyFont="1" applyBorder="1"/>
    <xf numFmtId="3" fontId="8" fillId="0" borderId="18" xfId="0" applyNumberFormat="1" applyFont="1" applyBorder="1"/>
    <xf numFmtId="3" fontId="8" fillId="0" borderId="19" xfId="0" applyNumberFormat="1" applyFont="1" applyBorder="1"/>
    <xf numFmtId="0" fontId="0" fillId="0" borderId="35" xfId="0" applyBorder="1" applyAlignment="1">
      <alignment horizontal="left" vertical="center"/>
    </xf>
    <xf numFmtId="3" fontId="18" fillId="0" borderId="7" xfId="0" applyNumberFormat="1" applyFont="1" applyBorder="1"/>
    <xf numFmtId="3" fontId="19" fillId="0" borderId="0" xfId="0" applyNumberFormat="1" applyFont="1"/>
    <xf numFmtId="3" fontId="18" fillId="0" borderId="12" xfId="0" applyNumberFormat="1" applyFont="1" applyBorder="1"/>
    <xf numFmtId="3" fontId="18" fillId="0" borderId="39" xfId="0" applyNumberFormat="1" applyFont="1" applyBorder="1"/>
    <xf numFmtId="0" fontId="0" fillId="0" borderId="35" xfId="0" applyBorder="1" applyAlignment="1">
      <alignment vertical="center"/>
    </xf>
    <xf numFmtId="3" fontId="19" fillId="0" borderId="40" xfId="0" applyNumberFormat="1" applyFont="1" applyBorder="1"/>
    <xf numFmtId="3" fontId="18" fillId="3" borderId="12" xfId="0" applyNumberFormat="1" applyFont="1" applyFill="1" applyBorder="1"/>
    <xf numFmtId="3" fontId="18" fillId="3" borderId="39" xfId="0" applyNumberFormat="1" applyFont="1" applyFill="1" applyBorder="1"/>
    <xf numFmtId="0" fontId="0" fillId="0" borderId="8" xfId="0" applyBorder="1" applyAlignment="1">
      <alignment horizontal="left" vertical="center" wrapText="1"/>
    </xf>
    <xf numFmtId="3" fontId="19" fillId="0" borderId="15" xfId="0" applyNumberFormat="1" applyFont="1" applyBorder="1"/>
    <xf numFmtId="3" fontId="19" fillId="0" borderId="12" xfId="0" applyNumberFormat="1" applyFont="1" applyBorder="1"/>
    <xf numFmtId="0" fontId="12" fillId="0" borderId="0" xfId="0" applyFont="1"/>
    <xf numFmtId="0" fontId="14" fillId="0" borderId="0" xfId="0" applyFont="1" applyAlignment="1">
      <alignment horizontal="left" vertical="center" wrapText="1"/>
    </xf>
    <xf numFmtId="169" fontId="0" fillId="0" borderId="0" xfId="0" applyNumberFormat="1"/>
    <xf numFmtId="0" fontId="7" fillId="4" borderId="4" xfId="0" applyFont="1" applyFill="1" applyBorder="1" applyAlignment="1">
      <alignment horizontal="center" vertical="center" wrapText="1"/>
    </xf>
    <xf numFmtId="3" fontId="8" fillId="0" borderId="4" xfId="0" applyNumberFormat="1" applyFont="1" applyBorder="1"/>
    <xf numFmtId="170" fontId="18" fillId="0" borderId="34" xfId="0" applyNumberFormat="1" applyFont="1" applyBorder="1"/>
    <xf numFmtId="3" fontId="18" fillId="0" borderId="0" xfId="0" applyNumberFormat="1" applyFont="1"/>
    <xf numFmtId="170" fontId="18" fillId="0" borderId="34" xfId="0" applyNumberFormat="1" applyFont="1" applyBorder="1" applyAlignment="1">
      <alignment vertical="center" wrapText="1"/>
    </xf>
    <xf numFmtId="3" fontId="18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0" fontId="18" fillId="0" borderId="34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3" fontId="8" fillId="0" borderId="32" xfId="0" applyNumberFormat="1" applyFont="1" applyBorder="1"/>
    <xf numFmtId="3" fontId="8" fillId="0" borderId="28" xfId="0" applyNumberFormat="1" applyFont="1" applyBorder="1"/>
    <xf numFmtId="3" fontId="2" fillId="0" borderId="0" xfId="0" applyNumberFormat="1" applyFont="1"/>
    <xf numFmtId="0" fontId="14" fillId="5" borderId="38" xfId="0" applyFont="1" applyFill="1" applyBorder="1" applyAlignment="1">
      <alignment horizontal="center" vertical="center" wrapText="1"/>
    </xf>
    <xf numFmtId="0" fontId="14" fillId="5" borderId="45" xfId="0" applyFont="1" applyFill="1" applyBorder="1" applyAlignment="1">
      <alignment horizontal="center" vertical="center" wrapText="1"/>
    </xf>
    <xf numFmtId="0" fontId="14" fillId="5" borderId="37" xfId="0" applyFont="1" applyFill="1" applyBorder="1" applyAlignment="1">
      <alignment horizontal="center" vertical="center"/>
    </xf>
    <xf numFmtId="0" fontId="14" fillId="5" borderId="46" xfId="0" applyFont="1" applyFill="1" applyBorder="1" applyAlignment="1">
      <alignment horizontal="center" vertical="center"/>
    </xf>
    <xf numFmtId="0" fontId="14" fillId="5" borderId="47" xfId="0" applyFont="1" applyFill="1" applyBorder="1" applyAlignment="1">
      <alignment horizontal="center" vertical="center"/>
    </xf>
    <xf numFmtId="0" fontId="14" fillId="5" borderId="45" xfId="0" applyFont="1" applyFill="1" applyBorder="1" applyAlignment="1">
      <alignment horizontal="center" vertical="center"/>
    </xf>
    <xf numFmtId="3" fontId="14" fillId="5" borderId="45" xfId="0" applyNumberFormat="1" applyFont="1" applyFill="1" applyBorder="1" applyAlignment="1">
      <alignment horizontal="center" vertical="center" wrapText="1"/>
    </xf>
    <xf numFmtId="0" fontId="12" fillId="6" borderId="3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/>
    </xf>
    <xf numFmtId="0" fontId="20" fillId="3" borderId="6" xfId="0" applyFont="1" applyFill="1" applyBorder="1" applyAlignment="1">
      <alignment horizontal="center" vertical="center"/>
    </xf>
    <xf numFmtId="0" fontId="20" fillId="3" borderId="48" xfId="0" applyFont="1" applyFill="1" applyBorder="1" applyAlignment="1">
      <alignment horizontal="center" vertical="center"/>
    </xf>
    <xf numFmtId="0" fontId="20" fillId="3" borderId="6" xfId="0" applyFont="1" applyFill="1" applyBorder="1" applyAlignment="1">
      <alignment horizontal="center" vertical="center" wrapText="1"/>
    </xf>
    <xf numFmtId="3" fontId="20" fillId="3" borderId="6" xfId="0" applyNumberFormat="1" applyFont="1" applyFill="1" applyBorder="1" applyAlignment="1">
      <alignment horizontal="center" vertical="center" wrapText="1"/>
    </xf>
    <xf numFmtId="0" fontId="14" fillId="0" borderId="35" xfId="0" applyFont="1" applyBorder="1"/>
    <xf numFmtId="0" fontId="7" fillId="0" borderId="6" xfId="0" applyFont="1" applyBorder="1" applyAlignment="1">
      <alignment horizontal="center" vertical="center"/>
    </xf>
    <xf numFmtId="3" fontId="7" fillId="0" borderId="6" xfId="0" applyNumberFormat="1" applyFont="1" applyBorder="1" applyAlignment="1">
      <alignment horizontal="right" vertical="center"/>
    </xf>
    <xf numFmtId="3" fontId="7" fillId="0" borderId="6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22" fillId="0" borderId="35" xfId="0" applyFont="1" applyBorder="1" applyAlignment="1">
      <alignment horizontal="center"/>
    </xf>
    <xf numFmtId="0" fontId="14" fillId="0" borderId="6" xfId="0" applyFont="1" applyBorder="1" applyAlignment="1">
      <alignment horizontal="center" vertical="center"/>
    </xf>
    <xf numFmtId="0" fontId="12" fillId="0" borderId="6" xfId="0" applyFont="1" applyBorder="1"/>
    <xf numFmtId="3" fontId="0" fillId="0" borderId="6" xfId="0" applyNumberFormat="1" applyBorder="1" applyAlignment="1">
      <alignment horizontal="right"/>
    </xf>
    <xf numFmtId="3" fontId="0" fillId="0" borderId="6" xfId="0" applyNumberFormat="1" applyBorder="1" applyAlignment="1">
      <alignment horizontal="center"/>
    </xf>
    <xf numFmtId="0" fontId="0" fillId="0" borderId="35" xfId="0" applyBorder="1" applyAlignment="1">
      <alignment horizontal="right"/>
    </xf>
    <xf numFmtId="3" fontId="0" fillId="0" borderId="6" xfId="0" applyNumberFormat="1" applyBorder="1"/>
    <xf numFmtId="0" fontId="12" fillId="0" borderId="6" xfId="0" applyFont="1" applyBorder="1" applyAlignment="1">
      <alignment horizontal="left"/>
    </xf>
    <xf numFmtId="3" fontId="7" fillId="0" borderId="6" xfId="0" applyNumberFormat="1" applyFont="1" applyBorder="1" applyAlignment="1">
      <alignment vertical="center"/>
    </xf>
    <xf numFmtId="0" fontId="7" fillId="0" borderId="35" xfId="0" applyFont="1" applyBorder="1" applyAlignment="1">
      <alignment horizontal="right"/>
    </xf>
    <xf numFmtId="49" fontId="0" fillId="0" borderId="35" xfId="0" applyNumberFormat="1" applyBorder="1" applyAlignment="1">
      <alignment horizontal="right"/>
    </xf>
    <xf numFmtId="49" fontId="7" fillId="0" borderId="35" xfId="0" applyNumberFormat="1" applyFont="1" applyBorder="1" applyAlignment="1">
      <alignment horizontal="right"/>
    </xf>
    <xf numFmtId="49" fontId="22" fillId="0" borderId="35" xfId="0" applyNumberFormat="1" applyFont="1" applyBorder="1" applyAlignment="1">
      <alignment horizontal="center"/>
    </xf>
    <xf numFmtId="49" fontId="7" fillId="0" borderId="38" xfId="0" applyNumberFormat="1" applyFont="1" applyBorder="1" applyAlignment="1">
      <alignment horizontal="right"/>
    </xf>
    <xf numFmtId="0" fontId="12" fillId="0" borderId="45" xfId="0" applyFont="1" applyBorder="1"/>
    <xf numFmtId="3" fontId="0" fillId="0" borderId="45" xfId="0" applyNumberFormat="1" applyBorder="1"/>
    <xf numFmtId="1" fontId="0" fillId="0" borderId="45" xfId="0" applyNumberFormat="1" applyBorder="1"/>
    <xf numFmtId="1" fontId="0" fillId="0" borderId="47" xfId="0" applyNumberFormat="1" applyBorder="1"/>
    <xf numFmtId="49" fontId="7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3" fontId="20" fillId="0" borderId="0" xfId="0" applyNumberFormat="1" applyFont="1"/>
    <xf numFmtId="49" fontId="23" fillId="0" borderId="0" xfId="0" applyNumberFormat="1" applyFont="1"/>
    <xf numFmtId="3" fontId="17" fillId="0" borderId="0" xfId="0" applyNumberFormat="1" applyFont="1"/>
    <xf numFmtId="37" fontId="17" fillId="0" borderId="0" xfId="0" applyNumberFormat="1" applyFont="1" applyAlignment="1">
      <alignment horizontal="right"/>
    </xf>
    <xf numFmtId="3" fontId="17" fillId="0" borderId="0" xfId="0" applyNumberFormat="1" applyFont="1" applyAlignment="1">
      <alignment horizontal="right"/>
    </xf>
    <xf numFmtId="0" fontId="20" fillId="3" borderId="40" xfId="0" applyFont="1" applyFill="1" applyBorder="1" applyAlignment="1">
      <alignment horizontal="center" vertical="center" wrapText="1"/>
    </xf>
    <xf numFmtId="4" fontId="7" fillId="0" borderId="0" xfId="0" applyNumberFormat="1" applyFont="1"/>
    <xf numFmtId="171" fontId="0" fillId="0" borderId="0" xfId="0" applyNumberFormat="1"/>
    <xf numFmtId="0" fontId="20" fillId="0" borderId="0" xfId="0" applyFont="1"/>
    <xf numFmtId="1" fontId="0" fillId="0" borderId="0" xfId="0" applyNumberFormat="1"/>
    <xf numFmtId="0" fontId="14" fillId="5" borderId="60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 wrapText="1"/>
    </xf>
    <xf numFmtId="3" fontId="14" fillId="5" borderId="60" xfId="0" applyNumberFormat="1" applyFont="1" applyFill="1" applyBorder="1" applyAlignment="1">
      <alignment horizontal="center" vertical="center"/>
    </xf>
    <xf numFmtId="3" fontId="14" fillId="5" borderId="60" xfId="0" applyNumberFormat="1" applyFont="1" applyFill="1" applyBorder="1" applyAlignment="1">
      <alignment horizontal="center" vertical="center" wrapText="1"/>
    </xf>
    <xf numFmtId="3" fontId="7" fillId="0" borderId="61" xfId="0" applyNumberFormat="1" applyFont="1" applyBorder="1" applyAlignment="1">
      <alignment horizontal="left" vertical="center"/>
    </xf>
    <xf numFmtId="3" fontId="7" fillId="0" borderId="62" xfId="0" applyNumberFormat="1" applyFont="1" applyBorder="1" applyAlignment="1">
      <alignment horizontal="left" vertical="center"/>
    </xf>
    <xf numFmtId="3" fontId="7" fillId="0" borderId="62" xfId="0" applyNumberFormat="1" applyFont="1" applyBorder="1" applyAlignment="1">
      <alignment vertical="center"/>
    </xf>
    <xf numFmtId="3" fontId="7" fillId="0" borderId="56" xfId="0" applyNumberFormat="1" applyFont="1" applyBorder="1" applyAlignment="1">
      <alignment horizontal="left"/>
    </xf>
    <xf numFmtId="3" fontId="7" fillId="0" borderId="57" xfId="0" applyNumberFormat="1" applyFont="1" applyBorder="1" applyAlignment="1">
      <alignment horizontal="left"/>
    </xf>
    <xf numFmtId="3" fontId="7" fillId="0" borderId="57" xfId="0" applyNumberFormat="1" applyFont="1" applyBorder="1"/>
    <xf numFmtId="3" fontId="7" fillId="0" borderId="0" xfId="0" applyNumberFormat="1" applyFont="1"/>
    <xf numFmtId="3" fontId="0" fillId="0" borderId="56" xfId="0" applyNumberFormat="1" applyBorder="1" applyAlignment="1">
      <alignment horizontal="left"/>
    </xf>
    <xf numFmtId="3" fontId="0" fillId="0" borderId="57" xfId="0" applyNumberFormat="1" applyBorder="1" applyAlignment="1">
      <alignment horizontal="left"/>
    </xf>
    <xf numFmtId="3" fontId="0" fillId="0" borderId="57" xfId="0" applyNumberFormat="1" applyBorder="1"/>
    <xf numFmtId="0" fontId="0" fillId="0" borderId="63" xfId="0" applyBorder="1"/>
    <xf numFmtId="3" fontId="7" fillId="0" borderId="64" xfId="0" applyNumberFormat="1" applyFont="1" applyBorder="1" applyAlignment="1">
      <alignment horizontal="left" vertical="center"/>
    </xf>
    <xf numFmtId="3" fontId="7" fillId="0" borderId="65" xfId="0" applyNumberFormat="1" applyFont="1" applyBorder="1" applyAlignment="1">
      <alignment horizontal="left" vertical="center"/>
    </xf>
    <xf numFmtId="3" fontId="7" fillId="0" borderId="65" xfId="0" applyNumberFormat="1" applyFont="1" applyBorder="1" applyAlignment="1">
      <alignment vertical="center"/>
    </xf>
    <xf numFmtId="3" fontId="0" fillId="0" borderId="56" xfId="0" applyNumberFormat="1" applyBorder="1"/>
    <xf numFmtId="3" fontId="0" fillId="0" borderId="56" xfId="0" applyNumberFormat="1" applyBorder="1" applyAlignment="1">
      <alignment horizontal="left" vertical="center" wrapText="1"/>
    </xf>
    <xf numFmtId="3" fontId="0" fillId="0" borderId="57" xfId="0" applyNumberFormat="1" applyBorder="1" applyAlignment="1">
      <alignment vertical="center" wrapText="1"/>
    </xf>
    <xf numFmtId="0" fontId="0" fillId="0" borderId="0" xfId="0" applyAlignment="1">
      <alignment horizontal="left"/>
    </xf>
    <xf numFmtId="3" fontId="0" fillId="0" borderId="53" xfId="0" applyNumberFormat="1" applyBorder="1"/>
    <xf numFmtId="0" fontId="0" fillId="0" borderId="56" xfId="0" applyBorder="1"/>
    <xf numFmtId="0" fontId="0" fillId="0" borderId="60" xfId="0" applyBorder="1"/>
    <xf numFmtId="0" fontId="0" fillId="0" borderId="57" xfId="0" applyBorder="1"/>
    <xf numFmtId="3" fontId="7" fillId="0" borderId="63" xfId="0" applyNumberFormat="1" applyFont="1" applyBorder="1" applyAlignment="1">
      <alignment vertical="center"/>
    </xf>
    <xf numFmtId="3" fontId="0" fillId="0" borderId="66" xfId="0" applyNumberFormat="1" applyBorder="1" applyAlignment="1">
      <alignment horizontal="left"/>
    </xf>
    <xf numFmtId="3" fontId="24" fillId="0" borderId="67" xfId="0" applyNumberFormat="1" applyFont="1" applyBorder="1" applyAlignment="1">
      <alignment horizontal="left" vertical="center"/>
    </xf>
    <xf numFmtId="3" fontId="24" fillId="0" borderId="67" xfId="0" applyNumberFormat="1" applyFont="1" applyBorder="1" applyAlignment="1">
      <alignment vertical="center"/>
    </xf>
    <xf numFmtId="3" fontId="0" fillId="0" borderId="0" xfId="0" applyNumberFormat="1" applyAlignment="1">
      <alignment horizontal="left"/>
    </xf>
    <xf numFmtId="3" fontId="24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vertical="center"/>
    </xf>
    <xf numFmtId="0" fontId="14" fillId="0" borderId="0" xfId="0" applyFont="1"/>
    <xf numFmtId="170" fontId="0" fillId="0" borderId="57" xfId="0" applyNumberFormat="1" applyBorder="1"/>
    <xf numFmtId="168" fontId="0" fillId="0" borderId="0" xfId="0" applyNumberFormat="1"/>
    <xf numFmtId="0" fontId="6" fillId="0" borderId="0" xfId="0" applyFont="1"/>
    <xf numFmtId="0" fontId="25" fillId="0" borderId="0" xfId="0" applyFont="1"/>
    <xf numFmtId="0" fontId="14" fillId="5" borderId="79" xfId="0" applyFont="1" applyFill="1" applyBorder="1" applyAlignment="1">
      <alignment horizontal="center" vertical="center" wrapText="1"/>
    </xf>
    <xf numFmtId="3" fontId="14" fillId="5" borderId="79" xfId="0" applyNumberFormat="1" applyFont="1" applyFill="1" applyBorder="1" applyAlignment="1">
      <alignment horizontal="center" vertical="center" wrapText="1"/>
    </xf>
    <xf numFmtId="3" fontId="7" fillId="0" borderId="80" xfId="0" applyNumberFormat="1" applyFont="1" applyBorder="1" applyAlignment="1">
      <alignment horizontal="left" vertical="center"/>
    </xf>
    <xf numFmtId="3" fontId="14" fillId="0" borderId="81" xfId="0" applyNumberFormat="1" applyFont="1" applyBorder="1" applyAlignment="1">
      <alignment horizontal="left" vertical="center"/>
    </xf>
    <xf numFmtId="3" fontId="14" fillId="0" borderId="81" xfId="0" applyNumberFormat="1" applyFont="1" applyBorder="1" applyAlignment="1">
      <alignment vertical="center"/>
    </xf>
    <xf numFmtId="3" fontId="14" fillId="0" borderId="35" xfId="0" applyNumberFormat="1" applyFont="1" applyBorder="1" applyAlignment="1">
      <alignment horizontal="left"/>
    </xf>
    <xf numFmtId="3" fontId="14" fillId="0" borderId="6" xfId="0" applyNumberFormat="1" applyFont="1" applyBorder="1" applyAlignment="1">
      <alignment horizontal="left"/>
    </xf>
    <xf numFmtId="3" fontId="14" fillId="0" borderId="6" xfId="0" applyNumberFormat="1" applyFont="1" applyBorder="1"/>
    <xf numFmtId="3" fontId="12" fillId="0" borderId="35" xfId="0" applyNumberFormat="1" applyFont="1" applyBorder="1" applyAlignment="1">
      <alignment horizontal="left"/>
    </xf>
    <xf numFmtId="3" fontId="12" fillId="0" borderId="6" xfId="0" applyNumberFormat="1" applyFont="1" applyBorder="1" applyAlignment="1">
      <alignment horizontal="left"/>
    </xf>
    <xf numFmtId="3" fontId="12" fillId="0" borderId="6" xfId="0" applyNumberFormat="1" applyFont="1" applyBorder="1"/>
    <xf numFmtId="49" fontId="14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3" fontId="7" fillId="0" borderId="82" xfId="0" applyNumberFormat="1" applyFont="1" applyBorder="1" applyAlignment="1">
      <alignment horizontal="left" vertical="center"/>
    </xf>
    <xf numFmtId="3" fontId="14" fillId="0" borderId="83" xfId="0" applyNumberFormat="1" applyFont="1" applyBorder="1" applyAlignment="1">
      <alignment horizontal="left" vertical="center"/>
    </xf>
    <xf numFmtId="3" fontId="14" fillId="0" borderId="83" xfId="0" applyNumberFormat="1" applyFont="1" applyBorder="1" applyAlignment="1">
      <alignment vertical="center"/>
    </xf>
    <xf numFmtId="3" fontId="12" fillId="0" borderId="35" xfId="0" applyNumberFormat="1" applyFont="1" applyBorder="1"/>
    <xf numFmtId="3" fontId="14" fillId="0" borderId="35" xfId="0" applyNumberFormat="1" applyFont="1" applyBorder="1"/>
    <xf numFmtId="168" fontId="14" fillId="0" borderId="89" xfId="0" applyNumberFormat="1" applyFont="1" applyBorder="1" applyAlignment="1">
      <alignment horizontal="center" vertical="center"/>
    </xf>
    <xf numFmtId="168" fontId="14" fillId="0" borderId="40" xfId="0" applyNumberFormat="1" applyFont="1" applyBorder="1" applyAlignment="1">
      <alignment horizontal="center"/>
    </xf>
    <xf numFmtId="168" fontId="12" fillId="0" borderId="40" xfId="0" applyNumberFormat="1" applyFont="1" applyBorder="1" applyAlignment="1">
      <alignment horizontal="center"/>
    </xf>
    <xf numFmtId="168" fontId="14" fillId="0" borderId="90" xfId="0" applyNumberFormat="1" applyFont="1" applyBorder="1" applyAlignment="1">
      <alignment horizontal="center" vertical="center"/>
    </xf>
    <xf numFmtId="0" fontId="0" fillId="3" borderId="0" xfId="0" applyFill="1"/>
    <xf numFmtId="3" fontId="14" fillId="0" borderId="35" xfId="0" applyNumberFormat="1" applyFont="1" applyBorder="1" applyAlignment="1">
      <alignment horizontal="left" vertical="center" wrapText="1"/>
    </xf>
    <xf numFmtId="3" fontId="14" fillId="0" borderId="6" xfId="0" applyNumberFormat="1" applyFont="1" applyBorder="1" applyAlignment="1">
      <alignment vertical="center" wrapText="1"/>
    </xf>
    <xf numFmtId="3" fontId="12" fillId="0" borderId="35" xfId="0" applyNumberFormat="1" applyFont="1" applyBorder="1" applyAlignment="1">
      <alignment horizontal="left" vertical="center" wrapText="1"/>
    </xf>
    <xf numFmtId="3" fontId="12" fillId="0" borderId="6" xfId="0" applyNumberFormat="1" applyFont="1" applyBorder="1" applyAlignment="1">
      <alignment vertical="center" wrapText="1"/>
    </xf>
    <xf numFmtId="3" fontId="14" fillId="0" borderId="0" xfId="0" applyNumberFormat="1" applyFont="1" applyAlignment="1">
      <alignment horizontal="left"/>
    </xf>
    <xf numFmtId="3" fontId="12" fillId="0" borderId="0" xfId="0" applyNumberFormat="1" applyFont="1" applyAlignment="1">
      <alignment horizontal="left"/>
    </xf>
    <xf numFmtId="3" fontId="12" fillId="0" borderId="0" xfId="0" applyNumberFormat="1" applyFont="1"/>
    <xf numFmtId="0" fontId="12" fillId="0" borderId="0" xfId="0" applyFont="1" applyAlignment="1">
      <alignment horizontal="left"/>
    </xf>
    <xf numFmtId="3" fontId="12" fillId="0" borderId="34" xfId="0" applyNumberFormat="1" applyFont="1" applyBorder="1" applyAlignment="1">
      <alignment horizontal="left"/>
    </xf>
    <xf numFmtId="0" fontId="12" fillId="0" borderId="34" xfId="0" applyFont="1" applyBorder="1"/>
    <xf numFmtId="3" fontId="12" fillId="0" borderId="91" xfId="0" applyNumberFormat="1" applyFont="1" applyBorder="1" applyAlignment="1">
      <alignment horizontal="left"/>
    </xf>
    <xf numFmtId="3" fontId="12" fillId="0" borderId="91" xfId="0" applyNumberFormat="1" applyFont="1" applyBorder="1"/>
    <xf numFmtId="3" fontId="14" fillId="0" borderId="92" xfId="0" applyNumberFormat="1" applyFont="1" applyBorder="1" applyAlignment="1">
      <alignment horizontal="left" vertical="center"/>
    </xf>
    <xf numFmtId="3" fontId="14" fillId="0" borderId="93" xfId="0" applyNumberFormat="1" applyFont="1" applyBorder="1" applyAlignment="1">
      <alignment vertical="center"/>
    </xf>
    <xf numFmtId="3" fontId="14" fillId="0" borderId="56" xfId="0" applyNumberFormat="1" applyFont="1" applyBorder="1" applyAlignment="1">
      <alignment horizontal="left" vertical="center"/>
    </xf>
    <xf numFmtId="3" fontId="14" fillId="0" borderId="57" xfId="0" applyNumberFormat="1" applyFont="1" applyBorder="1" applyAlignment="1">
      <alignment vertical="center"/>
    </xf>
    <xf numFmtId="3" fontId="14" fillId="0" borderId="56" xfId="0" applyNumberFormat="1" applyFont="1" applyBorder="1" applyAlignment="1">
      <alignment vertical="center"/>
    </xf>
    <xf numFmtId="3" fontId="14" fillId="0" borderId="6" xfId="0" applyNumberFormat="1" applyFont="1" applyBorder="1" applyAlignment="1">
      <alignment vertical="center"/>
    </xf>
    <xf numFmtId="3" fontId="12" fillId="0" borderId="57" xfId="0" applyNumberFormat="1" applyFont="1" applyBorder="1"/>
    <xf numFmtId="3" fontId="12" fillId="0" borderId="57" xfId="0" applyNumberFormat="1" applyFont="1" applyBorder="1" applyAlignment="1">
      <alignment horizontal="left"/>
    </xf>
    <xf numFmtId="3" fontId="14" fillId="0" borderId="57" xfId="0" applyNumberFormat="1" applyFont="1" applyBorder="1"/>
    <xf numFmtId="3" fontId="14" fillId="0" borderId="0" xfId="0" applyNumberFormat="1" applyFont="1" applyAlignment="1">
      <alignment vertical="center"/>
    </xf>
    <xf numFmtId="3" fontId="12" fillId="0" borderId="56" xfId="0" applyNumberFormat="1" applyFont="1" applyBorder="1"/>
    <xf numFmtId="3" fontId="12" fillId="0" borderId="9" xfId="0" applyNumberFormat="1" applyFont="1" applyBorder="1"/>
    <xf numFmtId="3" fontId="12" fillId="0" borderId="12" xfId="0" applyNumberFormat="1" applyFont="1" applyBorder="1"/>
    <xf numFmtId="3" fontId="14" fillId="0" borderId="96" xfId="0" applyNumberFormat="1" applyFont="1" applyBorder="1" applyAlignment="1">
      <alignment vertical="center"/>
    </xf>
    <xf numFmtId="168" fontId="14" fillId="0" borderId="94" xfId="0" applyNumberFormat="1" applyFont="1" applyBorder="1" applyAlignment="1">
      <alignment horizontal="center" vertical="center"/>
    </xf>
    <xf numFmtId="168" fontId="14" fillId="0" borderId="69" xfId="0" applyNumberFormat="1" applyFont="1" applyBorder="1" applyAlignment="1">
      <alignment horizontal="center" vertical="center"/>
    </xf>
    <xf numFmtId="3" fontId="28" fillId="0" borderId="0" xfId="0" applyNumberFormat="1" applyFont="1"/>
    <xf numFmtId="168" fontId="12" fillId="0" borderId="69" xfId="0" applyNumberFormat="1" applyFont="1" applyBorder="1" applyAlignment="1">
      <alignment horizontal="center"/>
    </xf>
    <xf numFmtId="3" fontId="12" fillId="0" borderId="97" xfId="0" applyNumberFormat="1" applyFont="1" applyBorder="1" applyAlignment="1">
      <alignment horizontal="left"/>
    </xf>
    <xf numFmtId="3" fontId="14" fillId="0" borderId="97" xfId="0" applyNumberFormat="1" applyFont="1" applyBorder="1" applyAlignment="1">
      <alignment vertical="center"/>
    </xf>
    <xf numFmtId="3" fontId="14" fillId="0" borderId="69" xfId="0" applyNumberFormat="1" applyFont="1" applyBorder="1" applyAlignment="1">
      <alignment vertical="center"/>
    </xf>
    <xf numFmtId="3" fontId="14" fillId="0" borderId="98" xfId="0" applyNumberFormat="1" applyFont="1" applyBorder="1"/>
    <xf numFmtId="3" fontId="12" fillId="0" borderId="98" xfId="0" applyNumberFormat="1" applyFont="1" applyBorder="1" applyAlignment="1">
      <alignment horizontal="left"/>
    </xf>
    <xf numFmtId="3" fontId="12" fillId="0" borderId="98" xfId="0" applyNumberFormat="1" applyFont="1" applyBorder="1"/>
    <xf numFmtId="0" fontId="12" fillId="0" borderId="98" xfId="0" applyFont="1" applyBorder="1"/>
    <xf numFmtId="3" fontId="14" fillId="0" borderId="99" xfId="0" applyNumberFormat="1" applyFont="1" applyBorder="1" applyAlignment="1">
      <alignment horizontal="left" vertical="center"/>
    </xf>
    <xf numFmtId="3" fontId="14" fillId="0" borderId="62" xfId="0" applyNumberFormat="1" applyFont="1" applyBorder="1" applyAlignment="1">
      <alignment vertical="center"/>
    </xf>
    <xf numFmtId="3" fontId="14" fillId="0" borderId="62" xfId="0" applyNumberFormat="1" applyFont="1" applyBorder="1" applyAlignment="1">
      <alignment horizontal="left" vertical="center"/>
    </xf>
    <xf numFmtId="3" fontId="14" fillId="0" borderId="57" xfId="0" applyNumberFormat="1" applyFont="1" applyBorder="1" applyAlignment="1">
      <alignment horizontal="left"/>
    </xf>
    <xf numFmtId="3" fontId="12" fillId="0" borderId="101" xfId="0" applyNumberFormat="1" applyFont="1" applyBorder="1" applyAlignment="1">
      <alignment horizontal="left"/>
    </xf>
    <xf numFmtId="3" fontId="7" fillId="0" borderId="102" xfId="0" applyNumberFormat="1" applyFont="1" applyBorder="1" applyAlignment="1">
      <alignment horizontal="left" vertical="center"/>
    </xf>
    <xf numFmtId="3" fontId="7" fillId="0" borderId="102" xfId="0" applyNumberFormat="1" applyFont="1" applyBorder="1" applyAlignment="1">
      <alignment vertical="center"/>
    </xf>
    <xf numFmtId="4" fontId="6" fillId="0" borderId="0" xfId="0" applyNumberFormat="1" applyFont="1"/>
    <xf numFmtId="3" fontId="6" fillId="0" borderId="0" xfId="0" applyNumberFormat="1" applyFont="1"/>
    <xf numFmtId="168" fontId="14" fillId="0" borderId="73" xfId="0" applyNumberFormat="1" applyFont="1" applyBorder="1" applyAlignment="1">
      <alignment horizontal="center" vertical="center"/>
    </xf>
    <xf numFmtId="168" fontId="14" fillId="0" borderId="69" xfId="0" applyNumberFormat="1" applyFont="1" applyBorder="1" applyAlignment="1">
      <alignment horizontal="center"/>
    </xf>
    <xf numFmtId="4" fontId="30" fillId="0" borderId="0" xfId="0" applyNumberFormat="1" applyFont="1" applyAlignment="1">
      <alignment vertical="center"/>
    </xf>
    <xf numFmtId="3" fontId="12" fillId="0" borderId="105" xfId="0" applyNumberFormat="1" applyFont="1" applyBorder="1"/>
    <xf numFmtId="3" fontId="7" fillId="0" borderId="106" xfId="0" applyNumberFormat="1" applyFont="1" applyBorder="1" applyAlignment="1">
      <alignment vertical="center"/>
    </xf>
    <xf numFmtId="168" fontId="7" fillId="0" borderId="104" xfId="0" applyNumberFormat="1" applyFont="1" applyBorder="1" applyAlignment="1">
      <alignment horizontal="center" vertical="center"/>
    </xf>
    <xf numFmtId="3" fontId="31" fillId="0" borderId="0" xfId="0" applyNumberFormat="1" applyFont="1"/>
    <xf numFmtId="4" fontId="1" fillId="0" borderId="0" xfId="0" applyNumberFormat="1" applyFont="1"/>
    <xf numFmtId="0" fontId="32" fillId="0" borderId="0" xfId="0" applyFont="1" applyAlignment="1">
      <alignment horizontal="center"/>
    </xf>
    <xf numFmtId="0" fontId="32" fillId="0" borderId="0" xfId="0" applyFont="1"/>
    <xf numFmtId="0" fontId="33" fillId="0" borderId="0" xfId="0" applyFont="1"/>
    <xf numFmtId="0" fontId="14" fillId="5" borderId="2" xfId="0" applyFont="1" applyFill="1" applyBorder="1" applyAlignment="1">
      <alignment horizontal="center" vertical="center"/>
    </xf>
    <xf numFmtId="0" fontId="14" fillId="5" borderId="11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 wrapText="1"/>
    </xf>
    <xf numFmtId="0" fontId="24" fillId="0" borderId="35" xfId="0" applyFont="1" applyBorder="1"/>
    <xf numFmtId="3" fontId="24" fillId="0" borderId="35" xfId="0" applyNumberFormat="1" applyFont="1" applyBorder="1"/>
    <xf numFmtId="3" fontId="24" fillId="0" borderId="6" xfId="0" applyNumberFormat="1" applyFont="1" applyBorder="1"/>
    <xf numFmtId="3" fontId="9" fillId="0" borderId="6" xfId="0" applyNumberFormat="1" applyFont="1" applyBorder="1"/>
    <xf numFmtId="0" fontId="34" fillId="0" borderId="35" xfId="0" applyFont="1" applyBorder="1"/>
    <xf numFmtId="3" fontId="34" fillId="0" borderId="6" xfId="0" applyNumberFormat="1" applyFont="1" applyBorder="1"/>
    <xf numFmtId="3" fontId="35" fillId="0" borderId="6" xfId="0" applyNumberFormat="1" applyFont="1" applyBorder="1"/>
    <xf numFmtId="3" fontId="36" fillId="0" borderId="6" xfId="0" applyNumberFormat="1" applyFont="1" applyBorder="1"/>
    <xf numFmtId="3" fontId="34" fillId="0" borderId="35" xfId="0" applyNumberFormat="1" applyFont="1" applyBorder="1"/>
    <xf numFmtId="0" fontId="24" fillId="0" borderId="35" xfId="0" applyFont="1" applyBorder="1" applyAlignment="1">
      <alignment horizontal="center" vertical="center"/>
    </xf>
    <xf numFmtId="3" fontId="24" fillId="0" borderId="6" xfId="0" applyNumberFormat="1" applyFont="1" applyBorder="1" applyAlignment="1">
      <alignment vertical="center"/>
    </xf>
    <xf numFmtId="0" fontId="9" fillId="0" borderId="35" xfId="0" applyFont="1" applyBorder="1"/>
    <xf numFmtId="3" fontId="24" fillId="0" borderId="6" xfId="0" applyNumberFormat="1" applyFont="1" applyBorder="1" applyAlignment="1">
      <alignment horizontal="center"/>
    </xf>
    <xf numFmtId="0" fontId="24" fillId="0" borderId="38" xfId="0" applyFont="1" applyBorder="1"/>
    <xf numFmtId="3" fontId="34" fillId="0" borderId="45" xfId="0" applyNumberFormat="1" applyFont="1" applyBorder="1"/>
    <xf numFmtId="0" fontId="24" fillId="0" borderId="0" xfId="0" applyFont="1"/>
    <xf numFmtId="3" fontId="24" fillId="0" borderId="0" xfId="0" applyNumberFormat="1" applyFont="1"/>
    <xf numFmtId="4" fontId="24" fillId="0" borderId="0" xfId="0" applyNumberFormat="1" applyFont="1"/>
    <xf numFmtId="0" fontId="8" fillId="0" borderId="0" xfId="0" applyFont="1"/>
    <xf numFmtId="0" fontId="3" fillId="0" borderId="0" xfId="0" applyFont="1"/>
    <xf numFmtId="3" fontId="25" fillId="0" borderId="0" xfId="0" applyNumberFormat="1" applyFont="1"/>
    <xf numFmtId="169" fontId="24" fillId="0" borderId="40" xfId="0" applyNumberFormat="1" applyFont="1" applyBorder="1" applyAlignment="1">
      <alignment horizontal="center"/>
    </xf>
    <xf numFmtId="169" fontId="9" fillId="0" borderId="40" xfId="0" applyNumberFormat="1" applyFont="1" applyBorder="1" applyAlignment="1">
      <alignment horizontal="center"/>
    </xf>
    <xf numFmtId="169" fontId="34" fillId="0" borderId="40" xfId="0" applyNumberFormat="1" applyFont="1" applyBorder="1" applyAlignment="1">
      <alignment horizontal="center"/>
    </xf>
    <xf numFmtId="169" fontId="24" fillId="0" borderId="40" xfId="0" applyNumberFormat="1" applyFont="1" applyBorder="1" applyAlignment="1">
      <alignment horizontal="center" vertical="center"/>
    </xf>
    <xf numFmtId="0" fontId="39" fillId="0" borderId="0" xfId="0" applyFont="1"/>
    <xf numFmtId="3" fontId="40" fillId="0" borderId="0" xfId="0" applyNumberFormat="1" applyFont="1"/>
    <xf numFmtId="3" fontId="34" fillId="0" borderId="45" xfId="0" applyNumberFormat="1" applyFont="1" applyBorder="1" applyAlignment="1">
      <alignment horizontal="right"/>
    </xf>
    <xf numFmtId="169" fontId="34" fillId="0" borderId="50" xfId="0" applyNumberFormat="1" applyFont="1" applyBorder="1" applyAlignment="1">
      <alignment horizontal="center"/>
    </xf>
    <xf numFmtId="169" fontId="24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5" fillId="0" borderId="0" xfId="0" applyNumberFormat="1" applyFont="1"/>
    <xf numFmtId="0" fontId="14" fillId="5" borderId="119" xfId="0" applyFont="1" applyFill="1" applyBorder="1" applyAlignment="1">
      <alignment horizontal="center"/>
    </xf>
    <xf numFmtId="0" fontId="14" fillId="5" borderId="23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1" xfId="0" applyFont="1" applyFill="1" applyBorder="1"/>
    <xf numFmtId="0" fontId="10" fillId="3" borderId="21" xfId="0" applyFont="1" applyFill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7" fillId="0" borderId="21" xfId="0" applyFont="1" applyBorder="1"/>
    <xf numFmtId="0" fontId="24" fillId="0" borderId="20" xfId="0" applyFont="1" applyBorder="1"/>
    <xf numFmtId="0" fontId="24" fillId="0" borderId="21" xfId="0" applyFont="1" applyBorder="1"/>
    <xf numFmtId="169" fontId="24" fillId="0" borderId="21" xfId="0" applyNumberFormat="1" applyFont="1" applyBorder="1"/>
    <xf numFmtId="172" fontId="24" fillId="0" borderId="21" xfId="0" applyNumberFormat="1" applyFont="1" applyBorder="1"/>
    <xf numFmtId="0" fontId="37" fillId="0" borderId="20" xfId="0" applyFont="1" applyBorder="1"/>
    <xf numFmtId="169" fontId="37" fillId="0" borderId="21" xfId="0" applyNumberFormat="1" applyFont="1" applyBorder="1"/>
    <xf numFmtId="169" fontId="34" fillId="0" borderId="21" xfId="0" applyNumberFormat="1" applyFont="1" applyBorder="1"/>
    <xf numFmtId="0" fontId="34" fillId="0" borderId="20" xfId="0" applyFont="1" applyBorder="1"/>
    <xf numFmtId="172" fontId="34" fillId="0" borderId="21" xfId="0" applyNumberFormat="1" applyFont="1" applyBorder="1"/>
    <xf numFmtId="172" fontId="37" fillId="0" borderId="21" xfId="0" applyNumberFormat="1" applyFont="1" applyBorder="1"/>
    <xf numFmtId="0" fontId="34" fillId="0" borderId="21" xfId="0" applyFont="1" applyBorder="1"/>
    <xf numFmtId="0" fontId="34" fillId="0" borderId="21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34" fillId="0" borderId="22" xfId="0" applyFont="1" applyBorder="1" applyAlignment="1">
      <alignment horizontal="center"/>
    </xf>
    <xf numFmtId="173" fontId="34" fillId="0" borderId="22" xfId="0" applyNumberFormat="1" applyFont="1" applyBorder="1"/>
    <xf numFmtId="169" fontId="34" fillId="0" borderId="22" xfId="0" applyNumberFormat="1" applyFont="1" applyBorder="1"/>
    <xf numFmtId="172" fontId="9" fillId="0" borderId="22" xfId="0" applyNumberFormat="1" applyFont="1" applyBorder="1"/>
    <xf numFmtId="0" fontId="7" fillId="0" borderId="26" xfId="0" applyFont="1" applyBorder="1"/>
    <xf numFmtId="2" fontId="7" fillId="0" borderId="26" xfId="0" applyNumberFormat="1" applyFont="1" applyBorder="1"/>
    <xf numFmtId="169" fontId="7" fillId="0" borderId="0" xfId="0" applyNumberFormat="1" applyFont="1"/>
    <xf numFmtId="169" fontId="8" fillId="0" borderId="0" xfId="0" applyNumberFormat="1" applyFont="1"/>
    <xf numFmtId="169" fontId="41" fillId="0" borderId="0" xfId="0" applyNumberFormat="1" applyFont="1"/>
    <xf numFmtId="49" fontId="42" fillId="0" borderId="0" xfId="0" applyNumberFormat="1" applyFont="1"/>
    <xf numFmtId="0" fontId="41" fillId="0" borderId="0" xfId="0" applyFont="1"/>
    <xf numFmtId="2" fontId="41" fillId="0" borderId="0" xfId="0" applyNumberFormat="1" applyFont="1"/>
    <xf numFmtId="0" fontId="10" fillId="3" borderId="29" xfId="0" applyFont="1" applyFill="1" applyBorder="1" applyAlignment="1">
      <alignment horizontal="center" vertical="center" wrapText="1"/>
    </xf>
    <xf numFmtId="0" fontId="37" fillId="0" borderId="29" xfId="0" applyFont="1" applyBorder="1" applyAlignment="1">
      <alignment horizontal="center"/>
    </xf>
    <xf numFmtId="0" fontId="24" fillId="0" borderId="29" xfId="0" applyFont="1" applyBorder="1" applyAlignment="1">
      <alignment horizontal="center"/>
    </xf>
    <xf numFmtId="168" fontId="24" fillId="0" borderId="29" xfId="0" applyNumberFormat="1" applyFont="1" applyBorder="1" applyAlignment="1">
      <alignment horizontal="center"/>
    </xf>
    <xf numFmtId="168" fontId="37" fillId="0" borderId="29" xfId="0" applyNumberFormat="1" applyFont="1" applyBorder="1" applyAlignment="1">
      <alignment horizontal="center"/>
    </xf>
    <xf numFmtId="168" fontId="34" fillId="0" borderId="29" xfId="0" applyNumberFormat="1" applyFont="1" applyBorder="1" applyAlignment="1">
      <alignment horizontal="center"/>
    </xf>
    <xf numFmtId="168" fontId="34" fillId="0" borderId="27" xfId="0" applyNumberFormat="1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4" fillId="0" borderId="0" xfId="0" applyFont="1"/>
    <xf numFmtId="0" fontId="11" fillId="0" borderId="0" xfId="0" applyFont="1"/>
    <xf numFmtId="0" fontId="0" fillId="0" borderId="121" xfId="0" applyBorder="1"/>
    <xf numFmtId="0" fontId="14" fillId="5" borderId="128" xfId="0" applyFont="1" applyFill="1" applyBorder="1" applyAlignment="1">
      <alignment horizontal="center" vertical="center" wrapText="1"/>
    </xf>
    <xf numFmtId="0" fontId="14" fillId="5" borderId="128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/>
    </xf>
    <xf numFmtId="0" fontId="14" fillId="0" borderId="34" xfId="0" applyFont="1" applyBorder="1"/>
    <xf numFmtId="4" fontId="14" fillId="0" borderId="34" xfId="0" applyNumberFormat="1" applyFont="1" applyBorder="1"/>
    <xf numFmtId="4" fontId="14" fillId="0" borderId="34" xfId="0" applyNumberFormat="1" applyFont="1" applyBorder="1" applyAlignment="1">
      <alignment horizontal="left"/>
    </xf>
    <xf numFmtId="4" fontId="14" fillId="0" borderId="34" xfId="0" applyNumberFormat="1" applyFont="1" applyBorder="1" applyAlignment="1">
      <alignment horizontal="center"/>
    </xf>
    <xf numFmtId="0" fontId="24" fillId="0" borderId="39" xfId="0" applyFont="1" applyBorder="1" applyAlignment="1">
      <alignment horizontal="center"/>
    </xf>
    <xf numFmtId="0" fontId="24" fillId="0" borderId="34" xfId="0" applyFont="1" applyBorder="1"/>
    <xf numFmtId="3" fontId="24" fillId="0" borderId="34" xfId="0" applyNumberFormat="1" applyFont="1" applyBorder="1"/>
    <xf numFmtId="0" fontId="37" fillId="0" borderId="39" xfId="0" applyFont="1" applyBorder="1" applyAlignment="1">
      <alignment horizontal="left"/>
    </xf>
    <xf numFmtId="0" fontId="37" fillId="0" borderId="34" xfId="0" applyFont="1" applyBorder="1"/>
    <xf numFmtId="3" fontId="37" fillId="0" borderId="34" xfId="0" applyNumberFormat="1" applyFont="1" applyBorder="1"/>
    <xf numFmtId="0" fontId="34" fillId="0" borderId="39" xfId="0" applyFont="1" applyBorder="1" applyAlignment="1">
      <alignment horizontal="left"/>
    </xf>
    <xf numFmtId="0" fontId="34" fillId="0" borderId="34" xfId="0" applyFont="1" applyBorder="1" applyAlignment="1">
      <alignment horizontal="center"/>
    </xf>
    <xf numFmtId="3" fontId="34" fillId="0" borderId="34" xfId="0" applyNumberFormat="1" applyFont="1" applyBorder="1"/>
    <xf numFmtId="0" fontId="34" fillId="0" borderId="39" xfId="0" applyFont="1" applyBorder="1"/>
    <xf numFmtId="0" fontId="37" fillId="0" borderId="34" xfId="0" applyFont="1" applyBorder="1" applyAlignment="1">
      <alignment horizontal="center"/>
    </xf>
    <xf numFmtId="3" fontId="37" fillId="0" borderId="34" xfId="0" applyNumberFormat="1" applyFont="1" applyBorder="1" applyAlignment="1">
      <alignment horizontal="center"/>
    </xf>
    <xf numFmtId="0" fontId="24" fillId="0" borderId="34" xfId="0" applyFont="1" applyBorder="1" applyAlignment="1">
      <alignment horizontal="center"/>
    </xf>
    <xf numFmtId="3" fontId="24" fillId="0" borderId="34" xfId="0" applyNumberFormat="1" applyFont="1" applyBorder="1" applyAlignment="1">
      <alignment horizontal="right"/>
    </xf>
    <xf numFmtId="3" fontId="24" fillId="0" borderId="34" xfId="0" applyNumberFormat="1" applyFont="1" applyBorder="1" applyAlignment="1">
      <alignment horizontal="center"/>
    </xf>
    <xf numFmtId="0" fontId="24" fillId="0" borderId="39" xfId="0" applyFont="1" applyBorder="1" applyAlignment="1">
      <alignment horizontal="center" vertical="center" wrapText="1"/>
    </xf>
    <xf numFmtId="0" fontId="37" fillId="0" borderId="39" xfId="0" applyFont="1" applyBorder="1"/>
    <xf numFmtId="3" fontId="37" fillId="3" borderId="34" xfId="0" applyNumberFormat="1" applyFont="1" applyFill="1" applyBorder="1"/>
    <xf numFmtId="0" fontId="37" fillId="0" borderId="129" xfId="0" applyFont="1" applyBorder="1"/>
    <xf numFmtId="0" fontId="37" fillId="0" borderId="91" xfId="0" applyFont="1" applyBorder="1" applyAlignment="1">
      <alignment horizontal="center"/>
    </xf>
    <xf numFmtId="3" fontId="34" fillId="0" borderId="91" xfId="0" applyNumberFormat="1" applyFont="1" applyBorder="1"/>
    <xf numFmtId="3" fontId="37" fillId="0" borderId="91" xfId="0" applyNumberFormat="1" applyFont="1" applyBorder="1"/>
    <xf numFmtId="0" fontId="37" fillId="0" borderId="0" xfId="0" applyFont="1"/>
    <xf numFmtId="3" fontId="34" fillId="0" borderId="14" xfId="0" applyNumberFormat="1" applyFont="1" applyBorder="1"/>
    <xf numFmtId="3" fontId="34" fillId="0" borderId="0" xfId="0" applyNumberFormat="1" applyFont="1"/>
    <xf numFmtId="0" fontId="14" fillId="5" borderId="132" xfId="0" applyFont="1" applyFill="1" applyBorder="1" applyAlignment="1">
      <alignment horizontal="center" vertical="center"/>
    </xf>
    <xf numFmtId="0" fontId="43" fillId="6" borderId="0" xfId="0" applyFont="1" applyFill="1" applyAlignment="1">
      <alignment horizontal="center"/>
    </xf>
    <xf numFmtId="4" fontId="0" fillId="0" borderId="133" xfId="0" applyNumberFormat="1" applyBorder="1"/>
    <xf numFmtId="167" fontId="24" fillId="2" borderId="134" xfId="0" applyNumberFormat="1" applyFont="1" applyFill="1" applyBorder="1"/>
    <xf numFmtId="4" fontId="44" fillId="0" borderId="0" xfId="0" applyNumberFormat="1" applyFont="1"/>
    <xf numFmtId="167" fontId="34" fillId="2" borderId="134" xfId="0" applyNumberFormat="1" applyFont="1" applyFill="1" applyBorder="1"/>
    <xf numFmtId="4" fontId="45" fillId="0" borderId="0" xfId="0" applyNumberFormat="1" applyFont="1"/>
    <xf numFmtId="3" fontId="7" fillId="0" borderId="0" xfId="0" applyNumberFormat="1" applyFont="1" applyAlignment="1">
      <alignment horizontal="center"/>
    </xf>
    <xf numFmtId="3" fontId="34" fillId="0" borderId="34" xfId="0" applyNumberFormat="1" applyFont="1" applyBorder="1" applyAlignment="1">
      <alignment horizontal="right"/>
    </xf>
    <xf numFmtId="3" fontId="37" fillId="0" borderId="34" xfId="0" applyNumberFormat="1" applyFont="1" applyBorder="1" applyAlignment="1">
      <alignment horizontal="right"/>
    </xf>
    <xf numFmtId="4" fontId="46" fillId="0" borderId="0" xfId="0" applyNumberFormat="1" applyFont="1"/>
    <xf numFmtId="4" fontId="47" fillId="0" borderId="0" xfId="0" applyNumberFormat="1" applyFont="1"/>
    <xf numFmtId="4" fontId="48" fillId="0" borderId="0" xfId="0" applyNumberFormat="1" applyFont="1"/>
    <xf numFmtId="168" fontId="37" fillId="0" borderId="130" xfId="0" applyNumberFormat="1" applyFont="1" applyBorder="1"/>
    <xf numFmtId="3" fontId="49" fillId="3" borderId="0" xfId="0" applyNumberFormat="1" applyFont="1" applyFill="1"/>
    <xf numFmtId="168" fontId="24" fillId="0" borderId="130" xfId="0" applyNumberFormat="1" applyFont="1" applyBorder="1"/>
    <xf numFmtId="3" fontId="50" fillId="0" borderId="0" xfId="0" applyNumberFormat="1" applyFont="1"/>
    <xf numFmtId="168" fontId="37" fillId="0" borderId="135" xfId="0" applyNumberFormat="1" applyFont="1" applyBorder="1"/>
    <xf numFmtId="0" fontId="51" fillId="0" borderId="0" xfId="0" applyFont="1"/>
    <xf numFmtId="4" fontId="51" fillId="0" borderId="0" xfId="0" applyNumberFormat="1" applyFont="1"/>
    <xf numFmtId="0" fontId="52" fillId="0" borderId="0" xfId="0" applyFont="1" applyAlignment="1">
      <alignment horizontal="center"/>
    </xf>
    <xf numFmtId="0" fontId="52" fillId="0" borderId="0" xfId="0" applyFont="1"/>
    <xf numFmtId="0" fontId="53" fillId="0" borderId="0" xfId="0" applyFont="1"/>
    <xf numFmtId="4" fontId="54" fillId="0" borderId="0" xfId="0" applyNumberFormat="1" applyFont="1"/>
    <xf numFmtId="0" fontId="9" fillId="0" borderId="0" xfId="0" applyFont="1"/>
    <xf numFmtId="0" fontId="14" fillId="5" borderId="142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143" xfId="0" applyFont="1" applyFill="1" applyBorder="1" applyAlignment="1">
      <alignment horizontal="center" vertical="center" wrapText="1"/>
    </xf>
    <xf numFmtId="0" fontId="14" fillId="5" borderId="25" xfId="0" applyFont="1" applyFill="1" applyBorder="1" applyAlignment="1">
      <alignment horizontal="center" vertical="center" wrapText="1"/>
    </xf>
    <xf numFmtId="0" fontId="14" fillId="5" borderId="144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7" fillId="0" borderId="20" xfId="0" applyFont="1" applyBorder="1"/>
    <xf numFmtId="3" fontId="0" fillId="0" borderId="21" xfId="0" applyNumberFormat="1" applyBorder="1"/>
    <xf numFmtId="3" fontId="0" fillId="0" borderId="29" xfId="0" applyNumberFormat="1" applyBorder="1"/>
    <xf numFmtId="3" fontId="0" fillId="0" borderId="134" xfId="0" applyNumberFormat="1" applyBorder="1"/>
    <xf numFmtId="0" fontId="24" fillId="0" borderId="145" xfId="0" applyFont="1" applyBorder="1"/>
    <xf numFmtId="3" fontId="24" fillId="0" borderId="20" xfId="0" applyNumberFormat="1" applyFont="1" applyBorder="1"/>
    <xf numFmtId="3" fontId="24" fillId="2" borderId="21" xfId="0" applyNumberFormat="1" applyFont="1" applyFill="1" applyBorder="1"/>
    <xf numFmtId="3" fontId="24" fillId="0" borderId="21" xfId="0" applyNumberFormat="1" applyFont="1" applyBorder="1"/>
    <xf numFmtId="3" fontId="24" fillId="0" borderId="134" xfId="0" applyNumberFormat="1" applyFont="1" applyBorder="1"/>
    <xf numFmtId="0" fontId="24" fillId="0" borderId="0" xfId="0" applyFont="1" applyAlignment="1">
      <alignment horizontal="left"/>
    </xf>
    <xf numFmtId="0" fontId="24" fillId="0" borderId="145" xfId="0" applyFont="1" applyBorder="1" applyAlignment="1">
      <alignment horizontal="left"/>
    </xf>
    <xf numFmtId="3" fontId="24" fillId="0" borderId="20" xfId="0" applyNumberFormat="1" applyFont="1" applyBorder="1" applyAlignment="1">
      <alignment horizontal="right"/>
    </xf>
    <xf numFmtId="0" fontId="34" fillId="0" borderId="145" xfId="0" applyFont="1" applyBorder="1" applyAlignment="1">
      <alignment horizontal="left"/>
    </xf>
    <xf numFmtId="3" fontId="34" fillId="0" borderId="20" xfId="0" applyNumberFormat="1" applyFont="1" applyBorder="1" applyAlignment="1">
      <alignment horizontal="left"/>
    </xf>
    <xf numFmtId="3" fontId="34" fillId="0" borderId="21" xfId="0" applyNumberFormat="1" applyFont="1" applyBorder="1"/>
    <xf numFmtId="3" fontId="34" fillId="0" borderId="134" xfId="0" applyNumberFormat="1" applyFont="1" applyBorder="1"/>
    <xf numFmtId="0" fontId="34" fillId="0" borderId="145" xfId="0" applyFont="1" applyBorder="1"/>
    <xf numFmtId="3" fontId="34" fillId="0" borderId="20" xfId="0" applyNumberFormat="1" applyFont="1" applyBorder="1"/>
    <xf numFmtId="164" fontId="24" fillId="0" borderId="145" xfId="1" applyFont="1" applyFill="1" applyBorder="1" applyAlignment="1" applyProtection="1"/>
    <xf numFmtId="3" fontId="24" fillId="0" borderId="20" xfId="1" applyNumberFormat="1" applyFont="1" applyFill="1" applyBorder="1" applyAlignment="1" applyProtection="1"/>
    <xf numFmtId="0" fontId="34" fillId="0" borderId="0" xfId="0" applyFont="1" applyAlignment="1">
      <alignment horizontal="left"/>
    </xf>
    <xf numFmtId="3" fontId="35" fillId="0" borderId="21" xfId="0" applyNumberFormat="1" applyFont="1" applyBorder="1"/>
    <xf numFmtId="3" fontId="36" fillId="0" borderId="21" xfId="0" applyNumberFormat="1" applyFont="1" applyBorder="1"/>
    <xf numFmtId="3" fontId="34" fillId="0" borderId="21" xfId="0" applyNumberFormat="1" applyFont="1" applyBorder="1" applyAlignment="1">
      <alignment horizontal="right"/>
    </xf>
    <xf numFmtId="3" fontId="34" fillId="2" borderId="134" xfId="0" applyNumberFormat="1" applyFont="1" applyFill="1" applyBorder="1"/>
    <xf numFmtId="3" fontId="24" fillId="2" borderId="134" xfId="0" applyNumberFormat="1" applyFont="1" applyFill="1" applyBorder="1"/>
    <xf numFmtId="0" fontId="24" fillId="0" borderId="19" xfId="0" applyFont="1" applyBorder="1" applyAlignment="1">
      <alignment horizontal="left"/>
    </xf>
    <xf numFmtId="0" fontId="34" fillId="0" borderId="146" xfId="0" applyFont="1" applyBorder="1"/>
    <xf numFmtId="3" fontId="34" fillId="0" borderId="22" xfId="0" applyNumberFormat="1" applyFont="1" applyBorder="1"/>
    <xf numFmtId="3" fontId="34" fillId="2" borderId="147" xfId="0" applyNumberFormat="1" applyFont="1" applyFill="1" applyBorder="1"/>
    <xf numFmtId="0" fontId="24" fillId="0" borderId="20" xfId="0" applyFont="1" applyBorder="1" applyAlignment="1">
      <alignment horizontal="left"/>
    </xf>
    <xf numFmtId="170" fontId="24" fillId="2" borderId="21" xfId="0" applyNumberFormat="1" applyFont="1" applyFill="1" applyBorder="1"/>
    <xf numFmtId="170" fontId="34" fillId="2" borderId="21" xfId="0" applyNumberFormat="1" applyFont="1" applyFill="1" applyBorder="1"/>
    <xf numFmtId="37" fontId="34" fillId="0" borderId="21" xfId="0" applyNumberFormat="1" applyFont="1" applyBorder="1"/>
    <xf numFmtId="0" fontId="34" fillId="0" borderId="23" xfId="0" applyFont="1" applyBorder="1"/>
    <xf numFmtId="0" fontId="34" fillId="0" borderId="22" xfId="0" applyFont="1" applyBorder="1"/>
    <xf numFmtId="37" fontId="34" fillId="0" borderId="22" xfId="0" applyNumberFormat="1" applyFont="1" applyBorder="1"/>
    <xf numFmtId="0" fontId="34" fillId="0" borderId="26" xfId="0" applyFont="1" applyBorder="1"/>
    <xf numFmtId="0" fontId="34" fillId="0" borderId="0" xfId="0" applyFont="1"/>
    <xf numFmtId="3" fontId="34" fillId="0" borderId="26" xfId="0" applyNumberFormat="1" applyFont="1" applyBorder="1"/>
    <xf numFmtId="37" fontId="34" fillId="0" borderId="26" xfId="0" applyNumberFormat="1" applyFont="1" applyBorder="1"/>
    <xf numFmtId="37" fontId="0" fillId="0" borderId="0" xfId="0" applyNumberFormat="1"/>
    <xf numFmtId="0" fontId="30" fillId="0" borderId="0" xfId="0" applyFont="1"/>
    <xf numFmtId="0" fontId="55" fillId="0" borderId="0" xfId="0" applyFont="1"/>
    <xf numFmtId="3" fontId="30" fillId="0" borderId="0" xfId="0" applyNumberFormat="1" applyFont="1"/>
    <xf numFmtId="4" fontId="19" fillId="0" borderId="0" xfId="0" applyNumberFormat="1" applyFont="1"/>
    <xf numFmtId="0" fontId="14" fillId="5" borderId="4" xfId="0" applyFont="1" applyFill="1" applyBorder="1" applyAlignment="1">
      <alignment horizontal="center" vertical="center" wrapText="1"/>
    </xf>
    <xf numFmtId="168" fontId="24" fillId="0" borderId="0" xfId="0" applyNumberFormat="1" applyFont="1" applyAlignment="1">
      <alignment horizontal="center"/>
    </xf>
    <xf numFmtId="3" fontId="53" fillId="0" borderId="0" xfId="0" applyNumberFormat="1" applyFont="1"/>
    <xf numFmtId="0" fontId="24" fillId="0" borderId="0" xfId="0" applyFont="1" applyAlignment="1">
      <alignment horizontal="center"/>
    </xf>
    <xf numFmtId="4" fontId="53" fillId="0" borderId="0" xfId="0" applyNumberFormat="1" applyFont="1"/>
    <xf numFmtId="168" fontId="34" fillId="0" borderId="0" xfId="0" applyNumberFormat="1" applyFont="1" applyAlignment="1">
      <alignment horizontal="center"/>
    </xf>
    <xf numFmtId="0" fontId="56" fillId="0" borderId="0" xfId="0" applyFont="1"/>
    <xf numFmtId="168" fontId="34" fillId="0" borderId="18" xfId="0" applyNumberFormat="1" applyFont="1" applyBorder="1" applyAlignment="1">
      <alignment horizontal="center"/>
    </xf>
    <xf numFmtId="0" fontId="34" fillId="0" borderId="27" xfId="0" applyFont="1" applyBorder="1"/>
    <xf numFmtId="0" fontId="59" fillId="4" borderId="26" xfId="0" applyFont="1" applyFill="1" applyBorder="1"/>
    <xf numFmtId="0" fontId="58" fillId="4" borderId="0" xfId="0" applyFont="1" applyFill="1" applyAlignment="1">
      <alignment horizontal="center"/>
    </xf>
    <xf numFmtId="0" fontId="58" fillId="4" borderId="12" xfId="0" applyFont="1" applyFill="1" applyBorder="1" applyAlignment="1">
      <alignment horizontal="center"/>
    </xf>
    <xf numFmtId="0" fontId="59" fillId="4" borderId="28" xfId="0" applyFont="1" applyFill="1" applyBorder="1"/>
    <xf numFmtId="0" fontId="59" fillId="4" borderId="13" xfId="0" applyFont="1" applyFill="1" applyBorder="1"/>
    <xf numFmtId="0" fontId="0" fillId="0" borderId="12" xfId="0" applyBorder="1" applyAlignment="1">
      <alignment horizontal="left"/>
    </xf>
    <xf numFmtId="0" fontId="9" fillId="0" borderId="8" xfId="0" applyFont="1" applyBorder="1" applyAlignment="1">
      <alignment horizontal="center" vertical="center"/>
    </xf>
    <xf numFmtId="3" fontId="61" fillId="0" borderId="0" xfId="0" applyNumberFormat="1" applyFont="1" applyAlignment="1">
      <alignment horizontal="right" vertical="center"/>
    </xf>
    <xf numFmtId="3" fontId="61" fillId="0" borderId="12" xfId="0" applyNumberFormat="1" applyFont="1" applyBorder="1" applyAlignment="1">
      <alignment horizontal="right" vertical="center"/>
    </xf>
    <xf numFmtId="0" fontId="16" fillId="0" borderId="8" xfId="0" applyFont="1" applyBorder="1"/>
    <xf numFmtId="3" fontId="16" fillId="0" borderId="12" xfId="0" applyNumberFormat="1" applyFont="1" applyBorder="1" applyAlignment="1">
      <alignment horizontal="left"/>
    </xf>
    <xf numFmtId="3" fontId="16" fillId="0" borderId="0" xfId="0" applyNumberFormat="1" applyFont="1" applyAlignment="1">
      <alignment horizontal="left"/>
    </xf>
    <xf numFmtId="0" fontId="0" fillId="0" borderId="8" xfId="0" applyBorder="1" applyAlignment="1">
      <alignment vertical="center"/>
    </xf>
    <xf numFmtId="3" fontId="0" fillId="0" borderId="12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57" fillId="0" borderId="0" xfId="0" applyFont="1"/>
    <xf numFmtId="3" fontId="16" fillId="0" borderId="12" xfId="0" applyNumberFormat="1" applyFont="1" applyBorder="1" applyAlignment="1">
      <alignment horizontal="right"/>
    </xf>
    <xf numFmtId="3" fontId="16" fillId="0" borderId="0" xfId="0" applyNumberFormat="1" applyFont="1" applyAlignment="1">
      <alignment horizontal="right"/>
    </xf>
    <xf numFmtId="3" fontId="9" fillId="0" borderId="12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3" fontId="21" fillId="0" borderId="0" xfId="0" applyNumberFormat="1" applyFont="1" applyAlignment="1">
      <alignment horizontal="right" vertical="center"/>
    </xf>
    <xf numFmtId="3" fontId="21" fillId="0" borderId="12" xfId="0" applyNumberFormat="1" applyFont="1" applyBorder="1" applyAlignment="1">
      <alignment horizontal="right" vertical="center"/>
    </xf>
    <xf numFmtId="3" fontId="0" fillId="0" borderId="12" xfId="0" applyNumberFormat="1" applyBorder="1"/>
    <xf numFmtId="0" fontId="16" fillId="0" borderId="12" xfId="0" applyFont="1" applyBorder="1"/>
    <xf numFmtId="3" fontId="16" fillId="0" borderId="0" xfId="0" applyNumberFormat="1" applyFont="1"/>
    <xf numFmtId="0" fontId="63" fillId="0" borderId="0" xfId="5" applyFont="1"/>
    <xf numFmtId="0" fontId="63" fillId="0" borderId="0" xfId="5" applyFont="1" applyAlignment="1">
      <alignment horizontal="left"/>
    </xf>
    <xf numFmtId="0" fontId="64" fillId="0" borderId="0" xfId="5" applyFont="1" applyAlignment="1">
      <alignment horizontal="center"/>
    </xf>
    <xf numFmtId="0" fontId="62" fillId="0" borderId="0" xfId="5"/>
    <xf numFmtId="0" fontId="66" fillId="0" borderId="0" xfId="5" applyFont="1"/>
    <xf numFmtId="0" fontId="62" fillId="0" borderId="0" xfId="5" applyAlignment="1">
      <alignment horizontal="center"/>
    </xf>
    <xf numFmtId="0" fontId="68" fillId="5" borderId="24" xfId="5" applyFont="1" applyFill="1" applyBorder="1" applyAlignment="1">
      <alignment horizontal="center" vertical="center"/>
    </xf>
    <xf numFmtId="0" fontId="68" fillId="5" borderId="22" xfId="5" applyFont="1" applyFill="1" applyBorder="1" applyAlignment="1">
      <alignment horizontal="center" vertical="center" wrapText="1"/>
    </xf>
    <xf numFmtId="0" fontId="68" fillId="5" borderId="149" xfId="5" applyFont="1" applyFill="1" applyBorder="1" applyAlignment="1">
      <alignment horizontal="center" vertical="center" wrapText="1"/>
    </xf>
    <xf numFmtId="0" fontId="62" fillId="0" borderId="20" xfId="5" applyBorder="1"/>
    <xf numFmtId="0" fontId="62" fillId="0" borderId="152" xfId="5" applyBorder="1"/>
    <xf numFmtId="0" fontId="69" fillId="0" borderId="21" xfId="5" applyFont="1" applyBorder="1" applyAlignment="1">
      <alignment horizontal="center"/>
    </xf>
    <xf numFmtId="175" fontId="69" fillId="0" borderId="29" xfId="5" applyNumberFormat="1" applyFont="1" applyBorder="1" applyAlignment="1">
      <alignment horizontal="center"/>
    </xf>
    <xf numFmtId="0" fontId="62" fillId="0" borderId="57" xfId="5" applyBorder="1"/>
    <xf numFmtId="0" fontId="70" fillId="0" borderId="20" xfId="5" applyFont="1" applyBorder="1"/>
    <xf numFmtId="3" fontId="70" fillId="3" borderId="21" xfId="5" applyNumberFormat="1" applyFont="1" applyFill="1" applyBorder="1"/>
    <xf numFmtId="3" fontId="70" fillId="0" borderId="21" xfId="5" applyNumberFormat="1" applyFont="1" applyBorder="1"/>
    <xf numFmtId="0" fontId="62" fillId="8" borderId="0" xfId="5" applyFill="1"/>
    <xf numFmtId="0" fontId="70" fillId="3" borderId="20" xfId="5" applyFont="1" applyFill="1" applyBorder="1" applyAlignment="1">
      <alignment horizontal="left"/>
    </xf>
    <xf numFmtId="3" fontId="70" fillId="3" borderId="20" xfId="5" applyNumberFormat="1" applyFont="1" applyFill="1" applyBorder="1"/>
    <xf numFmtId="0" fontId="71" fillId="3" borderId="20" xfId="5" applyFont="1" applyFill="1" applyBorder="1" applyAlignment="1">
      <alignment horizontal="left"/>
    </xf>
    <xf numFmtId="3" fontId="71" fillId="3" borderId="21" xfId="5" applyNumberFormat="1" applyFont="1" applyFill="1" applyBorder="1"/>
    <xf numFmtId="0" fontId="72" fillId="3" borderId="20" xfId="5" applyFont="1" applyFill="1" applyBorder="1"/>
    <xf numFmtId="3" fontId="72" fillId="3" borderId="21" xfId="5" applyNumberFormat="1" applyFont="1" applyFill="1" applyBorder="1"/>
    <xf numFmtId="0" fontId="72" fillId="3" borderId="20" xfId="5" applyFont="1" applyFill="1" applyBorder="1" applyAlignment="1">
      <alignment horizontal="left"/>
    </xf>
    <xf numFmtId="0" fontId="72" fillId="3" borderId="21" xfId="5" applyFont="1" applyFill="1" applyBorder="1" applyAlignment="1">
      <alignment horizontal="left"/>
    </xf>
    <xf numFmtId="3" fontId="62" fillId="0" borderId="0" xfId="5" applyNumberFormat="1"/>
    <xf numFmtId="0" fontId="73" fillId="3" borderId="20" xfId="5" applyFont="1" applyFill="1" applyBorder="1" applyAlignment="1">
      <alignment horizontal="left"/>
    </xf>
    <xf numFmtId="0" fontId="73" fillId="3" borderId="21" xfId="5" applyFont="1" applyFill="1" applyBorder="1" applyAlignment="1">
      <alignment horizontal="left"/>
    </xf>
    <xf numFmtId="3" fontId="71" fillId="7" borderId="21" xfId="5" applyNumberFormat="1" applyFont="1" applyFill="1" applyBorder="1"/>
    <xf numFmtId="0" fontId="70" fillId="3" borderId="23" xfId="5" applyFont="1" applyFill="1" applyBorder="1" applyAlignment="1">
      <alignment horizontal="left"/>
    </xf>
    <xf numFmtId="0" fontId="68" fillId="3" borderId="0" xfId="5" applyFont="1" applyFill="1"/>
    <xf numFmtId="0" fontId="69" fillId="3" borderId="0" xfId="5" applyFont="1" applyFill="1"/>
    <xf numFmtId="0" fontId="74" fillId="0" borderId="0" xfId="5" applyFont="1"/>
    <xf numFmtId="0" fontId="75" fillId="0" borderId="0" xfId="5" applyFont="1"/>
    <xf numFmtId="0" fontId="68" fillId="0" borderId="0" xfId="5" applyFont="1"/>
    <xf numFmtId="0" fontId="76" fillId="0" borderId="0" xfId="5" applyFont="1"/>
    <xf numFmtId="3" fontId="77" fillId="0" borderId="0" xfId="5" applyNumberFormat="1" applyFont="1" applyAlignment="1">
      <alignment horizontal="left"/>
    </xf>
    <xf numFmtId="3" fontId="72" fillId="0" borderId="21" xfId="5" applyNumberFormat="1" applyFont="1" applyBorder="1"/>
    <xf numFmtId="0" fontId="72" fillId="0" borderId="20" xfId="5" applyFont="1" applyBorder="1" applyAlignment="1">
      <alignment horizontal="left"/>
    </xf>
    <xf numFmtId="0" fontId="72" fillId="0" borderId="21" xfId="5" applyFont="1" applyBorder="1" applyAlignment="1">
      <alignment horizontal="left"/>
    </xf>
    <xf numFmtId="0" fontId="70" fillId="0" borderId="20" xfId="5" applyFont="1" applyBorder="1" applyAlignment="1">
      <alignment horizontal="left"/>
    </xf>
    <xf numFmtId="0" fontId="70" fillId="0" borderId="21" xfId="5" applyFont="1" applyBorder="1" applyAlignment="1">
      <alignment horizontal="left"/>
    </xf>
    <xf numFmtId="3" fontId="70" fillId="0" borderId="21" xfId="5" applyNumberFormat="1" applyFont="1" applyBorder="1" applyAlignment="1">
      <alignment horizontal="right"/>
    </xf>
    <xf numFmtId="170" fontId="70" fillId="0" borderId="21" xfId="5" applyNumberFormat="1" applyFont="1" applyBorder="1" applyAlignment="1">
      <alignment horizontal="right"/>
    </xf>
    <xf numFmtId="3" fontId="70" fillId="0" borderId="20" xfId="5" applyNumberFormat="1" applyFont="1" applyBorder="1" applyAlignment="1">
      <alignment horizontal="right"/>
    </xf>
    <xf numFmtId="0" fontId="70" fillId="3" borderId="153" xfId="5" applyFont="1" applyFill="1" applyBorder="1" applyAlignment="1">
      <alignment horizontal="left"/>
    </xf>
    <xf numFmtId="170" fontId="70" fillId="3" borderId="153" xfId="5" applyNumberFormat="1" applyFont="1" applyFill="1" applyBorder="1"/>
    <xf numFmtId="167" fontId="70" fillId="3" borderId="153" xfId="5" applyNumberFormat="1" applyFont="1" applyFill="1" applyBorder="1" applyAlignment="1">
      <alignment horizontal="right"/>
    </xf>
    <xf numFmtId="3" fontId="8" fillId="3" borderId="33" xfId="0" applyNumberFormat="1" applyFont="1" applyFill="1" applyBorder="1"/>
    <xf numFmtId="3" fontId="8" fillId="0" borderId="41" xfId="0" applyNumberFormat="1" applyFont="1" applyBorder="1"/>
    <xf numFmtId="169" fontId="70" fillId="3" borderId="29" xfId="5" applyNumberFormat="1" applyFont="1" applyFill="1" applyBorder="1" applyAlignment="1">
      <alignment horizontal="center"/>
    </xf>
    <xf numFmtId="169" fontId="70" fillId="0" borderId="29" xfId="5" applyNumberFormat="1" applyFont="1" applyBorder="1" applyAlignment="1">
      <alignment horizontal="center"/>
    </xf>
    <xf numFmtId="169" fontId="71" fillId="3" borderId="29" xfId="5" applyNumberFormat="1" applyFont="1" applyFill="1" applyBorder="1" applyAlignment="1">
      <alignment horizontal="center"/>
    </xf>
    <xf numFmtId="169" fontId="72" fillId="3" borderId="29" xfId="5" applyNumberFormat="1" applyFont="1" applyFill="1" applyBorder="1" applyAlignment="1">
      <alignment horizontal="center"/>
    </xf>
    <xf numFmtId="169" fontId="71" fillId="3" borderId="27" xfId="5" applyNumberFormat="1" applyFont="1" applyFill="1" applyBorder="1" applyAlignment="1">
      <alignment horizontal="center"/>
    </xf>
    <xf numFmtId="0" fontId="69" fillId="3" borderId="0" xfId="5" applyFont="1" applyFill="1" applyAlignment="1">
      <alignment horizontal="center"/>
    </xf>
    <xf numFmtId="0" fontId="74" fillId="0" borderId="0" xfId="5" applyFont="1" applyAlignment="1">
      <alignment horizontal="center"/>
    </xf>
    <xf numFmtId="0" fontId="75" fillId="0" borderId="0" xfId="5" applyFont="1" applyAlignment="1">
      <alignment horizontal="center"/>
    </xf>
    <xf numFmtId="0" fontId="38" fillId="0" borderId="0" xfId="0" applyFont="1"/>
    <xf numFmtId="3" fontId="37" fillId="0" borderId="0" xfId="0" applyNumberFormat="1" applyFont="1"/>
    <xf numFmtId="169" fontId="37" fillId="0" borderId="0" xfId="0" applyNumberFormat="1" applyFont="1" applyAlignment="1">
      <alignment horizontal="center"/>
    </xf>
    <xf numFmtId="169" fontId="20" fillId="0" borderId="0" xfId="0" applyNumberFormat="1" applyFont="1" applyAlignment="1">
      <alignment horizontal="center"/>
    </xf>
    <xf numFmtId="168" fontId="7" fillId="0" borderId="40" xfId="0" applyNumberFormat="1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168" fontId="0" fillId="0" borderId="40" xfId="0" applyNumberFormat="1" applyBorder="1" applyAlignment="1">
      <alignment horizontal="center"/>
    </xf>
    <xf numFmtId="0" fontId="0" fillId="0" borderId="50" xfId="0" applyBorder="1" applyAlignment="1">
      <alignment horizontal="center"/>
    </xf>
    <xf numFmtId="3" fontId="7" fillId="0" borderId="48" xfId="0" applyNumberFormat="1" applyFont="1" applyBorder="1" applyAlignment="1">
      <alignment horizontal="right" vertical="center"/>
    </xf>
    <xf numFmtId="3" fontId="0" fillId="0" borderId="48" xfId="0" applyNumberFormat="1" applyBorder="1" applyAlignment="1">
      <alignment horizontal="right"/>
    </xf>
    <xf numFmtId="169" fontId="7" fillId="0" borderId="71" xfId="0" applyNumberFormat="1" applyFont="1" applyBorder="1" applyAlignment="1">
      <alignment horizontal="center" vertical="center"/>
    </xf>
    <xf numFmtId="169" fontId="7" fillId="0" borderId="69" xfId="0" applyNumberFormat="1" applyFont="1" applyBorder="1" applyAlignment="1">
      <alignment horizontal="center"/>
    </xf>
    <xf numFmtId="169" fontId="0" fillId="0" borderId="69" xfId="0" applyNumberFormat="1" applyBorder="1" applyAlignment="1">
      <alignment horizontal="center"/>
    </xf>
    <xf numFmtId="168" fontId="7" fillId="0" borderId="72" xfId="0" applyNumberFormat="1" applyFont="1" applyBorder="1" applyAlignment="1">
      <alignment horizontal="center" vertical="center"/>
    </xf>
    <xf numFmtId="168" fontId="0" fillId="0" borderId="69" xfId="0" applyNumberFormat="1" applyBorder="1" applyAlignment="1">
      <alignment horizontal="center"/>
    </xf>
    <xf numFmtId="168" fontId="7" fillId="0" borderId="73" xfId="0" applyNumberFormat="1" applyFont="1" applyBorder="1" applyAlignment="1">
      <alignment horizontal="center" vertical="center"/>
    </xf>
    <xf numFmtId="0" fontId="0" fillId="0" borderId="69" xfId="0" applyBorder="1" applyAlignment="1">
      <alignment horizontal="center"/>
    </xf>
    <xf numFmtId="168" fontId="24" fillId="0" borderId="74" xfId="0" applyNumberFormat="1" applyFont="1" applyBorder="1" applyAlignment="1">
      <alignment horizontal="center" vertical="center"/>
    </xf>
    <xf numFmtId="168" fontId="24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168" fontId="8" fillId="0" borderId="16" xfId="0" applyNumberFormat="1" applyFont="1" applyBorder="1" applyAlignment="1">
      <alignment horizontal="center"/>
    </xf>
    <xf numFmtId="168" fontId="18" fillId="0" borderId="15" xfId="0" applyNumberFormat="1" applyFont="1" applyBorder="1" applyAlignment="1">
      <alignment horizontal="center"/>
    </xf>
    <xf numFmtId="168" fontId="18" fillId="0" borderId="15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center"/>
    </xf>
    <xf numFmtId="168" fontId="8" fillId="0" borderId="18" xfId="0" applyNumberFormat="1" applyFont="1" applyBorder="1" applyAlignment="1">
      <alignment horizontal="center"/>
    </xf>
    <xf numFmtId="4" fontId="14" fillId="0" borderId="81" xfId="0" applyNumberFormat="1" applyFont="1" applyBorder="1" applyAlignment="1">
      <alignment vertical="center"/>
    </xf>
    <xf numFmtId="4" fontId="14" fillId="0" borderId="6" xfId="0" applyNumberFormat="1" applyFont="1" applyBorder="1"/>
    <xf numFmtId="4" fontId="12" fillId="0" borderId="6" xfId="0" applyNumberFormat="1" applyFont="1" applyBorder="1"/>
    <xf numFmtId="4" fontId="12" fillId="0" borderId="6" xfId="0" applyNumberFormat="1" applyFont="1" applyBorder="1" applyAlignment="1">
      <alignment horizontal="right"/>
    </xf>
    <xf numFmtId="4" fontId="14" fillId="0" borderId="83" xfId="0" applyNumberFormat="1" applyFont="1" applyBorder="1" applyAlignment="1">
      <alignment vertical="center"/>
    </xf>
    <xf numFmtId="4" fontId="26" fillId="0" borderId="6" xfId="0" applyNumberFormat="1" applyFont="1" applyBorder="1"/>
    <xf numFmtId="4" fontId="12" fillId="3" borderId="6" xfId="0" applyNumberFormat="1" applyFont="1" applyFill="1" applyBorder="1"/>
    <xf numFmtId="4" fontId="12" fillId="0" borderId="40" xfId="0" applyNumberFormat="1" applyFont="1" applyBorder="1"/>
    <xf numFmtId="4" fontId="12" fillId="0" borderId="91" xfId="0" applyNumberFormat="1" applyFont="1" applyBorder="1"/>
    <xf numFmtId="4" fontId="14" fillId="0" borderId="93" xfId="0" applyNumberFormat="1" applyFont="1" applyBorder="1" applyAlignment="1">
      <alignment vertical="center"/>
    </xf>
    <xf numFmtId="4" fontId="14" fillId="0" borderId="94" xfId="0" applyNumberFormat="1" applyFont="1" applyBorder="1" applyAlignment="1">
      <alignment vertical="center"/>
    </xf>
    <xf numFmtId="4" fontId="14" fillId="0" borderId="57" xfId="0" applyNumberFormat="1" applyFont="1" applyBorder="1" applyAlignment="1">
      <alignment vertical="center"/>
    </xf>
    <xf numFmtId="4" fontId="14" fillId="0" borderId="56" xfId="0" applyNumberFormat="1" applyFont="1" applyBorder="1" applyAlignment="1">
      <alignment vertical="center"/>
    </xf>
    <xf numFmtId="4" fontId="14" fillId="0" borderId="95" xfId="0" applyNumberFormat="1" applyFont="1" applyBorder="1" applyAlignment="1">
      <alignment vertical="center"/>
    </xf>
    <xf numFmtId="4" fontId="14" fillId="0" borderId="6" xfId="0" applyNumberFormat="1" applyFont="1" applyBorder="1" applyAlignment="1">
      <alignment vertical="center"/>
    </xf>
    <xf numFmtId="4" fontId="12" fillId="0" borderId="57" xfId="0" applyNumberFormat="1" applyFont="1" applyBorder="1"/>
    <xf numFmtId="4" fontId="12" fillId="0" borderId="0" xfId="0" applyNumberFormat="1" applyFont="1"/>
    <xf numFmtId="4" fontId="12" fillId="0" borderId="95" xfId="0" applyNumberFormat="1" applyFont="1" applyBorder="1"/>
    <xf numFmtId="4" fontId="14" fillId="0" borderId="57" xfId="0" applyNumberFormat="1" applyFont="1" applyBorder="1"/>
    <xf numFmtId="4" fontId="14" fillId="0" borderId="56" xfId="0" applyNumberFormat="1" applyFont="1" applyBorder="1"/>
    <xf numFmtId="4" fontId="14" fillId="0" borderId="95" xfId="0" applyNumberFormat="1" applyFont="1" applyBorder="1"/>
    <xf numFmtId="4" fontId="12" fillId="0" borderId="35" xfId="0" applyNumberFormat="1" applyFont="1" applyBorder="1"/>
    <xf numFmtId="4" fontId="12" fillId="0" borderId="56" xfId="0" applyNumberFormat="1" applyFont="1" applyBorder="1"/>
    <xf numFmtId="4" fontId="12" fillId="0" borderId="69" xfId="0" applyNumberFormat="1" applyFont="1" applyBorder="1"/>
    <xf numFmtId="4" fontId="14" fillId="0" borderId="29" xfId="0" applyNumberFormat="1" applyFont="1" applyBorder="1" applyAlignment="1">
      <alignment vertical="center"/>
    </xf>
    <xf numFmtId="4" fontId="12" fillId="0" borderId="21" xfId="0" applyNumberFormat="1" applyFont="1" applyBorder="1"/>
    <xf numFmtId="4" fontId="12" fillId="0" borderId="29" xfId="0" applyNumberFormat="1" applyFont="1" applyBorder="1"/>
    <xf numFmtId="4" fontId="14" fillId="0" borderId="69" xfId="0" applyNumberFormat="1" applyFont="1" applyBorder="1" applyAlignment="1">
      <alignment vertical="center"/>
    </xf>
    <xf numFmtId="4" fontId="14" fillId="0" borderId="21" xfId="0" applyNumberFormat="1" applyFont="1" applyBorder="1" applyAlignment="1">
      <alignment vertical="center"/>
    </xf>
    <xf numFmtId="4" fontId="14" fillId="0" borderId="98" xfId="0" applyNumberFormat="1" applyFont="1" applyBorder="1"/>
    <xf numFmtId="4" fontId="12" fillId="0" borderId="98" xfId="0" applyNumberFormat="1" applyFont="1" applyBorder="1"/>
    <xf numFmtId="4" fontId="14" fillId="0" borderId="62" xfId="0" applyNumberFormat="1" applyFont="1" applyBorder="1" applyAlignment="1">
      <alignment vertical="center"/>
    </xf>
    <xf numFmtId="4" fontId="14" fillId="0" borderId="73" xfId="0" applyNumberFormat="1" applyFont="1" applyBorder="1" applyAlignment="1">
      <alignment vertical="center"/>
    </xf>
    <xf numFmtId="4" fontId="14" fillId="0" borderId="99" xfId="0" applyNumberFormat="1" applyFont="1" applyBorder="1" applyAlignment="1">
      <alignment vertical="center"/>
    </xf>
    <xf numFmtId="4" fontId="14" fillId="0" borderId="69" xfId="0" applyNumberFormat="1" applyFont="1" applyBorder="1"/>
    <xf numFmtId="4" fontId="12" fillId="0" borderId="15" xfId="0" applyNumberFormat="1" applyFont="1" applyBorder="1"/>
    <xf numFmtId="4" fontId="27" fillId="0" borderId="62" xfId="0" applyNumberFormat="1" applyFont="1" applyBorder="1" applyAlignment="1">
      <alignment vertical="center"/>
    </xf>
    <xf numFmtId="4" fontId="14" fillId="0" borderId="15" xfId="0" applyNumberFormat="1" applyFont="1" applyBorder="1"/>
    <xf numFmtId="4" fontId="12" fillId="0" borderId="8" xfId="0" applyNumberFormat="1" applyFont="1" applyBorder="1"/>
    <xf numFmtId="4" fontId="12" fillId="0" borderId="100" xfId="0" applyNumberFormat="1" applyFont="1" applyBorder="1"/>
    <xf numFmtId="4" fontId="7" fillId="0" borderId="102" xfId="0" applyNumberFormat="1" applyFont="1" applyBorder="1" applyAlignment="1">
      <alignment vertical="center"/>
    </xf>
    <xf numFmtId="4" fontId="7" fillId="0" borderId="103" xfId="0" applyNumberFormat="1" applyFont="1" applyBorder="1" applyAlignment="1">
      <alignment vertical="center"/>
    </xf>
    <xf numFmtId="4" fontId="7" fillId="0" borderId="104" xfId="0" applyNumberFormat="1" applyFont="1" applyBorder="1" applyAlignment="1">
      <alignment vertical="center"/>
    </xf>
    <xf numFmtId="4" fontId="29" fillId="0" borderId="102" xfId="0" applyNumberFormat="1" applyFont="1" applyBorder="1" applyAlignment="1">
      <alignment vertical="center"/>
    </xf>
    <xf numFmtId="4" fontId="39" fillId="0" borderId="0" xfId="0" applyNumberFormat="1" applyFont="1"/>
    <xf numFmtId="167" fontId="12" fillId="0" borderId="6" xfId="0" applyNumberFormat="1" applyFont="1" applyBorder="1"/>
    <xf numFmtId="167" fontId="14" fillId="0" borderId="6" xfId="0" applyNumberFormat="1" applyFont="1" applyBorder="1"/>
    <xf numFmtId="167" fontId="12" fillId="0" borderId="95" xfId="0" applyNumberFormat="1" applyFont="1" applyBorder="1"/>
    <xf numFmtId="174" fontId="12" fillId="0" borderId="95" xfId="0" applyNumberFormat="1" applyFont="1" applyBorder="1"/>
    <xf numFmtId="167" fontId="14" fillId="0" borderId="56" xfId="0" applyNumberFormat="1" applyFont="1" applyBorder="1" applyAlignment="1">
      <alignment vertical="center"/>
    </xf>
    <xf numFmtId="167" fontId="14" fillId="0" borderId="29" xfId="0" applyNumberFormat="1" applyFont="1" applyBorder="1" applyAlignment="1">
      <alignment vertical="center"/>
    </xf>
    <xf numFmtId="4" fontId="14" fillId="0" borderId="154" xfId="0" applyNumberFormat="1" applyFont="1" applyBorder="1"/>
    <xf numFmtId="4" fontId="12" fillId="0" borderId="155" xfId="0" applyNumberFormat="1" applyFont="1" applyBorder="1"/>
    <xf numFmtId="4" fontId="14" fillId="0" borderId="155" xfId="0" applyNumberFormat="1" applyFont="1" applyBorder="1"/>
    <xf numFmtId="3" fontId="39" fillId="0" borderId="0" xfId="0" applyNumberFormat="1" applyFont="1"/>
    <xf numFmtId="4" fontId="7" fillId="0" borderId="6" xfId="0" applyNumberFormat="1" applyFont="1" applyBorder="1" applyAlignment="1">
      <alignment horizontal="right" vertical="center"/>
    </xf>
    <xf numFmtId="4" fontId="0" fillId="0" borderId="6" xfId="0" applyNumberFormat="1" applyBorder="1" applyAlignment="1">
      <alignment horizontal="right"/>
    </xf>
    <xf numFmtId="4" fontId="2" fillId="0" borderId="0" xfId="0" applyNumberFormat="1" applyFont="1" applyAlignment="1">
      <alignment horizontal="right"/>
    </xf>
    <xf numFmtId="4" fontId="0" fillId="0" borderId="45" xfId="0" applyNumberFormat="1" applyBorder="1"/>
    <xf numFmtId="169" fontId="39" fillId="0" borderId="0" xfId="0" applyNumberFormat="1" applyFont="1"/>
    <xf numFmtId="0" fontId="39" fillId="0" borderId="0" xfId="0" applyFont="1" applyAlignment="1">
      <alignment horizontal="left" wrapText="1"/>
    </xf>
    <xf numFmtId="0" fontId="39" fillId="0" borderId="35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3" fontId="8" fillId="3" borderId="4" xfId="0" applyNumberFormat="1" applyFont="1" applyFill="1" applyBorder="1"/>
    <xf numFmtId="3" fontId="18" fillId="3" borderId="40" xfId="0" applyNumberFormat="1" applyFont="1" applyFill="1" applyBorder="1"/>
    <xf numFmtId="3" fontId="18" fillId="3" borderId="15" xfId="0" applyNumberFormat="1" applyFont="1" applyFill="1" applyBorder="1"/>
    <xf numFmtId="0" fontId="7" fillId="4" borderId="5" xfId="0" applyFont="1" applyFill="1" applyBorder="1" applyAlignment="1">
      <alignment horizontal="center" vertical="center"/>
    </xf>
    <xf numFmtId="3" fontId="8" fillId="0" borderId="5" xfId="0" applyNumberFormat="1" applyFont="1" applyBorder="1"/>
    <xf numFmtId="3" fontId="18" fillId="0" borderId="9" xfId="0" applyNumberFormat="1" applyFont="1" applyBorder="1"/>
    <xf numFmtId="3" fontId="18" fillId="0" borderId="9" xfId="0" applyNumberFormat="1" applyFont="1" applyBorder="1" applyAlignment="1">
      <alignment vertical="center"/>
    </xf>
    <xf numFmtId="3" fontId="18" fillId="0" borderId="10" xfId="0" applyNumberFormat="1" applyFont="1" applyBorder="1"/>
    <xf numFmtId="4" fontId="28" fillId="0" borderId="0" xfId="0" applyNumberFormat="1" applyFont="1"/>
    <xf numFmtId="4" fontId="24" fillId="2" borderId="21" xfId="0" applyNumberFormat="1" applyFont="1" applyFill="1" applyBorder="1"/>
    <xf numFmtId="4" fontId="24" fillId="0" borderId="21" xfId="0" applyNumberFormat="1" applyFont="1" applyBorder="1"/>
    <xf numFmtId="4" fontId="34" fillId="0" borderId="21" xfId="0" applyNumberFormat="1" applyFont="1" applyBorder="1"/>
    <xf numFmtId="4" fontId="24" fillId="0" borderId="21" xfId="0" applyNumberFormat="1" applyFont="1" applyBorder="1" applyAlignment="1">
      <alignment horizontal="right"/>
    </xf>
    <xf numFmtId="4" fontId="35" fillId="0" borderId="21" xfId="0" applyNumberFormat="1" applyFont="1" applyBorder="1" applyAlignment="1">
      <alignment horizontal="right"/>
    </xf>
    <xf numFmtId="4" fontId="34" fillId="0" borderId="21" xfId="0" applyNumberFormat="1" applyFont="1" applyBorder="1" applyAlignment="1">
      <alignment horizontal="right"/>
    </xf>
    <xf numFmtId="4" fontId="35" fillId="0" borderId="21" xfId="0" applyNumberFormat="1" applyFont="1" applyBorder="1"/>
    <xf numFmtId="3" fontId="21" fillId="0" borderId="6" xfId="0" applyNumberFormat="1" applyFont="1" applyBorder="1" applyAlignment="1">
      <alignment horizontal="right" vertical="center"/>
    </xf>
    <xf numFmtId="3" fontId="0" fillId="0" borderId="15" xfId="0" applyNumberFormat="1" applyBorder="1" applyAlignment="1">
      <alignment horizontal="right"/>
    </xf>
    <xf numFmtId="168" fontId="34" fillId="0" borderId="130" xfId="0" applyNumberFormat="1" applyFont="1" applyBorder="1"/>
    <xf numFmtId="0" fontId="60" fillId="4" borderId="18" xfId="0" applyFont="1" applyFill="1" applyBorder="1" applyAlignment="1">
      <alignment horizontal="center"/>
    </xf>
    <xf numFmtId="0" fontId="60" fillId="4" borderId="28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58" fillId="4" borderId="30" xfId="0" applyFont="1" applyFill="1" applyBorder="1" applyAlignment="1">
      <alignment horizontal="center" vertical="center" wrapText="1"/>
    </xf>
    <xf numFmtId="0" fontId="58" fillId="4" borderId="8" xfId="0" applyFont="1" applyFill="1" applyBorder="1" applyAlignment="1">
      <alignment horizontal="center" vertical="center" wrapText="1"/>
    </xf>
    <xf numFmtId="0" fontId="58" fillId="4" borderId="1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5" borderId="30" xfId="0" applyFont="1" applyFill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136" xfId="0" applyFont="1" applyFill="1" applyBorder="1" applyAlignment="1">
      <alignment horizontal="center" vertical="center" wrapText="1"/>
    </xf>
    <xf numFmtId="0" fontId="14" fillId="5" borderId="14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5" borderId="137" xfId="0" applyFont="1" applyFill="1" applyBorder="1" applyAlignment="1">
      <alignment horizontal="center" vertical="center"/>
    </xf>
    <xf numFmtId="0" fontId="14" fillId="5" borderId="138" xfId="0" applyFont="1" applyFill="1" applyBorder="1" applyAlignment="1">
      <alignment horizontal="center" vertical="center"/>
    </xf>
    <xf numFmtId="0" fontId="14" fillId="5" borderId="139" xfId="0" applyFont="1" applyFill="1" applyBorder="1" applyAlignment="1">
      <alignment horizontal="center" vertical="center"/>
    </xf>
    <xf numFmtId="0" fontId="14" fillId="5" borderId="140" xfId="0" applyFont="1" applyFill="1" applyBorder="1" applyAlignment="1">
      <alignment horizontal="center" vertical="center"/>
    </xf>
    <xf numFmtId="0" fontId="14" fillId="5" borderId="141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9" fillId="0" borderId="39" xfId="0" applyFont="1" applyBorder="1" applyAlignment="1">
      <alignment horizontal="center"/>
    </xf>
    <xf numFmtId="0" fontId="9" fillId="0" borderId="34" xfId="0" applyFont="1" applyBorder="1" applyAlignment="1">
      <alignment horizontal="center"/>
    </xf>
    <xf numFmtId="0" fontId="9" fillId="0" borderId="130" xfId="0" applyFont="1" applyBorder="1" applyAlignment="1">
      <alignment horizontal="center"/>
    </xf>
    <xf numFmtId="0" fontId="14" fillId="5" borderId="124" xfId="0" applyFont="1" applyFill="1" applyBorder="1" applyAlignment="1">
      <alignment horizontal="center"/>
    </xf>
    <xf numFmtId="0" fontId="14" fillId="5" borderId="109" xfId="0" applyFont="1" applyFill="1" applyBorder="1" applyAlignment="1">
      <alignment horizontal="center"/>
    </xf>
    <xf numFmtId="0" fontId="14" fillId="5" borderId="125" xfId="0" applyFont="1" applyFill="1" applyBorder="1" applyAlignment="1">
      <alignment horizontal="center"/>
    </xf>
    <xf numFmtId="0" fontId="14" fillId="5" borderId="126" xfId="0" applyFont="1" applyFill="1" applyBorder="1" applyAlignment="1">
      <alignment horizontal="center"/>
    </xf>
    <xf numFmtId="0" fontId="14" fillId="5" borderId="131" xfId="0" applyFont="1" applyFill="1" applyBorder="1" applyAlignment="1">
      <alignment horizontal="center"/>
    </xf>
    <xf numFmtId="0" fontId="14" fillId="5" borderId="122" xfId="0" applyFont="1" applyFill="1" applyBorder="1" applyAlignment="1">
      <alignment horizontal="center" vertical="center" wrapText="1"/>
    </xf>
    <xf numFmtId="0" fontId="14" fillId="5" borderId="127" xfId="0" applyFont="1" applyFill="1" applyBorder="1" applyAlignment="1">
      <alignment horizontal="center" vertical="center" wrapText="1"/>
    </xf>
    <xf numFmtId="0" fontId="14" fillId="5" borderId="123" xfId="0" applyFont="1" applyFill="1" applyBorder="1" applyAlignment="1">
      <alignment horizontal="center" vertical="center" wrapText="1"/>
    </xf>
    <xf numFmtId="0" fontId="14" fillId="5" borderId="128" xfId="0" applyFont="1" applyFill="1" applyBorder="1" applyAlignment="1">
      <alignment horizontal="center" vertical="center" wrapText="1"/>
    </xf>
    <xf numFmtId="49" fontId="62" fillId="0" borderId="0" xfId="5" applyNumberFormat="1" applyAlignment="1">
      <alignment horizontal="center"/>
    </xf>
    <xf numFmtId="0" fontId="65" fillId="0" borderId="0" xfId="5" applyFont="1" applyAlignment="1">
      <alignment horizontal="center"/>
    </xf>
    <xf numFmtId="0" fontId="67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68" fillId="5" borderId="150" xfId="5" applyFont="1" applyFill="1" applyBorder="1" applyAlignment="1">
      <alignment horizontal="center" vertical="center"/>
    </xf>
    <xf numFmtId="0" fontId="68" fillId="5" borderId="151" xfId="5" applyFont="1" applyFill="1" applyBorder="1" applyAlignment="1">
      <alignment horizontal="center" vertical="center"/>
    </xf>
    <xf numFmtId="0" fontId="68" fillId="5" borderId="116" xfId="5" applyFont="1" applyFill="1" applyBorder="1" applyAlignment="1">
      <alignment horizontal="center" vertical="center"/>
    </xf>
    <xf numFmtId="0" fontId="68" fillId="5" borderId="117" xfId="5" applyFont="1" applyFill="1" applyBorder="1" applyAlignment="1">
      <alignment horizontal="center" vertical="center"/>
    </xf>
    <xf numFmtId="0" fontId="68" fillId="5" borderId="118" xfId="5" applyFont="1" applyFill="1" applyBorder="1" applyAlignment="1">
      <alignment horizontal="center" vertical="center"/>
    </xf>
    <xf numFmtId="0" fontId="68" fillId="5" borderId="119" xfId="5" applyFont="1" applyFill="1" applyBorder="1" applyAlignment="1">
      <alignment horizontal="center" vertical="center" wrapText="1"/>
    </xf>
    <xf numFmtId="0" fontId="68" fillId="5" borderId="149" xfId="5" applyFont="1" applyFill="1" applyBorder="1" applyAlignment="1">
      <alignment horizontal="center" vertical="center" wrapText="1"/>
    </xf>
    <xf numFmtId="0" fontId="68" fillId="5" borderId="120" xfId="5" applyFont="1" applyFill="1" applyBorder="1" applyAlignment="1">
      <alignment horizontal="center" vertical="center" wrapText="1"/>
    </xf>
    <xf numFmtId="0" fontId="68" fillId="5" borderId="148" xfId="5" applyFont="1" applyFill="1" applyBorder="1" applyAlignment="1">
      <alignment horizontal="center" vertical="center" wrapText="1"/>
    </xf>
    <xf numFmtId="0" fontId="14" fillId="5" borderId="115" xfId="0" applyFont="1" applyFill="1" applyBorder="1" applyAlignment="1">
      <alignment horizontal="center" vertical="center" wrapText="1"/>
    </xf>
    <xf numFmtId="0" fontId="14" fillId="5" borderId="23" xfId="0" applyFont="1" applyFill="1" applyBorder="1" applyAlignment="1">
      <alignment horizontal="center" vertical="center" wrapText="1"/>
    </xf>
    <xf numFmtId="0" fontId="14" fillId="5" borderId="120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center" vertical="center" wrapText="1"/>
    </xf>
    <xf numFmtId="0" fontId="14" fillId="5" borderId="116" xfId="0" applyFont="1" applyFill="1" applyBorder="1" applyAlignment="1">
      <alignment horizontal="center" vertical="center" wrapText="1"/>
    </xf>
    <xf numFmtId="0" fontId="14" fillId="5" borderId="117" xfId="0" applyFont="1" applyFill="1" applyBorder="1" applyAlignment="1">
      <alignment horizontal="center" vertical="center" wrapText="1"/>
    </xf>
    <xf numFmtId="0" fontId="14" fillId="5" borderId="1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4" fillId="5" borderId="107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14" fillId="5" borderId="112" xfId="0" applyFont="1" applyFill="1" applyBorder="1" applyAlignment="1">
      <alignment horizontal="center" vertical="center" wrapText="1"/>
    </xf>
    <xf numFmtId="0" fontId="14" fillId="5" borderId="113" xfId="0" applyFont="1" applyFill="1" applyBorder="1" applyAlignment="1">
      <alignment horizontal="center" vertical="center" wrapText="1"/>
    </xf>
    <xf numFmtId="0" fontId="14" fillId="5" borderId="114" xfId="0" applyFont="1" applyFill="1" applyBorder="1" applyAlignment="1">
      <alignment horizontal="center" vertical="center" wrapText="1"/>
    </xf>
    <xf numFmtId="0" fontId="14" fillId="5" borderId="108" xfId="0" applyFont="1" applyFill="1" applyBorder="1" applyAlignment="1">
      <alignment horizontal="center" vertical="center"/>
    </xf>
    <xf numFmtId="0" fontId="14" fillId="5" borderId="109" xfId="0" applyFont="1" applyFill="1" applyBorder="1" applyAlignment="1">
      <alignment horizontal="center" vertical="center"/>
    </xf>
    <xf numFmtId="0" fontId="14" fillId="5" borderId="11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6" fontId="14" fillId="5" borderId="77" xfId="0" applyNumberFormat="1" applyFont="1" applyFill="1" applyBorder="1" applyAlignment="1">
      <alignment horizontal="center" vertical="center" wrapText="1"/>
    </xf>
    <xf numFmtId="166" fontId="14" fillId="5" borderId="78" xfId="0" applyNumberFormat="1" applyFont="1" applyFill="1" applyBorder="1" applyAlignment="1">
      <alignment horizontal="center" vertical="center" wrapText="1"/>
    </xf>
    <xf numFmtId="3" fontId="14" fillId="5" borderId="77" xfId="0" applyNumberFormat="1" applyFont="1" applyFill="1" applyBorder="1" applyAlignment="1">
      <alignment horizontal="center" vertical="center" wrapText="1"/>
    </xf>
    <xf numFmtId="3" fontId="14" fillId="5" borderId="78" xfId="0" applyNumberFormat="1" applyFont="1" applyFill="1" applyBorder="1" applyAlignment="1">
      <alignment horizontal="center" vertical="center" wrapText="1"/>
    </xf>
    <xf numFmtId="3" fontId="14" fillId="5" borderId="84" xfId="0" applyNumberFormat="1" applyFont="1" applyFill="1" applyBorder="1" applyAlignment="1">
      <alignment horizontal="center" vertical="center" wrapText="1"/>
    </xf>
    <xf numFmtId="3" fontId="14" fillId="5" borderId="75" xfId="0" applyNumberFormat="1" applyFont="1" applyFill="1" applyBorder="1" applyAlignment="1">
      <alignment horizontal="center" vertical="center" wrapText="1"/>
    </xf>
    <xf numFmtId="3" fontId="14" fillId="5" borderId="40" xfId="0" applyNumberFormat="1" applyFont="1" applyFill="1" applyBorder="1" applyAlignment="1">
      <alignment horizontal="center" vertical="center" wrapText="1"/>
    </xf>
    <xf numFmtId="3" fontId="14" fillId="5" borderId="35" xfId="0" applyNumberFormat="1" applyFont="1" applyFill="1" applyBorder="1" applyAlignment="1">
      <alignment horizontal="center" vertical="center" wrapText="1"/>
    </xf>
    <xf numFmtId="3" fontId="14" fillId="5" borderId="50" xfId="0" applyNumberFormat="1" applyFont="1" applyFill="1" applyBorder="1" applyAlignment="1">
      <alignment horizontal="center" vertical="center" wrapText="1"/>
    </xf>
    <xf numFmtId="3" fontId="14" fillId="5" borderId="38" xfId="0" applyNumberFormat="1" applyFont="1" applyFill="1" applyBorder="1" applyAlignment="1">
      <alignment horizontal="center" vertical="center" wrapText="1"/>
    </xf>
    <xf numFmtId="0" fontId="14" fillId="5" borderId="75" xfId="0" applyFont="1" applyFill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/>
    </xf>
    <xf numFmtId="0" fontId="14" fillId="5" borderId="38" xfId="0" applyFont="1" applyFill="1" applyBorder="1" applyAlignment="1">
      <alignment horizontal="center" vertical="center"/>
    </xf>
    <xf numFmtId="0" fontId="14" fillId="5" borderId="76" xfId="0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45" xfId="0" applyFont="1" applyFill="1" applyBorder="1" applyAlignment="1">
      <alignment horizontal="center" vertical="center"/>
    </xf>
    <xf numFmtId="3" fontId="14" fillId="5" borderId="76" xfId="0" applyNumberFormat="1" applyFont="1" applyFill="1" applyBorder="1" applyAlignment="1">
      <alignment horizontal="center" vertical="center" wrapText="1"/>
    </xf>
    <xf numFmtId="3" fontId="14" fillId="5" borderId="6" xfId="0" applyNumberFormat="1" applyFont="1" applyFill="1" applyBorder="1" applyAlignment="1">
      <alignment horizontal="center" vertical="center" wrapText="1"/>
    </xf>
    <xf numFmtId="3" fontId="14" fillId="5" borderId="45" xfId="0" applyNumberFormat="1" applyFont="1" applyFill="1" applyBorder="1" applyAlignment="1">
      <alignment horizontal="center" vertical="center" wrapText="1"/>
    </xf>
    <xf numFmtId="3" fontId="14" fillId="5" borderId="83" xfId="0" applyNumberFormat="1" applyFont="1" applyFill="1" applyBorder="1" applyAlignment="1">
      <alignment horizontal="center" vertical="center" wrapText="1"/>
    </xf>
    <xf numFmtId="3" fontId="14" fillId="5" borderId="87" xfId="0" applyNumberFormat="1" applyFont="1" applyFill="1" applyBorder="1" applyAlignment="1">
      <alignment horizontal="center" vertical="center" wrapText="1"/>
    </xf>
    <xf numFmtId="49" fontId="14" fillId="5" borderId="85" xfId="0" applyNumberFormat="1" applyFont="1" applyFill="1" applyBorder="1" applyAlignment="1">
      <alignment horizontal="center" vertical="center" wrapText="1"/>
    </xf>
    <xf numFmtId="49" fontId="14" fillId="5" borderId="86" xfId="0" applyNumberFormat="1" applyFont="1" applyFill="1" applyBorder="1" applyAlignment="1">
      <alignment horizontal="center" vertical="center" wrapText="1"/>
    </xf>
    <xf numFmtId="49" fontId="14" fillId="5" borderId="88" xfId="0" applyNumberFormat="1" applyFont="1" applyFill="1" applyBorder="1" applyAlignment="1">
      <alignment horizontal="center" vertical="center" wrapText="1"/>
    </xf>
    <xf numFmtId="0" fontId="12" fillId="0" borderId="51" xfId="0" applyFont="1" applyBorder="1" applyAlignment="1">
      <alignment horizontal="center"/>
    </xf>
    <xf numFmtId="0" fontId="14" fillId="0" borderId="0" xfId="0" applyFont="1"/>
    <xf numFmtId="0" fontId="14" fillId="5" borderId="52" xfId="0" applyFont="1" applyFill="1" applyBorder="1" applyAlignment="1">
      <alignment horizontal="center" vertical="center"/>
    </xf>
    <xf numFmtId="0" fontId="14" fillId="5" borderId="56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/>
    </xf>
    <xf numFmtId="0" fontId="14" fillId="5" borderId="53" xfId="0" applyFont="1" applyFill="1" applyBorder="1" applyAlignment="1">
      <alignment horizontal="center" vertical="center"/>
    </xf>
    <xf numFmtId="0" fontId="14" fillId="5" borderId="57" xfId="0" applyFont="1" applyFill="1" applyBorder="1" applyAlignment="1">
      <alignment horizontal="center" vertical="center"/>
    </xf>
    <xf numFmtId="0" fontId="14" fillId="5" borderId="60" xfId="0" applyFont="1" applyFill="1" applyBorder="1" applyAlignment="1">
      <alignment horizontal="center" vertical="center"/>
    </xf>
    <xf numFmtId="49" fontId="14" fillId="5" borderId="54" xfId="0" applyNumberFormat="1" applyFont="1" applyFill="1" applyBorder="1" applyAlignment="1">
      <alignment horizontal="center" vertical="center" wrapText="1"/>
    </xf>
    <xf numFmtId="49" fontId="14" fillId="5" borderId="69" xfId="0" applyNumberFormat="1" applyFont="1" applyFill="1" applyBorder="1" applyAlignment="1">
      <alignment horizontal="center" vertical="center" wrapText="1"/>
    </xf>
    <xf numFmtId="49" fontId="14" fillId="5" borderId="70" xfId="0" applyNumberFormat="1" applyFont="1" applyFill="1" applyBorder="1" applyAlignment="1">
      <alignment horizontal="center" vertical="center" wrapText="1"/>
    </xf>
    <xf numFmtId="3" fontId="14" fillId="5" borderId="54" xfId="0" applyNumberFormat="1" applyFont="1" applyFill="1" applyBorder="1" applyAlignment="1">
      <alignment horizontal="center" vertical="center" wrapText="1"/>
    </xf>
    <xf numFmtId="3" fontId="14" fillId="5" borderId="52" xfId="0" applyNumberFormat="1" applyFont="1" applyFill="1" applyBorder="1" applyAlignment="1">
      <alignment horizontal="center" vertical="center" wrapText="1"/>
    </xf>
    <xf numFmtId="3" fontId="14" fillId="5" borderId="69" xfId="0" applyNumberFormat="1" applyFont="1" applyFill="1" applyBorder="1" applyAlignment="1">
      <alignment horizontal="center" vertical="center" wrapText="1"/>
    </xf>
    <xf numFmtId="3" fontId="14" fillId="5" borderId="56" xfId="0" applyNumberFormat="1" applyFont="1" applyFill="1" applyBorder="1" applyAlignment="1">
      <alignment horizontal="center" vertical="center" wrapText="1"/>
    </xf>
    <xf numFmtId="3" fontId="14" fillId="5" borderId="70" xfId="0" applyNumberFormat="1" applyFont="1" applyFill="1" applyBorder="1" applyAlignment="1">
      <alignment horizontal="center" vertical="center" wrapText="1"/>
    </xf>
    <xf numFmtId="3" fontId="14" fillId="5" borderId="59" xfId="0" applyNumberFormat="1" applyFont="1" applyFill="1" applyBorder="1" applyAlignment="1">
      <alignment horizontal="center" vertical="center" wrapText="1"/>
    </xf>
    <xf numFmtId="166" fontId="14" fillId="5" borderId="54" xfId="0" applyNumberFormat="1" applyFont="1" applyFill="1" applyBorder="1" applyAlignment="1">
      <alignment horizontal="center" vertical="center" wrapText="1"/>
    </xf>
    <xf numFmtId="166" fontId="14" fillId="5" borderId="55" xfId="0" applyNumberFormat="1" applyFont="1" applyFill="1" applyBorder="1" applyAlignment="1">
      <alignment horizontal="center" vertical="center" wrapText="1"/>
    </xf>
    <xf numFmtId="166" fontId="14" fillId="5" borderId="52" xfId="0" applyNumberFormat="1" applyFont="1" applyFill="1" applyBorder="1" applyAlignment="1">
      <alignment horizontal="center" vertical="center" wrapText="1"/>
    </xf>
    <xf numFmtId="166" fontId="14" fillId="5" borderId="58" xfId="0" applyNumberFormat="1" applyFont="1" applyFill="1" applyBorder="1" applyAlignment="1">
      <alignment horizontal="center" vertical="center" wrapText="1"/>
    </xf>
    <xf numFmtId="166" fontId="14" fillId="5" borderId="28" xfId="0" applyNumberFormat="1" applyFont="1" applyFill="1" applyBorder="1" applyAlignment="1">
      <alignment horizontal="center" vertical="center" wrapText="1"/>
    </xf>
    <xf numFmtId="166" fontId="14" fillId="5" borderId="68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36" xfId="0" applyFont="1" applyFill="1" applyBorder="1" applyAlignment="1">
      <alignment horizontal="center" vertical="center"/>
    </xf>
    <xf numFmtId="0" fontId="14" fillId="5" borderId="44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45" xfId="0" applyFont="1" applyFill="1" applyBorder="1" applyAlignment="1">
      <alignment horizontal="center" vertical="center" wrapText="1"/>
    </xf>
    <xf numFmtId="0" fontId="14" fillId="5" borderId="49" xfId="0" applyFont="1" applyFill="1" applyBorder="1" applyAlignment="1">
      <alignment horizontal="center" vertical="center" wrapText="1"/>
    </xf>
    <xf numFmtId="0" fontId="14" fillId="5" borderId="50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31" xfId="0" applyFont="1" applyFill="1" applyBorder="1" applyAlignment="1">
      <alignment horizontal="center" vertical="center"/>
    </xf>
    <xf numFmtId="0" fontId="7" fillId="4" borderId="30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42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 vertical="center" wrapText="1"/>
    </xf>
    <xf numFmtId="0" fontId="7" fillId="4" borderId="43" xfId="0" applyFont="1" applyFill="1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</cellXfs>
  <cellStyles count="6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062948"/>
      <color rgb="FF000099"/>
      <color rgb="FF000066"/>
      <color rgb="FFFFCCFF"/>
      <color rgb="FF003399"/>
      <color rgb="FF0066CC"/>
      <color rgb="FF0033CC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 OCTUBRE 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5</xdr:col>
      <xdr:colOff>0</xdr:colOff>
      <xdr:row>6</xdr:row>
      <xdr:rowOff>0</xdr:rowOff>
    </xdr:from>
    <xdr:to>
      <xdr:col>5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57</xdr:row>
      <xdr:rowOff>209550</xdr:rowOff>
    </xdr:from>
    <xdr:to>
      <xdr:col>11</xdr:col>
      <xdr:colOff>771525</xdr:colOff>
      <xdr:row>59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/>
      </xdr:nvSpPr>
      <xdr:spPr>
        <a:xfrm>
          <a:off x="104775" y="11446510"/>
          <a:ext cx="8963025" cy="2813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45</xdr:row>
      <xdr:rowOff>28575</xdr:rowOff>
    </xdr:from>
    <xdr:to>
      <xdr:col>3</xdr:col>
      <xdr:colOff>800100</xdr:colOff>
      <xdr:row>48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-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to"/>
      <sheetName val="FINANC. PTO"/>
      <sheetName val="C-1"/>
      <sheetName val="C-2"/>
      <sheetName val="C-3"/>
      <sheetName val="C-4"/>
      <sheetName val="Transf"/>
      <sheetName val="C-5"/>
      <sheetName val="C-8"/>
      <sheetName val="C-6"/>
      <sheetName val="C-7"/>
      <sheetName val="C-9"/>
      <sheetName val="C-10"/>
      <sheetName val="Ing.corr-k"/>
      <sheetName val="CA1"/>
      <sheetName val="CA2"/>
      <sheetName val="C-A3"/>
      <sheetName val="C-A4"/>
      <sheetName val="C-A5"/>
      <sheetName val="C-A6"/>
      <sheetName val="C-A6C"/>
      <sheetName val="C-A7"/>
      <sheetName val="C-A8A"/>
      <sheetName val="INVxOBJETO"/>
      <sheetName val="TRASLADO"/>
      <sheetName val="PTO LEY 2020-2021"/>
      <sheetName val="POR GRUPO"/>
      <sheetName val="Hoja4"/>
      <sheetName val="Hoja5"/>
      <sheetName val="Hoja1"/>
      <sheetName val="Hoja2"/>
      <sheetName val="C-A8"/>
      <sheetName val="Hoja6"/>
      <sheetName val="C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1">
          <cell r="B11" t="str">
            <v xml:space="preserve"> I  Ingresos Corrientes</v>
          </cell>
          <cell r="C11">
            <v>141094806</v>
          </cell>
          <cell r="D11">
            <v>141094806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0000"/>
  </sheetPr>
  <dimension ref="A1:H33"/>
  <sheetViews>
    <sheetView showGridLines="0" showZeros="0" workbookViewId="0">
      <selection activeCell="A34" sqref="A2:E34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15.42578125" hidden="1" customWidth="1"/>
    <col min="4" max="4" width="15.42578125" customWidth="1"/>
    <col min="5" max="5" width="16.7109375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637" t="s">
        <v>0</v>
      </c>
      <c r="B4" s="441"/>
      <c r="C4" s="441"/>
      <c r="D4" s="441"/>
      <c r="E4" s="441"/>
    </row>
    <row r="5" spans="1:7">
      <c r="A5" s="638"/>
      <c r="B5" s="634" t="s">
        <v>1</v>
      </c>
      <c r="C5" s="635"/>
      <c r="D5" s="635"/>
      <c r="E5" s="635"/>
    </row>
    <row r="6" spans="1:7" ht="20.25" customHeight="1">
      <c r="A6" s="638"/>
      <c r="B6" s="442" t="s">
        <v>2</v>
      </c>
      <c r="C6" s="442" t="s">
        <v>3</v>
      </c>
      <c r="D6" s="443" t="s">
        <v>4</v>
      </c>
      <c r="E6" s="442" t="s">
        <v>5</v>
      </c>
    </row>
    <row r="7" spans="1:7" ht="6.6" customHeight="1">
      <c r="A7" s="639"/>
      <c r="B7" s="444"/>
      <c r="C7" s="444"/>
      <c r="D7" s="445"/>
      <c r="E7" s="444"/>
    </row>
    <row r="8" spans="1:7" ht="13.15" customHeight="1">
      <c r="A8" s="5"/>
      <c r="B8" s="142"/>
      <c r="C8" s="142"/>
      <c r="D8" s="446"/>
    </row>
    <row r="9" spans="1:7" ht="24.6" customHeight="1">
      <c r="A9" s="447" t="s">
        <v>6</v>
      </c>
      <c r="B9" s="448">
        <f>SUM(B11:B13)</f>
        <v>198000000</v>
      </c>
      <c r="C9" s="448">
        <f>SUM(C11:C13)</f>
        <v>0</v>
      </c>
      <c r="D9" s="449">
        <f>SUM(D11:D13)</f>
        <v>167166634</v>
      </c>
      <c r="E9" s="448">
        <f>SUM(E11:E13)</f>
        <v>87552201.039999992</v>
      </c>
    </row>
    <row r="10" spans="1:7" ht="15">
      <c r="A10" s="450"/>
      <c r="B10" s="451"/>
      <c r="C10" s="452"/>
      <c r="D10" s="451"/>
      <c r="E10" s="452"/>
    </row>
    <row r="11" spans="1:7">
      <c r="A11" s="453" t="s">
        <v>7</v>
      </c>
      <c r="B11" s="454">
        <f>+'CA1'!C11</f>
        <v>141094806</v>
      </c>
      <c r="C11" s="455"/>
      <c r="D11" s="454">
        <f>+'CA1'!D11</f>
        <v>140457693</v>
      </c>
      <c r="E11" s="632">
        <f>+'CA1'!G11</f>
        <v>74245528.039999992</v>
      </c>
    </row>
    <row r="12" spans="1:7">
      <c r="A12" s="453"/>
      <c r="B12" s="454"/>
      <c r="C12" s="455"/>
      <c r="D12" s="454">
        <f>+'CA1'!D12</f>
        <v>0</v>
      </c>
      <c r="E12" s="632"/>
      <c r="F12" s="456"/>
    </row>
    <row r="13" spans="1:7">
      <c r="A13" s="453" t="s">
        <v>8</v>
      </c>
      <c r="B13" s="454">
        <f>+'CA1'!C34</f>
        <v>56905194</v>
      </c>
      <c r="C13" s="455"/>
      <c r="D13" s="454">
        <f>+'CA1'!D34</f>
        <v>26708941</v>
      </c>
      <c r="E13" s="632">
        <f>+'CA1'!G34</f>
        <v>13306673</v>
      </c>
      <c r="G13" s="1"/>
    </row>
    <row r="14" spans="1:7" ht="15">
      <c r="A14" s="450"/>
      <c r="B14" s="457"/>
      <c r="C14" s="458"/>
      <c r="D14" s="457"/>
      <c r="E14" s="458"/>
    </row>
    <row r="15" spans="1:7" ht="15">
      <c r="A15" s="450"/>
      <c r="B15" s="457"/>
      <c r="C15" s="458"/>
      <c r="D15" s="457"/>
      <c r="E15" s="458"/>
    </row>
    <row r="16" spans="1:7" ht="22.15" customHeight="1">
      <c r="A16" s="447" t="s">
        <v>9</v>
      </c>
      <c r="B16" s="459">
        <f>+B18+B25</f>
        <v>198000000</v>
      </c>
      <c r="C16" s="460">
        <f>+C18+C25</f>
        <v>0</v>
      </c>
      <c r="D16" s="459">
        <f>+D18+D25</f>
        <v>167166634</v>
      </c>
      <c r="E16" s="460">
        <f>+E18+E25-1</f>
        <v>124732344.58000001</v>
      </c>
    </row>
    <row r="17" spans="1:8" ht="16.899999999999999" customHeight="1">
      <c r="A17" s="450"/>
      <c r="B17" s="457"/>
      <c r="C17" s="458"/>
      <c r="D17" s="457"/>
      <c r="E17" s="458"/>
    </row>
    <row r="18" spans="1:8" ht="24.6" customHeight="1">
      <c r="A18" s="461" t="s">
        <v>10</v>
      </c>
      <c r="B18" s="462">
        <f>+B19+B21+B23</f>
        <v>141094806</v>
      </c>
      <c r="C18" s="462">
        <f>SUM(C19:C23)</f>
        <v>0</v>
      </c>
      <c r="D18" s="463">
        <f>SUM(D19:D23)</f>
        <v>140457693</v>
      </c>
      <c r="E18" s="462">
        <f>E19+E21+E23</f>
        <v>100399271.21000001</v>
      </c>
      <c r="F18" s="1" t="s">
        <v>11</v>
      </c>
      <c r="H18" t="s">
        <v>12</v>
      </c>
    </row>
    <row r="19" spans="1:8" ht="22.5" customHeight="1">
      <c r="A19" s="5" t="s">
        <v>13</v>
      </c>
      <c r="B19" s="455">
        <f>+'C-A7'!C11</f>
        <v>52074126</v>
      </c>
      <c r="C19" s="455"/>
      <c r="D19" s="454">
        <f>+'C-A7'!D11</f>
        <v>54312887</v>
      </c>
      <c r="E19" s="455">
        <f>+'C-A7'!G11</f>
        <v>35912127.420000002</v>
      </c>
      <c r="H19" t="s">
        <v>12</v>
      </c>
    </row>
    <row r="20" spans="1:8">
      <c r="A20" s="5"/>
      <c r="B20" s="455">
        <f>+'C-A8A'!E1</f>
        <v>0</v>
      </c>
      <c r="C20" s="455"/>
      <c r="D20" s="454"/>
      <c r="E20" s="455">
        <f>+'C-A8A'!G1</f>
        <v>0</v>
      </c>
      <c r="H20" t="s">
        <v>12</v>
      </c>
    </row>
    <row r="21" spans="1:8">
      <c r="A21" s="5" t="s">
        <v>14</v>
      </c>
      <c r="B21" s="455">
        <f>+'C-A7'!C21</f>
        <v>73122532</v>
      </c>
      <c r="C21" s="455"/>
      <c r="D21" s="454">
        <f>+'C-A7'!D21</f>
        <v>72190082</v>
      </c>
      <c r="E21" s="455">
        <f>+'C-A7'!G21</f>
        <v>54935919.359999999</v>
      </c>
      <c r="H21" t="s">
        <v>12</v>
      </c>
    </row>
    <row r="22" spans="1:8">
      <c r="A22" s="5" t="s">
        <v>12</v>
      </c>
      <c r="B22" s="455">
        <f>+'C-A8A'!E3</f>
        <v>0</v>
      </c>
      <c r="C22" s="455"/>
      <c r="D22" s="454"/>
      <c r="E22" s="455">
        <f>+'C-A8A'!G3</f>
        <v>0</v>
      </c>
      <c r="H22" t="s">
        <v>12</v>
      </c>
    </row>
    <row r="23" spans="1:8">
      <c r="A23" s="5" t="s">
        <v>15</v>
      </c>
      <c r="B23" s="455">
        <f>+'C-A7'!C29</f>
        <v>15898148</v>
      </c>
      <c r="C23" s="455"/>
      <c r="D23" s="454">
        <f>+'C-A7'!D29</f>
        <v>13954724</v>
      </c>
      <c r="E23" s="455">
        <f>+'C-A7'!G29</f>
        <v>9551224.4299999997</v>
      </c>
    </row>
    <row r="24" spans="1:8" ht="27.6" customHeight="1">
      <c r="A24" s="450"/>
      <c r="B24" s="458"/>
      <c r="C24" s="458"/>
      <c r="D24" s="457"/>
      <c r="E24" s="458"/>
    </row>
    <row r="25" spans="1:8" ht="21" customHeight="1">
      <c r="A25" s="461" t="s">
        <v>16</v>
      </c>
      <c r="B25" s="462">
        <f>+B26+B28+B30</f>
        <v>56905194</v>
      </c>
      <c r="C25" s="462">
        <f>SUM(C26:C30)</f>
        <v>0</v>
      </c>
      <c r="D25" s="463">
        <f>SUM(D26:D30)</f>
        <v>26708941</v>
      </c>
      <c r="E25" s="462">
        <f>+E26+E28+E30</f>
        <v>24333074.370000005</v>
      </c>
      <c r="F25" s="1" t="s">
        <v>12</v>
      </c>
    </row>
    <row r="26" spans="1:8" ht="23.25" customHeight="1">
      <c r="A26" s="5" t="s">
        <v>17</v>
      </c>
      <c r="B26" s="455">
        <f>+'C-A8A'!B8</f>
        <v>27799680</v>
      </c>
      <c r="C26" s="455"/>
      <c r="D26" s="454">
        <f>+'C-A8A'!D8</f>
        <v>9855138</v>
      </c>
      <c r="E26" s="455">
        <f>+'C-A8A'!G8</f>
        <v>9139354.5100000016</v>
      </c>
    </row>
    <row r="27" spans="1:8">
      <c r="A27" s="5"/>
      <c r="B27" s="455"/>
      <c r="C27" s="455"/>
      <c r="D27" s="454"/>
      <c r="E27" s="455" t="s">
        <v>12</v>
      </c>
    </row>
    <row r="28" spans="1:8">
      <c r="A28" s="5" t="s">
        <v>18</v>
      </c>
      <c r="B28" s="455">
        <f>+'C-A8A'!B16</f>
        <v>15761574</v>
      </c>
      <c r="C28" s="455"/>
      <c r="D28" s="454">
        <f>+'C-A8A'!D16</f>
        <v>8644808</v>
      </c>
      <c r="E28" s="455">
        <f>+'C-A8A'!G16</f>
        <v>8039639.5300000012</v>
      </c>
    </row>
    <row r="29" spans="1:8">
      <c r="A29" s="5"/>
      <c r="B29" s="1"/>
      <c r="C29" s="1"/>
      <c r="D29" s="464"/>
      <c r="E29" s="1" t="s">
        <v>12</v>
      </c>
    </row>
    <row r="30" spans="1:8">
      <c r="A30" s="5" t="s">
        <v>19</v>
      </c>
      <c r="B30" s="455">
        <f>+'C-A8A'!B33</f>
        <v>13343940</v>
      </c>
      <c r="C30" s="455"/>
      <c r="D30" s="454">
        <f>+'C-A8A'!D33</f>
        <v>8208995</v>
      </c>
      <c r="E30" s="455">
        <f>+'C-A8A'!G33</f>
        <v>7154080.3300000001</v>
      </c>
    </row>
    <row r="31" spans="1:8" ht="15">
      <c r="A31" s="450"/>
      <c r="B31" s="11"/>
      <c r="C31" s="11"/>
      <c r="D31" s="465"/>
      <c r="E31" s="466"/>
    </row>
    <row r="32" spans="1:8">
      <c r="A32" s="37"/>
      <c r="B32" s="37"/>
      <c r="C32" s="37"/>
      <c r="D32" s="37"/>
      <c r="E32" s="37"/>
    </row>
    <row r="33" spans="1:2">
      <c r="A33" s="636" t="s">
        <v>20</v>
      </c>
      <c r="B33" s="636"/>
    </row>
  </sheetData>
  <mergeCells count="3">
    <mergeCell ref="B5:E5"/>
    <mergeCell ref="A33:B33"/>
    <mergeCell ref="A4:A7"/>
  </mergeCells>
  <pageMargins left="0.94488188976377996" right="0.74803149606299202" top="0.98425196850393704" bottom="0.98425196850393704" header="0" footer="0"/>
  <pageSetup scale="80" orientation="portrait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3"/>
  <dimension ref="A1:Q51"/>
  <sheetViews>
    <sheetView showGridLines="0" showZeros="0" workbookViewId="0">
      <selection activeCell="H43" sqref="H43"/>
    </sheetView>
  </sheetViews>
  <sheetFormatPr baseColWidth="10" defaultColWidth="11" defaultRowHeight="12.75"/>
  <cols>
    <col min="1" max="1" width="77.85546875" customWidth="1"/>
    <col min="2" max="2" width="14.140625" customWidth="1"/>
    <col min="3" max="3" width="14.85546875" hidden="1" customWidth="1"/>
    <col min="4" max="4" width="14.140625" customWidth="1"/>
    <col min="5" max="5" width="13.140625" customWidth="1"/>
    <col min="6" max="6" width="16.140625" hidden="1" customWidth="1"/>
    <col min="7" max="7" width="16.28515625" customWidth="1"/>
    <col min="8" max="8" width="14.42578125" customWidth="1"/>
    <col min="9" max="9" width="13.5703125" customWidth="1"/>
    <col min="10" max="10" width="15.7109375" customWidth="1"/>
    <col min="11" max="11" width="16.7109375" hidden="1" customWidth="1"/>
    <col min="12" max="12" width="13.7109375" style="3" customWidth="1"/>
    <col min="13" max="13" width="0.140625" style="9" hidden="1" customWidth="1"/>
    <col min="14" max="14" width="19.7109375" hidden="1" customWidth="1"/>
    <col min="15" max="15" width="8" customWidth="1"/>
    <col min="16" max="16" width="11.7109375" customWidth="1"/>
  </cols>
  <sheetData>
    <row r="1" spans="1:17" ht="20.100000000000001" customHeight="1">
      <c r="A1" s="645" t="s">
        <v>465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</row>
    <row r="2" spans="1:17" ht="20.100000000000001" customHeight="1">
      <c r="A2" s="645" t="s">
        <v>61</v>
      </c>
      <c r="B2" s="645"/>
      <c r="C2" s="645"/>
      <c r="D2" s="645"/>
      <c r="E2" s="645"/>
      <c r="F2" s="645"/>
      <c r="G2" s="645"/>
      <c r="H2" s="645"/>
      <c r="I2" s="645"/>
      <c r="J2" s="645"/>
      <c r="K2" s="645"/>
      <c r="L2" s="645"/>
    </row>
    <row r="3" spans="1:17" ht="20.100000000000001" customHeight="1">
      <c r="A3" s="646" t="s">
        <v>487</v>
      </c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</row>
    <row r="4" spans="1:17" ht="20.100000000000001" customHeight="1">
      <c r="A4" s="646" t="s">
        <v>538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</row>
    <row r="5" spans="1:17" ht="10.5" customHeight="1">
      <c r="A5" s="7"/>
      <c r="B5" s="7"/>
      <c r="C5" s="7"/>
      <c r="D5" s="7"/>
      <c r="E5" s="7"/>
      <c r="F5" s="7"/>
      <c r="G5" s="13"/>
      <c r="H5" s="13"/>
      <c r="I5" s="13"/>
      <c r="J5" s="13"/>
      <c r="K5" s="13"/>
      <c r="N5" s="611" t="s">
        <v>12</v>
      </c>
    </row>
    <row r="6" spans="1:17" ht="20.25" customHeight="1">
      <c r="A6" s="753" t="s">
        <v>488</v>
      </c>
      <c r="B6" s="750" t="s">
        <v>50</v>
      </c>
      <c r="C6" s="751"/>
      <c r="D6" s="751"/>
      <c r="E6" s="751"/>
      <c r="F6" s="751"/>
      <c r="G6" s="751"/>
      <c r="H6" s="751"/>
      <c r="I6" s="752"/>
      <c r="J6" s="755" t="s">
        <v>42</v>
      </c>
      <c r="K6" s="60" t="s">
        <v>489</v>
      </c>
      <c r="L6" s="757" t="s">
        <v>43</v>
      </c>
    </row>
    <row r="7" spans="1:17" ht="40.5" customHeight="1">
      <c r="A7" s="754"/>
      <c r="B7" s="14" t="s">
        <v>2</v>
      </c>
      <c r="C7" s="618" t="s">
        <v>536</v>
      </c>
      <c r="D7" s="15" t="s">
        <v>3</v>
      </c>
      <c r="E7" s="15" t="s">
        <v>25</v>
      </c>
      <c r="F7" s="15" t="s">
        <v>66</v>
      </c>
      <c r="G7" s="15" t="s">
        <v>44</v>
      </c>
      <c r="H7" s="15" t="s">
        <v>48</v>
      </c>
      <c r="I7" s="15" t="s">
        <v>45</v>
      </c>
      <c r="J7" s="756"/>
      <c r="K7" s="60"/>
      <c r="L7" s="758"/>
    </row>
    <row r="8" spans="1:17" ht="20.100000000000001" customHeight="1">
      <c r="A8" s="16" t="s">
        <v>490</v>
      </c>
      <c r="B8" s="17">
        <f t="shared" ref="B8:F8" si="0">SUM(B9:B15)</f>
        <v>27799680</v>
      </c>
      <c r="C8" s="619">
        <f>SUM(C9:C15)</f>
        <v>17944542</v>
      </c>
      <c r="D8" s="18">
        <f t="shared" si="0"/>
        <v>9855138</v>
      </c>
      <c r="E8" s="18">
        <f t="shared" si="0"/>
        <v>9855138</v>
      </c>
      <c r="F8" s="18">
        <f t="shared" si="0"/>
        <v>155135.10999999999</v>
      </c>
      <c r="G8" s="18">
        <f>SUM(G9:G15)-1</f>
        <v>9139354.5100000016</v>
      </c>
      <c r="H8" s="18">
        <f>SUM(H9:H15)+1</f>
        <v>1587647.3699999999</v>
      </c>
      <c r="I8" s="18">
        <f>SUM(I9:I15)</f>
        <v>808972.49999999988</v>
      </c>
      <c r="J8" s="18">
        <f>+E8-G8-1</f>
        <v>715782.48999999836</v>
      </c>
      <c r="K8" s="61" t="e">
        <f>+K9+K15+#REF!+K10</f>
        <v>#REF!</v>
      </c>
      <c r="L8" s="547">
        <f>+G8*100/E8</f>
        <v>92.736951121333874</v>
      </c>
      <c r="M8" s="9">
        <f>M9+M10+M14+M15</f>
        <v>10552579.790000001</v>
      </c>
      <c r="N8">
        <v>9246331.4499999993</v>
      </c>
    </row>
    <row r="9" spans="1:17" ht="20.100000000000001" customHeight="1">
      <c r="A9" s="5" t="s">
        <v>491</v>
      </c>
      <c r="B9" s="19">
        <f>9834974</f>
        <v>9834974</v>
      </c>
      <c r="C9" s="620">
        <v>7187069</v>
      </c>
      <c r="D9" s="19">
        <v>2647905</v>
      </c>
      <c r="E9" s="20">
        <v>2647905</v>
      </c>
      <c r="F9" s="20">
        <v>11383.96</v>
      </c>
      <c r="G9" s="20">
        <f>F9+N9</f>
        <v>2416183.27</v>
      </c>
      <c r="H9" s="20">
        <v>560471</v>
      </c>
      <c r="I9" s="20">
        <v>583281.35</v>
      </c>
      <c r="J9" s="62">
        <f>+E9-G9</f>
        <v>231721.72999999998</v>
      </c>
      <c r="K9" s="63">
        <f>+D9-G9</f>
        <v>231721.72999999998</v>
      </c>
      <c r="L9" s="548">
        <f>+G9*100/E9</f>
        <v>91.248865423797298</v>
      </c>
      <c r="M9" s="9">
        <v>2916063.22</v>
      </c>
      <c r="N9">
        <v>2404799.31</v>
      </c>
    </row>
    <row r="10" spans="1:17" ht="33" customHeight="1">
      <c r="A10" s="21" t="s">
        <v>492</v>
      </c>
      <c r="B10" s="22">
        <v>5000000</v>
      </c>
      <c r="C10" s="621">
        <v>3792226</v>
      </c>
      <c r="D10" s="22">
        <v>1207774</v>
      </c>
      <c r="E10" s="23">
        <v>1207774</v>
      </c>
      <c r="F10" s="23">
        <v>0</v>
      </c>
      <c r="G10" s="23">
        <f>N10+F10</f>
        <v>1081862.27</v>
      </c>
      <c r="H10" s="23">
        <v>908513.71</v>
      </c>
      <c r="I10" s="23">
        <v>213487.82</v>
      </c>
      <c r="J10" s="64">
        <f>+E10-G10</f>
        <v>125911.72999999998</v>
      </c>
      <c r="K10" s="65">
        <f>+D10-G10</f>
        <v>125911.72999999998</v>
      </c>
      <c r="L10" s="549">
        <f>+G10*100/E10</f>
        <v>89.574893150539751</v>
      </c>
      <c r="M10" s="9">
        <v>1340260.42</v>
      </c>
      <c r="N10" s="66">
        <v>1081862.27</v>
      </c>
      <c r="Q10" s="267"/>
    </row>
    <row r="11" spans="1:17" ht="17.25" customHeight="1">
      <c r="A11" s="612" t="s">
        <v>539</v>
      </c>
      <c r="B11" s="19">
        <v>382798</v>
      </c>
      <c r="C11" s="620">
        <v>382798</v>
      </c>
      <c r="D11" s="19" t="s">
        <v>137</v>
      </c>
      <c r="E11" s="20" t="s">
        <v>137</v>
      </c>
      <c r="F11" s="20"/>
      <c r="G11" s="20"/>
      <c r="H11" s="20"/>
      <c r="I11" s="20"/>
      <c r="J11" s="64"/>
      <c r="K11" s="63"/>
      <c r="L11" s="549" t="s">
        <v>12</v>
      </c>
      <c r="P11" s="606" t="s">
        <v>12</v>
      </c>
    </row>
    <row r="12" spans="1:17" ht="18" customHeight="1">
      <c r="A12" s="24" t="s">
        <v>493</v>
      </c>
      <c r="B12" s="19">
        <v>2000000</v>
      </c>
      <c r="C12" s="620">
        <v>1985796</v>
      </c>
      <c r="D12" s="19">
        <v>14204</v>
      </c>
      <c r="E12" s="20">
        <v>14204</v>
      </c>
      <c r="F12" s="20"/>
      <c r="G12" s="20"/>
      <c r="H12" s="20"/>
      <c r="I12" s="20"/>
      <c r="J12" s="64">
        <f t="shared" ref="J12:J15" si="1">+E12-G12</f>
        <v>14204</v>
      </c>
      <c r="K12" s="63"/>
      <c r="L12" s="549">
        <f t="shared" ref="L12:L20" si="2">+G12*100/E12</f>
        <v>0</v>
      </c>
    </row>
    <row r="13" spans="1:17" ht="20.25" customHeight="1">
      <c r="A13" s="24" t="s">
        <v>494</v>
      </c>
      <c r="B13" s="22">
        <v>1135854</v>
      </c>
      <c r="C13" s="621">
        <v>1079038</v>
      </c>
      <c r="D13" s="22">
        <v>56816</v>
      </c>
      <c r="E13" s="23">
        <v>56816</v>
      </c>
      <c r="F13" s="23"/>
      <c r="G13" s="23"/>
      <c r="H13" s="23"/>
      <c r="I13" s="23"/>
      <c r="J13" s="64">
        <f t="shared" si="1"/>
        <v>56816</v>
      </c>
      <c r="K13" s="65"/>
      <c r="L13" s="549">
        <f t="shared" si="2"/>
        <v>0</v>
      </c>
    </row>
    <row r="14" spans="1:17" ht="16.5" customHeight="1">
      <c r="A14" s="24" t="s">
        <v>495</v>
      </c>
      <c r="B14" s="22">
        <v>283423</v>
      </c>
      <c r="C14" s="621">
        <v>-198114</v>
      </c>
      <c r="D14" s="22">
        <v>481536</v>
      </c>
      <c r="E14" s="23">
        <v>481536</v>
      </c>
      <c r="F14" s="23">
        <v>129751.79</v>
      </c>
      <c r="G14" s="23">
        <f>+F14+N14</f>
        <v>388354.46</v>
      </c>
      <c r="H14" s="23"/>
      <c r="I14" s="23"/>
      <c r="J14" s="64">
        <f t="shared" si="1"/>
        <v>93181.539999999979</v>
      </c>
      <c r="K14" s="65"/>
      <c r="L14" s="549">
        <f t="shared" si="2"/>
        <v>80.649102040138217</v>
      </c>
      <c r="M14" s="9">
        <v>481536</v>
      </c>
      <c r="N14">
        <v>258602.67</v>
      </c>
      <c r="P14" s="267" t="s">
        <v>12</v>
      </c>
    </row>
    <row r="15" spans="1:17" ht="16.5" customHeight="1">
      <c r="A15" s="5" t="s">
        <v>496</v>
      </c>
      <c r="B15" s="19">
        <v>9162631</v>
      </c>
      <c r="C15" s="622">
        <v>3715729</v>
      </c>
      <c r="D15" s="19">
        <v>5446903</v>
      </c>
      <c r="E15" s="20">
        <v>5446903</v>
      </c>
      <c r="F15" s="20">
        <v>13999.36</v>
      </c>
      <c r="G15" s="20">
        <f>F15+N15</f>
        <v>5252955.5100000007</v>
      </c>
      <c r="H15" s="20">
        <v>118661.66</v>
      </c>
      <c r="I15" s="20">
        <v>12203.33</v>
      </c>
      <c r="J15" s="67">
        <f t="shared" si="1"/>
        <v>193947.48999999929</v>
      </c>
      <c r="K15" s="63">
        <f>+D15-G15</f>
        <v>193947.48999999929</v>
      </c>
      <c r="L15" s="548">
        <f t="shared" si="2"/>
        <v>96.439307070458213</v>
      </c>
      <c r="M15" s="9">
        <v>5814720.1500000004</v>
      </c>
      <c r="N15" s="9">
        <v>5238956.1500000004</v>
      </c>
    </row>
    <row r="16" spans="1:17" ht="16.5" customHeight="1">
      <c r="A16" s="25" t="s">
        <v>497</v>
      </c>
      <c r="B16" s="26">
        <f>SUM(B17:B30)</f>
        <v>15761574</v>
      </c>
      <c r="C16" s="615"/>
      <c r="D16" s="18">
        <f>SUM(D17:D30)</f>
        <v>8644808</v>
      </c>
      <c r="E16" s="18">
        <f>SUM(E17:E30)</f>
        <v>8644808</v>
      </c>
      <c r="F16" s="18">
        <f>SUM(F17:F30)</f>
        <v>1496.66</v>
      </c>
      <c r="G16" s="18">
        <f>G17+G18+G19+G20+G21+G22+G24+G25+G26+G27+G28+G29+G30</f>
        <v>8039639.5300000012</v>
      </c>
      <c r="H16" s="18">
        <f>SUM(H17:H30)</f>
        <v>5530541.3600000013</v>
      </c>
      <c r="I16" s="18">
        <f>SUM(I17:I30)</f>
        <v>4126832.5999999996</v>
      </c>
      <c r="J16" s="18">
        <f>E16-G16</f>
        <v>605168.46999999881</v>
      </c>
      <c r="K16" s="61">
        <f>+D16-G16</f>
        <v>605168.46999999881</v>
      </c>
      <c r="L16" s="547">
        <f t="shared" si="2"/>
        <v>92.99963087670659</v>
      </c>
      <c r="M16" s="9">
        <f>M17+M18+M19+M20+M21+M22+M24+M25+M26+M27+M28+M29+M30</f>
        <v>7929759.870000001</v>
      </c>
      <c r="N16">
        <v>8038142.870000001</v>
      </c>
      <c r="Q16">
        <f>6+8+2+5+3+6+9+2+2+2+9</f>
        <v>54</v>
      </c>
    </row>
    <row r="17" spans="1:16" ht="21.6" customHeight="1">
      <c r="A17" s="27" t="s">
        <v>498</v>
      </c>
      <c r="B17" s="28">
        <v>2896997</v>
      </c>
      <c r="C17" s="31"/>
      <c r="D17" s="29">
        <v>4920665</v>
      </c>
      <c r="E17" s="29">
        <v>4920665</v>
      </c>
      <c r="F17" s="20">
        <v>0</v>
      </c>
      <c r="G17" s="30">
        <f>N17+F17</f>
        <v>4448989.5999999996</v>
      </c>
      <c r="H17" s="20">
        <v>3357315.92</v>
      </c>
      <c r="I17" s="20">
        <v>2214334.8199999998</v>
      </c>
      <c r="J17" s="20">
        <f>+D17-G17</f>
        <v>471675.40000000037</v>
      </c>
      <c r="K17" s="63"/>
      <c r="L17" s="548">
        <f t="shared" si="2"/>
        <v>90.414397241023309</v>
      </c>
      <c r="M17" s="9">
        <f>4379964.34-19174.4</f>
        <v>4360789.9399999995</v>
      </c>
      <c r="N17">
        <v>4448989.5999999996</v>
      </c>
      <c r="P17" s="9"/>
    </row>
    <row r="18" spans="1:16" ht="21.6" customHeight="1">
      <c r="A18" s="21" t="s">
        <v>499</v>
      </c>
      <c r="B18" s="28">
        <v>1200000</v>
      </c>
      <c r="C18" s="31"/>
      <c r="D18" s="29">
        <v>421298</v>
      </c>
      <c r="E18" s="29">
        <v>421298</v>
      </c>
      <c r="F18" s="20"/>
      <c r="G18" s="30">
        <f t="shared" ref="G18:G30" si="3">N18+F18</f>
        <v>430390.75</v>
      </c>
      <c r="H18" s="20">
        <v>421298</v>
      </c>
      <c r="I18" s="20">
        <v>421298</v>
      </c>
      <c r="J18" s="64">
        <f>+D18-G18</f>
        <v>-9092.75</v>
      </c>
      <c r="K18" s="63"/>
      <c r="L18" s="548">
        <f t="shared" si="2"/>
        <v>102.15827039292851</v>
      </c>
      <c r="M18" s="9">
        <v>430390.75</v>
      </c>
      <c r="N18">
        <v>430390.75</v>
      </c>
    </row>
    <row r="19" spans="1:16" ht="20.100000000000001" customHeight="1">
      <c r="A19" s="21" t="s">
        <v>500</v>
      </c>
      <c r="B19" s="28">
        <v>4628400</v>
      </c>
      <c r="C19" s="31"/>
      <c r="D19" s="29">
        <v>95571</v>
      </c>
      <c r="E19" s="29">
        <v>95571</v>
      </c>
      <c r="F19" s="20"/>
      <c r="G19" s="30">
        <f t="shared" si="3"/>
        <v>95444.94</v>
      </c>
      <c r="H19" s="20">
        <v>40970.1</v>
      </c>
      <c r="I19" s="20">
        <v>40970.1</v>
      </c>
      <c r="J19" s="20">
        <f>+E19-G19</f>
        <v>126.05999999999767</v>
      </c>
      <c r="K19" s="63">
        <f>+D19-G19</f>
        <v>126.05999999999767</v>
      </c>
      <c r="L19" s="548">
        <f t="shared" si="2"/>
        <v>99.868098063220017</v>
      </c>
      <c r="M19" s="9">
        <v>95444.94</v>
      </c>
      <c r="N19">
        <v>95444.94</v>
      </c>
    </row>
    <row r="20" spans="1:16" ht="20.100000000000001" customHeight="1">
      <c r="A20" s="21" t="s">
        <v>501</v>
      </c>
      <c r="B20" s="28">
        <v>2000000</v>
      </c>
      <c r="C20" s="31"/>
      <c r="D20" s="29">
        <v>1795865</v>
      </c>
      <c r="E20" s="29">
        <v>1795865</v>
      </c>
      <c r="F20" s="20">
        <v>0</v>
      </c>
      <c r="G20" s="30">
        <f t="shared" si="3"/>
        <v>1750139.64</v>
      </c>
      <c r="H20" s="20">
        <v>1089271.8400000001</v>
      </c>
      <c r="I20" s="20">
        <v>965121.7</v>
      </c>
      <c r="J20" s="20">
        <f>+E20-G20</f>
        <v>45725.360000000102</v>
      </c>
      <c r="K20" s="63"/>
      <c r="L20" s="548">
        <f t="shared" si="2"/>
        <v>97.453853157113699</v>
      </c>
      <c r="M20" s="9">
        <v>1731452.96</v>
      </c>
      <c r="N20">
        <v>1750139.64</v>
      </c>
    </row>
    <row r="21" spans="1:16" ht="15.75" customHeight="1">
      <c r="A21" s="21" t="s">
        <v>502</v>
      </c>
      <c r="B21" s="28">
        <v>1000000</v>
      </c>
      <c r="C21" s="31"/>
      <c r="D21" s="29">
        <v>529723</v>
      </c>
      <c r="E21" s="29">
        <v>529723</v>
      </c>
      <c r="F21" s="20"/>
      <c r="G21" s="30">
        <f t="shared" si="3"/>
        <v>511856.07</v>
      </c>
      <c r="H21" s="20">
        <v>106064.54</v>
      </c>
      <c r="I21" s="20">
        <v>91895.42</v>
      </c>
      <c r="J21" s="20"/>
      <c r="K21" s="63"/>
      <c r="L21" s="548">
        <f t="shared" ref="L21:L30" si="4">+G21*100/E21</f>
        <v>96.62711832410524</v>
      </c>
      <c r="M21" s="9">
        <v>511856.07</v>
      </c>
      <c r="N21">
        <v>511856.07</v>
      </c>
    </row>
    <row r="22" spans="1:16" ht="16.5" customHeight="1">
      <c r="A22" s="27" t="s">
        <v>503</v>
      </c>
      <c r="B22" s="28">
        <v>1270000</v>
      </c>
      <c r="C22" s="31"/>
      <c r="D22" s="29">
        <v>199885</v>
      </c>
      <c r="E22" s="29">
        <v>199885</v>
      </c>
      <c r="F22" s="20"/>
      <c r="G22" s="30">
        <f t="shared" si="3"/>
        <v>196884.57</v>
      </c>
      <c r="H22" s="20">
        <v>31312.55</v>
      </c>
      <c r="I22" s="20">
        <v>30055.17</v>
      </c>
      <c r="J22" s="64">
        <f>+E22-H22</f>
        <v>168572.45</v>
      </c>
      <c r="K22" s="63"/>
      <c r="L22" s="548">
        <f t="shared" si="4"/>
        <v>98.498921880081042</v>
      </c>
      <c r="M22" s="9">
        <v>196884.57</v>
      </c>
      <c r="N22">
        <v>196884.57</v>
      </c>
    </row>
    <row r="23" spans="1:16" ht="14.25" customHeight="1">
      <c r="A23" s="21" t="s">
        <v>504</v>
      </c>
      <c r="B23" s="28">
        <v>106000</v>
      </c>
      <c r="C23" s="31"/>
      <c r="D23" s="29">
        <v>0</v>
      </c>
      <c r="E23" s="29">
        <v>0</v>
      </c>
      <c r="F23" s="20"/>
      <c r="G23" s="30">
        <f t="shared" si="3"/>
        <v>0</v>
      </c>
      <c r="H23" s="20"/>
      <c r="I23" s="20"/>
      <c r="J23" s="20"/>
      <c r="K23" s="63"/>
      <c r="L23" s="548" t="s">
        <v>12</v>
      </c>
      <c r="N23">
        <v>0</v>
      </c>
    </row>
    <row r="24" spans="1:16" ht="16.5" customHeight="1">
      <c r="A24" s="21" t="s">
        <v>505</v>
      </c>
      <c r="B24" s="28">
        <v>149583</v>
      </c>
      <c r="C24" s="31"/>
      <c r="D24" s="29">
        <v>64497</v>
      </c>
      <c r="E24" s="29">
        <v>64497</v>
      </c>
      <c r="F24" s="20">
        <v>0</v>
      </c>
      <c r="G24" s="30">
        <f t="shared" si="3"/>
        <v>65815.59</v>
      </c>
      <c r="H24" s="20">
        <v>65815.59</v>
      </c>
      <c r="I24" s="20">
        <v>65815.59</v>
      </c>
      <c r="J24" s="64">
        <f>+E24-G24</f>
        <v>-1318.5899999999965</v>
      </c>
      <c r="K24" s="63"/>
      <c r="L24" s="548">
        <f t="shared" si="4"/>
        <v>102.04442067072887</v>
      </c>
      <c r="M24" s="9">
        <v>65815.59</v>
      </c>
      <c r="N24">
        <v>65815.59</v>
      </c>
    </row>
    <row r="25" spans="1:16" ht="18.75" customHeight="1">
      <c r="A25" s="613" t="s">
        <v>541</v>
      </c>
      <c r="B25" s="28">
        <v>750000</v>
      </c>
      <c r="C25" s="31"/>
      <c r="D25" s="29">
        <v>54030</v>
      </c>
      <c r="E25" s="29">
        <v>54030</v>
      </c>
      <c r="F25" s="20">
        <v>0</v>
      </c>
      <c r="G25" s="30">
        <f t="shared" si="3"/>
        <v>50468.69</v>
      </c>
      <c r="H25" s="20">
        <v>50468.69</v>
      </c>
      <c r="I25" s="20">
        <v>50468.69</v>
      </c>
      <c r="J25" s="20">
        <f>+E25-G25</f>
        <v>3561.3099999999977</v>
      </c>
      <c r="K25" s="63">
        <f>+D25-G25</f>
        <v>3561.3099999999977</v>
      </c>
      <c r="L25" s="548">
        <f t="shared" si="4"/>
        <v>93.408643346289097</v>
      </c>
      <c r="M25" s="68">
        <v>50468.69</v>
      </c>
      <c r="N25">
        <v>50468.69</v>
      </c>
    </row>
    <row r="26" spans="1:16" ht="20.25" customHeight="1">
      <c r="A26" s="21" t="s">
        <v>506</v>
      </c>
      <c r="B26" s="28">
        <v>519956</v>
      </c>
      <c r="C26" s="31"/>
      <c r="D26" s="29">
        <v>123714</v>
      </c>
      <c r="E26" s="29">
        <v>123714</v>
      </c>
      <c r="F26" s="20">
        <v>1496.66</v>
      </c>
      <c r="G26" s="30">
        <f t="shared" si="3"/>
        <v>91643.74</v>
      </c>
      <c r="H26" s="20">
        <v>86891.94</v>
      </c>
      <c r="I26" s="20">
        <v>69429.25</v>
      </c>
      <c r="J26" s="20">
        <f>+E26-G26</f>
        <v>32070.259999999995</v>
      </c>
      <c r="K26" s="63">
        <f>+D26-G26</f>
        <v>32070.259999999995</v>
      </c>
      <c r="L26" s="548">
        <f t="shared" si="4"/>
        <v>74.077097175744058</v>
      </c>
      <c r="M26" s="9">
        <v>88650.42</v>
      </c>
      <c r="N26">
        <v>90147.08</v>
      </c>
    </row>
    <row r="27" spans="1:16" ht="19.5" customHeight="1">
      <c r="A27" s="21" t="s">
        <v>507</v>
      </c>
      <c r="B27" s="31">
        <v>271625</v>
      </c>
      <c r="C27" s="31"/>
      <c r="D27" s="29">
        <v>59422</v>
      </c>
      <c r="E27" s="29">
        <v>59422</v>
      </c>
      <c r="F27" s="20">
        <v>0</v>
      </c>
      <c r="G27" s="30">
        <f t="shared" si="3"/>
        <v>59422</v>
      </c>
      <c r="H27" s="20">
        <v>59422</v>
      </c>
      <c r="I27" s="20">
        <v>6496</v>
      </c>
      <c r="J27" s="20">
        <f t="shared" ref="J27:J30" si="5">+E27-G27</f>
        <v>0</v>
      </c>
      <c r="K27" s="63"/>
      <c r="L27" s="548">
        <f t="shared" si="4"/>
        <v>100</v>
      </c>
      <c r="M27" s="9">
        <v>59422</v>
      </c>
      <c r="N27">
        <v>59422</v>
      </c>
    </row>
    <row r="28" spans="1:16" ht="19.5" customHeight="1">
      <c r="A28" s="21" t="s">
        <v>508</v>
      </c>
      <c r="B28" s="31">
        <v>394105</v>
      </c>
      <c r="C28" s="31"/>
      <c r="D28" s="29">
        <v>150942</v>
      </c>
      <c r="E28" s="29">
        <v>150942</v>
      </c>
      <c r="F28" s="20"/>
      <c r="G28" s="30">
        <f t="shared" si="3"/>
        <v>150941.16</v>
      </c>
      <c r="H28" s="20">
        <v>44749.99</v>
      </c>
      <c r="I28" s="20">
        <v>37802.75</v>
      </c>
      <c r="J28" s="20">
        <f t="shared" si="5"/>
        <v>0.83999999999650754</v>
      </c>
      <c r="K28" s="63"/>
      <c r="L28" s="548">
        <f t="shared" si="4"/>
        <v>99.999443494852329</v>
      </c>
      <c r="M28" s="9">
        <v>150941.16</v>
      </c>
      <c r="N28">
        <v>150941.16</v>
      </c>
    </row>
    <row r="29" spans="1:16" ht="18" customHeight="1">
      <c r="A29" s="613" t="s">
        <v>540</v>
      </c>
      <c r="B29" s="31">
        <v>437560</v>
      </c>
      <c r="C29" s="31"/>
      <c r="D29" s="29">
        <v>126412</v>
      </c>
      <c r="E29" s="29">
        <v>126412</v>
      </c>
      <c r="F29" s="20"/>
      <c r="G29" s="30">
        <f t="shared" si="3"/>
        <v>126411.66</v>
      </c>
      <c r="H29" s="20">
        <v>126411.66</v>
      </c>
      <c r="I29" s="20">
        <v>123426.36</v>
      </c>
      <c r="J29" s="20">
        <f t="shared" si="5"/>
        <v>0.33999999999650754</v>
      </c>
      <c r="K29" s="63"/>
      <c r="L29" s="548">
        <f t="shared" si="4"/>
        <v>99.999731038192579</v>
      </c>
      <c r="M29" s="9">
        <v>126411.66</v>
      </c>
      <c r="N29">
        <v>126411.66</v>
      </c>
    </row>
    <row r="30" spans="1:16" ht="18.75" customHeight="1">
      <c r="A30" s="21" t="s">
        <v>509</v>
      </c>
      <c r="B30" s="31">
        <v>137348</v>
      </c>
      <c r="C30" s="31"/>
      <c r="D30" s="29">
        <v>102784</v>
      </c>
      <c r="E30" s="29">
        <v>102784</v>
      </c>
      <c r="F30" s="20"/>
      <c r="G30" s="30">
        <f t="shared" si="3"/>
        <v>61231.12</v>
      </c>
      <c r="H30" s="20">
        <v>50548.54</v>
      </c>
      <c r="I30" s="20">
        <v>9718.75</v>
      </c>
      <c r="J30" s="20">
        <f t="shared" si="5"/>
        <v>41552.879999999997</v>
      </c>
      <c r="K30" s="63"/>
      <c r="L30" s="548">
        <f t="shared" si="4"/>
        <v>59.572618306351181</v>
      </c>
      <c r="M30" s="9">
        <v>61231.12</v>
      </c>
      <c r="N30">
        <v>61231.12</v>
      </c>
    </row>
    <row r="31" spans="1:16" ht="0.75" customHeight="1">
      <c r="A31" s="32"/>
      <c r="B31" s="33"/>
      <c r="C31" s="34"/>
      <c r="D31" s="34"/>
      <c r="E31" s="33"/>
      <c r="F31" s="35"/>
      <c r="G31" s="36"/>
      <c r="H31" s="36"/>
      <c r="I31" s="36"/>
      <c r="J31" s="36"/>
      <c r="K31" s="32"/>
      <c r="L31" s="550"/>
    </row>
    <row r="32" spans="1:16" ht="5.25" customHeight="1">
      <c r="A32" s="37"/>
      <c r="B32" s="38"/>
      <c r="C32" s="37"/>
      <c r="D32" s="37"/>
      <c r="E32" s="38"/>
      <c r="F32" s="39"/>
      <c r="G32" s="39"/>
      <c r="H32" s="40"/>
      <c r="I32" s="39"/>
      <c r="J32" s="40"/>
      <c r="K32" s="37"/>
      <c r="L32" s="319"/>
    </row>
    <row r="33" spans="1:15" ht="14.25" customHeight="1">
      <c r="A33" s="41" t="s">
        <v>510</v>
      </c>
      <c r="B33" s="42">
        <f>SUM(B34:B41)</f>
        <v>13343940</v>
      </c>
      <c r="C33" s="43"/>
      <c r="D33" s="43">
        <f>SUM(D34:D41)</f>
        <v>8208995</v>
      </c>
      <c r="E33" s="42">
        <f t="shared" ref="E33:I33" si="6">SUM(E34:E41)</f>
        <v>8208995</v>
      </c>
      <c r="F33" s="44">
        <f t="shared" si="6"/>
        <v>4820.4799999999996</v>
      </c>
      <c r="G33" s="42">
        <f t="shared" si="6"/>
        <v>7154080.3300000001</v>
      </c>
      <c r="H33" s="42">
        <f>SUM(H34:H41)</f>
        <v>5297025.8499999996</v>
      </c>
      <c r="I33" s="42">
        <f t="shared" si="6"/>
        <v>2095593.6400000001</v>
      </c>
      <c r="J33" s="69">
        <f>E33-G33</f>
        <v>1054914.67</v>
      </c>
      <c r="K33" s="70">
        <f>D33-G33</f>
        <v>1054914.67</v>
      </c>
      <c r="L33" s="551">
        <f>+G33*100/E33</f>
        <v>87.14928356028966</v>
      </c>
      <c r="M33" s="9">
        <f>M34+M35+M36+M37+M38+M39+M40+M41</f>
        <v>7142966.3700000001</v>
      </c>
      <c r="N33">
        <v>7149752.0499999998</v>
      </c>
      <c r="O33" s="1" t="s">
        <v>12</v>
      </c>
    </row>
    <row r="34" spans="1:15" ht="20.100000000000001" customHeight="1">
      <c r="A34" s="45" t="s">
        <v>511</v>
      </c>
      <c r="B34" s="46">
        <v>350999</v>
      </c>
      <c r="C34" s="63"/>
      <c r="D34" s="47">
        <v>115513</v>
      </c>
      <c r="E34" s="48">
        <v>115513</v>
      </c>
      <c r="F34" s="49"/>
      <c r="G34" s="20">
        <f>F34+N34</f>
        <v>165845.41</v>
      </c>
      <c r="H34" s="20">
        <v>161933.70000000001</v>
      </c>
      <c r="I34" s="20">
        <v>16417.009999999998</v>
      </c>
      <c r="J34" s="64">
        <f>E34-G34</f>
        <v>-50332.41</v>
      </c>
      <c r="K34" s="63"/>
      <c r="L34" s="548">
        <f t="shared" ref="L34:L42" si="7">+G34*100/E34</f>
        <v>143.57293984226882</v>
      </c>
      <c r="M34" s="9">
        <v>165845.41</v>
      </c>
      <c r="N34">
        <v>165845.41</v>
      </c>
    </row>
    <row r="35" spans="1:15" ht="20.100000000000001" customHeight="1">
      <c r="A35" s="50" t="s">
        <v>512</v>
      </c>
      <c r="B35" s="28">
        <v>779586</v>
      </c>
      <c r="C35" s="616"/>
      <c r="D35" s="51">
        <v>100000</v>
      </c>
      <c r="E35" s="52">
        <v>100000</v>
      </c>
      <c r="F35" s="53"/>
      <c r="G35" s="20">
        <f t="shared" ref="G35:G41" si="8">F35+N35</f>
        <v>99999.29</v>
      </c>
      <c r="H35" s="20">
        <v>99999.29</v>
      </c>
      <c r="I35" s="20">
        <v>99999.29</v>
      </c>
      <c r="J35" s="20">
        <f>E35-G35</f>
        <v>0.71000000000640284</v>
      </c>
      <c r="K35" s="63">
        <f>+D35-G35</f>
        <v>0.71000000000640284</v>
      </c>
      <c r="L35" s="548">
        <f t="shared" si="7"/>
        <v>99.999290000000002</v>
      </c>
      <c r="M35" s="9">
        <v>99999.29</v>
      </c>
      <c r="N35">
        <v>99999.29</v>
      </c>
    </row>
    <row r="36" spans="1:15" ht="21" customHeight="1">
      <c r="A36" s="54" t="s">
        <v>513</v>
      </c>
      <c r="B36" s="52">
        <v>1000000</v>
      </c>
      <c r="C36" s="617"/>
      <c r="D36" s="55">
        <v>1000000</v>
      </c>
      <c r="E36" s="52">
        <v>1000000</v>
      </c>
      <c r="F36" s="53"/>
      <c r="G36" s="20">
        <f t="shared" si="8"/>
        <v>1000000</v>
      </c>
      <c r="H36" s="20">
        <v>1000000</v>
      </c>
      <c r="I36" s="20"/>
      <c r="J36" s="20">
        <f>E36-G36</f>
        <v>0</v>
      </c>
      <c r="K36" s="63">
        <f>+D36-G36</f>
        <v>0</v>
      </c>
      <c r="L36" s="548" t="s">
        <v>12</v>
      </c>
      <c r="M36" s="9">
        <v>1000000</v>
      </c>
      <c r="N36">
        <v>1000000</v>
      </c>
    </row>
    <row r="37" spans="1:15" ht="20.25" customHeight="1">
      <c r="A37" s="614" t="s">
        <v>542</v>
      </c>
      <c r="B37" s="52">
        <v>1845166</v>
      </c>
      <c r="C37" s="52"/>
      <c r="D37" s="56">
        <v>576307</v>
      </c>
      <c r="E37" s="52">
        <v>576307</v>
      </c>
      <c r="F37" s="29"/>
      <c r="G37" s="20">
        <f t="shared" si="8"/>
        <v>576306.87</v>
      </c>
      <c r="H37" s="20">
        <v>431911</v>
      </c>
      <c r="I37" s="20">
        <v>431911</v>
      </c>
      <c r="J37" s="20">
        <f t="shared" ref="J37:J42" si="9">E37-G37</f>
        <v>0.13000000000465661</v>
      </c>
      <c r="K37" s="63"/>
      <c r="L37" s="548">
        <f t="shared" si="7"/>
        <v>99.999977442578341</v>
      </c>
      <c r="M37" s="9">
        <v>576306.87</v>
      </c>
      <c r="N37">
        <v>576306.87</v>
      </c>
    </row>
    <row r="38" spans="1:15" ht="33.75" customHeight="1">
      <c r="A38" s="54" t="s">
        <v>514</v>
      </c>
      <c r="B38" s="52">
        <v>4700585</v>
      </c>
      <c r="C38" s="52"/>
      <c r="D38" s="56">
        <v>2462294</v>
      </c>
      <c r="E38" s="52">
        <v>2462294</v>
      </c>
      <c r="F38" s="29">
        <v>0</v>
      </c>
      <c r="G38" s="20">
        <v>2475667.5099999998</v>
      </c>
      <c r="H38" s="20">
        <v>1560837.89</v>
      </c>
      <c r="I38" s="20">
        <v>1203201.76</v>
      </c>
      <c r="J38" s="64">
        <f t="shared" si="9"/>
        <v>-13373.509999999776</v>
      </c>
      <c r="K38" s="63"/>
      <c r="L38" s="548">
        <f t="shared" si="7"/>
        <v>100.54313213612996</v>
      </c>
      <c r="M38" s="9">
        <v>2471740.61</v>
      </c>
      <c r="N38">
        <v>2476159.71</v>
      </c>
    </row>
    <row r="39" spans="1:15" ht="33.75" customHeight="1">
      <c r="A39" s="54" t="s">
        <v>515</v>
      </c>
      <c r="B39" s="52">
        <v>500000</v>
      </c>
      <c r="C39" s="52"/>
      <c r="D39" s="56">
        <v>799000</v>
      </c>
      <c r="E39" s="52">
        <v>799000</v>
      </c>
      <c r="F39" s="29"/>
      <c r="G39" s="20">
        <f t="shared" si="8"/>
        <v>787922.29</v>
      </c>
      <c r="H39" s="20">
        <v>2247</v>
      </c>
      <c r="I39" s="20">
        <v>2247</v>
      </c>
      <c r="J39" s="20">
        <f t="shared" si="9"/>
        <v>11077.709999999963</v>
      </c>
      <c r="K39" s="63"/>
      <c r="L39" s="548">
        <f t="shared" si="7"/>
        <v>98.613553191489359</v>
      </c>
      <c r="M39" s="9">
        <v>787922.29</v>
      </c>
      <c r="N39">
        <v>787922.29</v>
      </c>
    </row>
    <row r="40" spans="1:15" ht="36" customHeight="1">
      <c r="A40" s="54" t="s">
        <v>516</v>
      </c>
      <c r="B40" s="52">
        <v>2067604</v>
      </c>
      <c r="C40" s="52"/>
      <c r="D40" s="56">
        <v>1806881</v>
      </c>
      <c r="E40" s="52">
        <v>1806881</v>
      </c>
      <c r="F40" s="29">
        <v>4820.4799999999996</v>
      </c>
      <c r="G40" s="20">
        <f t="shared" si="8"/>
        <v>1749338.97</v>
      </c>
      <c r="H40" s="20">
        <v>1741096.98</v>
      </c>
      <c r="I40" s="20">
        <v>42817.59</v>
      </c>
      <c r="J40" s="20">
        <f t="shared" si="9"/>
        <v>57542.030000000028</v>
      </c>
      <c r="K40" s="63"/>
      <c r="L40" s="548">
        <f t="shared" si="7"/>
        <v>96.815394594331337</v>
      </c>
      <c r="M40" s="9">
        <v>1742151.91</v>
      </c>
      <c r="N40">
        <v>1744518.49</v>
      </c>
    </row>
    <row r="41" spans="1:15" ht="21.75" customHeight="1">
      <c r="A41" s="54" t="s">
        <v>517</v>
      </c>
      <c r="B41" s="52">
        <v>2100000</v>
      </c>
      <c r="C41" s="52"/>
      <c r="D41" s="56">
        <v>1349000</v>
      </c>
      <c r="E41" s="52">
        <v>1349000</v>
      </c>
      <c r="F41" s="31"/>
      <c r="G41" s="20">
        <f t="shared" si="8"/>
        <v>298999.99</v>
      </c>
      <c r="H41" s="49">
        <v>298999.99</v>
      </c>
      <c r="I41" s="20">
        <v>298999.99</v>
      </c>
      <c r="J41" s="20">
        <f t="shared" si="9"/>
        <v>1050000.01</v>
      </c>
      <c r="K41" s="63"/>
      <c r="L41" s="548">
        <f t="shared" si="7"/>
        <v>22.164565604151225</v>
      </c>
      <c r="M41" s="9">
        <v>298999.99</v>
      </c>
      <c r="N41">
        <v>298999.99</v>
      </c>
    </row>
    <row r="42" spans="1:15" ht="20.100000000000001" customHeight="1">
      <c r="A42" s="16" t="s">
        <v>21</v>
      </c>
      <c r="B42" s="17">
        <f>B8+B16+B33</f>
        <v>56905194</v>
      </c>
      <c r="C42" s="61"/>
      <c r="D42" s="18">
        <f>+D8+D16+D33</f>
        <v>26708941</v>
      </c>
      <c r="E42" s="18">
        <f>+E8+E16+E33</f>
        <v>26708941</v>
      </c>
      <c r="F42" s="17">
        <f>+F8+F16+F33</f>
        <v>161452.25</v>
      </c>
      <c r="G42" s="517">
        <f>+G8+G16+G33</f>
        <v>24333074.370000005</v>
      </c>
      <c r="H42" s="17">
        <f>H8+H16+H33-1</f>
        <v>12415213.580000002</v>
      </c>
      <c r="I42" s="17">
        <f>I8+I16+I33</f>
        <v>7031398.7400000002</v>
      </c>
      <c r="J42" s="516">
        <f t="shared" si="9"/>
        <v>2375866.6299999952</v>
      </c>
      <c r="K42" s="61">
        <f>D42-G42</f>
        <v>2375866.6299999952</v>
      </c>
      <c r="L42" s="547">
        <f t="shared" si="7"/>
        <v>91.10460190091402</v>
      </c>
      <c r="M42" s="9">
        <v>25647260.289999999</v>
      </c>
      <c r="N42">
        <v>24434226.370000001</v>
      </c>
    </row>
    <row r="43" spans="1:15" ht="9" customHeight="1">
      <c r="A43" s="57"/>
      <c r="M43" s="9" t="s">
        <v>12</v>
      </c>
    </row>
    <row r="44" spans="1:15">
      <c r="A44" s="58" t="s">
        <v>41</v>
      </c>
      <c r="D44" s="1" t="s">
        <v>12</v>
      </c>
    </row>
    <row r="51" spans="4:5">
      <c r="D51" s="1"/>
      <c r="E51" s="1" t="s">
        <v>12</v>
      </c>
    </row>
  </sheetData>
  <mergeCells count="8">
    <mergeCell ref="A1:L1"/>
    <mergeCell ref="A2:L2"/>
    <mergeCell ref="A3:L3"/>
    <mergeCell ref="A4:L4"/>
    <mergeCell ref="B6:I6"/>
    <mergeCell ref="A6:A7"/>
    <mergeCell ref="J6:J7"/>
    <mergeCell ref="L6:L7"/>
  </mergeCells>
  <pageMargins left="0.47244094488188998" right="0.94488188976377996" top="0.39370078740157499" bottom="0.39370078740157499" header="0.31496062992126" footer="0.31496062992126"/>
  <pageSetup paperSize="5" scale="65" orientation="landscape" r:id="rId1"/>
  <ignoredErrors>
    <ignoredError sqref="J16 G16 G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theme="8" tint="0.39985351115451523"/>
  </sheetPr>
  <dimension ref="A1:O127"/>
  <sheetViews>
    <sheetView showGridLines="0" showZeros="0" topLeftCell="A216" workbookViewId="0">
      <pane ySplit="1830" topLeftCell="A21" activePane="bottomLeft"/>
      <selection activeCell="G216" sqref="G1:G1048576"/>
      <selection pane="bottomLeft" activeCell="C39" sqref="C39"/>
    </sheetView>
  </sheetViews>
  <sheetFormatPr baseColWidth="10" defaultColWidth="11" defaultRowHeight="12.75"/>
  <cols>
    <col min="1" max="1" width="14.85546875" style="377" customWidth="1"/>
    <col min="2" max="2" width="41.140625" style="4" customWidth="1"/>
    <col min="3" max="5" width="12.85546875" style="4" customWidth="1"/>
    <col min="6" max="6" width="0.140625" style="4" hidden="1" customWidth="1"/>
    <col min="7" max="7" width="15.140625" style="4" customWidth="1"/>
    <col min="8" max="8" width="14.42578125" style="4" customWidth="1"/>
    <col min="9" max="9" width="12.5703125" style="377" customWidth="1"/>
    <col min="10" max="10" width="0.140625" style="378" customWidth="1"/>
    <col min="11" max="11" width="11" style="377"/>
    <col min="12" max="12" width="13" style="377" customWidth="1"/>
    <col min="13" max="13" width="4.5703125" style="377" customWidth="1"/>
    <col min="14" max="16384" width="11" style="377"/>
  </cols>
  <sheetData>
    <row r="1" spans="1:15" ht="21.75" customHeight="1">
      <c r="A1"/>
      <c r="B1" s="645" t="s">
        <v>60</v>
      </c>
      <c r="C1" s="645"/>
      <c r="D1" s="645"/>
      <c r="E1" s="645"/>
      <c r="F1" s="645"/>
      <c r="G1" s="645"/>
      <c r="H1" s="645"/>
      <c r="I1" s="645"/>
      <c r="J1" s="431"/>
      <c r="K1" s="310"/>
      <c r="L1" s="310"/>
      <c r="M1" s="310"/>
    </row>
    <row r="2" spans="1:15" ht="18" customHeight="1">
      <c r="A2"/>
      <c r="B2" s="645" t="s">
        <v>61</v>
      </c>
      <c r="C2" s="645"/>
      <c r="D2" s="645"/>
      <c r="E2" s="645"/>
      <c r="F2" s="645"/>
      <c r="G2" s="645"/>
      <c r="H2" s="645"/>
      <c r="I2" s="645"/>
      <c r="J2" s="431"/>
      <c r="K2" s="310"/>
      <c r="L2" s="310"/>
      <c r="M2" s="310"/>
    </row>
    <row r="3" spans="1:15" ht="15">
      <c r="A3"/>
      <c r="B3" s="646" t="s">
        <v>62</v>
      </c>
      <c r="C3" s="646"/>
      <c r="D3" s="646"/>
      <c r="E3" s="646"/>
      <c r="F3" s="646"/>
      <c r="G3" s="646"/>
      <c r="H3" s="646"/>
      <c r="I3" s="646"/>
    </row>
    <row r="4" spans="1:15" ht="20.25" customHeight="1">
      <c r="A4"/>
      <c r="B4" s="646" t="s">
        <v>543</v>
      </c>
      <c r="C4" s="646"/>
      <c r="D4" s="646"/>
      <c r="E4" s="646"/>
      <c r="F4" s="646"/>
      <c r="G4" s="646"/>
      <c r="H4" s="646"/>
      <c r="I4" s="646"/>
    </row>
    <row r="5" spans="1:15" ht="9.75" customHeight="1">
      <c r="A5"/>
      <c r="B5" s="379"/>
      <c r="C5" s="379"/>
      <c r="D5" s="379"/>
      <c r="E5" s="379"/>
      <c r="F5" s="379"/>
      <c r="G5" s="379"/>
      <c r="H5"/>
      <c r="I5" t="s">
        <v>12</v>
      </c>
    </row>
    <row r="6" spans="1:15" ht="24" customHeight="1">
      <c r="A6" s="641" t="s">
        <v>63</v>
      </c>
      <c r="B6" s="643" t="s">
        <v>0</v>
      </c>
      <c r="C6" s="647" t="s">
        <v>50</v>
      </c>
      <c r="D6" s="648"/>
      <c r="E6" s="649"/>
      <c r="F6" s="650" t="s">
        <v>64</v>
      </c>
      <c r="G6" s="651"/>
      <c r="H6" s="652" t="s">
        <v>24</v>
      </c>
      <c r="I6" s="652"/>
    </row>
    <row r="7" spans="1:15" ht="36" customHeight="1">
      <c r="A7" s="642"/>
      <c r="B7" s="644"/>
      <c r="C7" s="381" t="s">
        <v>2</v>
      </c>
      <c r="D7" s="380" t="s">
        <v>65</v>
      </c>
      <c r="E7" s="382" t="s">
        <v>25</v>
      </c>
      <c r="F7" s="383" t="s">
        <v>66</v>
      </c>
      <c r="G7" s="384" t="s">
        <v>67</v>
      </c>
      <c r="H7" s="385" t="s">
        <v>26</v>
      </c>
      <c r="I7" s="432" t="s">
        <v>68</v>
      </c>
    </row>
    <row r="8" spans="1:15" ht="8.25" hidden="1" customHeight="1">
      <c r="A8"/>
      <c r="B8" s="386" t="s">
        <v>12</v>
      </c>
      <c r="C8" s="386"/>
      <c r="D8" s="387"/>
      <c r="E8" s="388"/>
      <c r="F8" s="387"/>
      <c r="G8" s="387"/>
      <c r="H8" s="389"/>
      <c r="I8"/>
    </row>
    <row r="9" spans="1:15" ht="21.75" customHeight="1">
      <c r="A9"/>
      <c r="B9" s="390" t="s">
        <v>28</v>
      </c>
      <c r="C9" s="391">
        <f>+C11+C34</f>
        <v>198000000</v>
      </c>
      <c r="D9" s="392">
        <f>+D11+D34</f>
        <v>167166634</v>
      </c>
      <c r="E9" s="392">
        <f>+E11+E34</f>
        <v>143406431</v>
      </c>
      <c r="F9" s="624">
        <f>+F11+F34</f>
        <v>9273601.8100000005</v>
      </c>
      <c r="G9" s="625">
        <f>J9+F9</f>
        <v>87552201.040000007</v>
      </c>
      <c r="H9" s="358">
        <f>+G9-E9</f>
        <v>-55854229.959999993</v>
      </c>
      <c r="I9" s="433">
        <f>+G9/E9*100</f>
        <v>61.051795536282469</v>
      </c>
      <c r="J9" s="623">
        <v>78278599.230000004</v>
      </c>
      <c r="L9" s="434"/>
      <c r="N9" s="377" t="s">
        <v>12</v>
      </c>
    </row>
    <row r="10" spans="1:15" ht="9.9499999999999993" customHeight="1">
      <c r="A10"/>
      <c r="B10" s="390"/>
      <c r="C10" s="391"/>
      <c r="D10" s="393"/>
      <c r="E10" s="393"/>
      <c r="F10" s="625"/>
      <c r="G10" s="625"/>
      <c r="H10" s="394"/>
      <c r="I10" s="435"/>
      <c r="J10" s="235"/>
      <c r="N10" s="377" t="s">
        <v>12</v>
      </c>
    </row>
    <row r="11" spans="1:15" ht="21" customHeight="1">
      <c r="A11" s="395" t="s">
        <v>69</v>
      </c>
      <c r="B11" s="396" t="s">
        <v>29</v>
      </c>
      <c r="C11" s="397">
        <f t="shared" ref="C11:G11" si="0">+C13</f>
        <v>141094806</v>
      </c>
      <c r="D11" s="393">
        <f t="shared" si="0"/>
        <v>140457693</v>
      </c>
      <c r="E11" s="393">
        <f t="shared" si="0"/>
        <v>116697490</v>
      </c>
      <c r="F11" s="625">
        <f t="shared" si="0"/>
        <v>8853601.8100000005</v>
      </c>
      <c r="G11" s="625">
        <f t="shared" si="0"/>
        <v>74245528.039999992</v>
      </c>
      <c r="H11" s="358">
        <f t="shared" ref="H11:H45" si="1">+G11-E11</f>
        <v>-42451961.960000008</v>
      </c>
      <c r="I11" s="433">
        <f>+G11/E11*100</f>
        <v>63.622215045070796</v>
      </c>
      <c r="J11" s="623">
        <v>65391926.229999997</v>
      </c>
      <c r="M11" s="436"/>
    </row>
    <row r="12" spans="1:15" ht="9.9499999999999993" customHeight="1">
      <c r="A12"/>
      <c r="B12" s="398"/>
      <c r="C12" s="399"/>
      <c r="D12" s="400"/>
      <c r="E12" s="400" t="s">
        <v>12</v>
      </c>
      <c r="F12" s="626"/>
      <c r="G12" s="626"/>
      <c r="H12" s="401"/>
      <c r="I12" s="437" t="s">
        <v>12</v>
      </c>
      <c r="J12" s="235"/>
      <c r="M12" s="436"/>
      <c r="O12" s="377" t="s">
        <v>12</v>
      </c>
    </row>
    <row r="13" spans="1:15" ht="21" customHeight="1">
      <c r="A13" s="395" t="s">
        <v>70</v>
      </c>
      <c r="B13" s="390" t="s">
        <v>71</v>
      </c>
      <c r="C13" s="391">
        <f>+C15+C21+C26+C31</f>
        <v>141094806</v>
      </c>
      <c r="D13" s="393">
        <f>+D15+D21+D26+D31</f>
        <v>140457693</v>
      </c>
      <c r="E13" s="393">
        <f>+E15+E21+E26+E31</f>
        <v>116697490</v>
      </c>
      <c r="F13" s="625">
        <f>+F15+F21+F26+F31</f>
        <v>8853601.8100000005</v>
      </c>
      <c r="G13" s="625">
        <f>J13+F13</f>
        <v>74245528.039999992</v>
      </c>
      <c r="H13" s="358">
        <f t="shared" si="1"/>
        <v>-42451961.960000008</v>
      </c>
      <c r="I13" s="433">
        <f>+G13/E13*100</f>
        <v>63.622215045070796</v>
      </c>
      <c r="J13" s="623">
        <v>65391926.229999997</v>
      </c>
      <c r="K13" s="438"/>
      <c r="L13" s="436" t="s">
        <v>12</v>
      </c>
      <c r="M13" s="436"/>
    </row>
    <row r="14" spans="1:15" ht="9.9499999999999993" customHeight="1">
      <c r="A14" s="395"/>
      <c r="B14" s="402"/>
      <c r="C14" s="403"/>
      <c r="D14" s="400"/>
      <c r="E14" s="400"/>
      <c r="F14" s="626"/>
      <c r="G14" s="626" t="s">
        <v>12</v>
      </c>
      <c r="H14" s="401" t="s">
        <v>12</v>
      </c>
      <c r="I14" s="437" t="s">
        <v>12</v>
      </c>
      <c r="J14" s="235" t="s">
        <v>12</v>
      </c>
      <c r="K14" s="438"/>
      <c r="M14" s="436"/>
    </row>
    <row r="15" spans="1:15" ht="21" customHeight="1">
      <c r="A15" s="395" t="s">
        <v>72</v>
      </c>
      <c r="B15" s="390" t="s">
        <v>73</v>
      </c>
      <c r="C15" s="391">
        <f>+C17</f>
        <v>5476492</v>
      </c>
      <c r="D15" s="393">
        <f>SUM(D18:D19)</f>
        <v>5476492</v>
      </c>
      <c r="E15" s="393">
        <f>E17</f>
        <v>4722956</v>
      </c>
      <c r="F15" s="625">
        <f>SUM(F18:F19)</f>
        <v>158739.23000000001</v>
      </c>
      <c r="G15" s="625">
        <f>G17</f>
        <v>1500550.11</v>
      </c>
      <c r="H15" s="358">
        <f t="shared" si="1"/>
        <v>-3222405.8899999997</v>
      </c>
      <c r="I15" s="433">
        <f>+G15/E15*100</f>
        <v>31.771418365955562</v>
      </c>
      <c r="J15" s="235">
        <v>1341810.8800000001</v>
      </c>
      <c r="K15" s="438"/>
      <c r="M15" s="436"/>
    </row>
    <row r="16" spans="1:15" ht="11.45" customHeight="1">
      <c r="A16" s="395"/>
      <c r="B16" s="390"/>
      <c r="C16" s="391"/>
      <c r="D16" s="400"/>
      <c r="E16" s="393"/>
      <c r="F16" s="625"/>
      <c r="G16" s="625"/>
      <c r="H16" s="394"/>
      <c r="I16" s="433"/>
      <c r="J16" s="235"/>
      <c r="K16" s="438"/>
    </row>
    <row r="17" spans="1:13" ht="19.149999999999999" customHeight="1">
      <c r="A17" s="395" t="s">
        <v>74</v>
      </c>
      <c r="B17" s="404" t="s">
        <v>75</v>
      </c>
      <c r="C17" s="405">
        <f>+C18+C19</f>
        <v>5476492</v>
      </c>
      <c r="D17" s="393">
        <f>+D18+D19</f>
        <v>5476492</v>
      </c>
      <c r="E17" s="393">
        <f>SUM(E18:E19)</f>
        <v>4722956</v>
      </c>
      <c r="F17" s="625">
        <f>SUM(F18:F19)</f>
        <v>158739.23000000001</v>
      </c>
      <c r="G17" s="627">
        <f>J17+F17</f>
        <v>1500550.11</v>
      </c>
      <c r="H17" s="358">
        <f t="shared" si="1"/>
        <v>-3222405.8899999997</v>
      </c>
      <c r="I17" s="437">
        <f>+G17/E17*100</f>
        <v>31.771418365955562</v>
      </c>
      <c r="J17" s="623">
        <v>1341810.8800000001</v>
      </c>
    </row>
    <row r="18" spans="1:13" ht="24.95" customHeight="1">
      <c r="A18" s="406" t="s">
        <v>76</v>
      </c>
      <c r="B18" s="402" t="s">
        <v>77</v>
      </c>
      <c r="C18" s="403">
        <v>700000</v>
      </c>
      <c r="D18" s="400">
        <v>700000</v>
      </c>
      <c r="E18" s="407">
        <f>58333+58333+58333+58333+58333+58333+58333+58333+58333+58333</f>
        <v>583330</v>
      </c>
      <c r="F18" s="628">
        <v>4997.45</v>
      </c>
      <c r="G18" s="628">
        <f>F18+J18</f>
        <v>394042.79000000004</v>
      </c>
      <c r="H18" s="360">
        <f t="shared" si="1"/>
        <v>-189287.20999999996</v>
      </c>
      <c r="I18" s="437">
        <f>+G18/E18*100</f>
        <v>67.550578574734715</v>
      </c>
      <c r="J18" s="235">
        <v>389045.34</v>
      </c>
      <c r="M18" s="436"/>
    </row>
    <row r="19" spans="1:13" ht="24.95" customHeight="1">
      <c r="A19" s="406" t="s">
        <v>78</v>
      </c>
      <c r="B19" s="402" t="s">
        <v>79</v>
      </c>
      <c r="C19" s="403">
        <v>4776492</v>
      </c>
      <c r="D19" s="400">
        <v>4776492</v>
      </c>
      <c r="E19" s="407">
        <f>318433+318433+318433+477649+477649+477649+477649+477649+477649+318433</f>
        <v>4139626</v>
      </c>
      <c r="F19" s="628">
        <v>153741.78</v>
      </c>
      <c r="G19" s="628">
        <f>J19+F19</f>
        <v>1106507.32</v>
      </c>
      <c r="H19" s="360">
        <f t="shared" si="1"/>
        <v>-3033118.6799999997</v>
      </c>
      <c r="I19" s="437">
        <f>+G19/E19*100</f>
        <v>26.729644658720382</v>
      </c>
      <c r="J19" s="235">
        <v>952765.54</v>
      </c>
    </row>
    <row r="20" spans="1:13" ht="9.9499999999999993" customHeight="1">
      <c r="A20" s="395"/>
      <c r="B20" s="402" t="s">
        <v>12</v>
      </c>
      <c r="C20" s="403"/>
      <c r="D20" s="400" t="s">
        <v>12</v>
      </c>
      <c r="E20" s="407"/>
      <c r="F20" s="626"/>
      <c r="G20" s="626"/>
      <c r="H20" s="401"/>
      <c r="I20" s="437" t="s">
        <v>12</v>
      </c>
      <c r="J20" s="235"/>
    </row>
    <row r="21" spans="1:13" ht="24.95" customHeight="1">
      <c r="A21" s="395" t="s">
        <v>80</v>
      </c>
      <c r="B21" s="390" t="s">
        <v>81</v>
      </c>
      <c r="C21" s="391">
        <f>+C23</f>
        <v>127866634</v>
      </c>
      <c r="D21" s="393">
        <f>SUM(D23:D23)</f>
        <v>127866634</v>
      </c>
      <c r="E21" s="408">
        <f>SUM(E23)</f>
        <v>105903868</v>
      </c>
      <c r="F21" s="625">
        <f>F23</f>
        <v>8150721</v>
      </c>
      <c r="G21" s="627">
        <f>G23</f>
        <v>65397851</v>
      </c>
      <c r="H21" s="358">
        <f>+G21-E21</f>
        <v>-40506017</v>
      </c>
      <c r="I21" s="433">
        <f>+G21/E21*100</f>
        <v>61.752089168263424</v>
      </c>
      <c r="J21" s="623">
        <v>57247130</v>
      </c>
      <c r="L21" s="377" t="s">
        <v>12</v>
      </c>
      <c r="M21" s="436"/>
    </row>
    <row r="22" spans="1:13" ht="5.25" customHeight="1">
      <c r="A22" s="395"/>
      <c r="B22" s="402"/>
      <c r="C22" s="403"/>
      <c r="D22" s="400"/>
      <c r="E22" s="407"/>
      <c r="F22" s="626"/>
      <c r="G22" s="629">
        <f>F22</f>
        <v>0</v>
      </c>
      <c r="H22" s="401">
        <f t="shared" si="1"/>
        <v>0</v>
      </c>
      <c r="I22" s="437" t="s">
        <v>12</v>
      </c>
      <c r="J22" s="235">
        <v>0</v>
      </c>
    </row>
    <row r="23" spans="1:13" ht="24.75" customHeight="1">
      <c r="A23" s="395" t="s">
        <v>82</v>
      </c>
      <c r="B23" s="390" t="s">
        <v>83</v>
      </c>
      <c r="C23" s="391">
        <f>+C25</f>
        <v>127866634</v>
      </c>
      <c r="D23" s="393">
        <f>+D25</f>
        <v>127866634</v>
      </c>
      <c r="E23" s="408">
        <f>E25</f>
        <v>105903868</v>
      </c>
      <c r="F23" s="625">
        <f>F25</f>
        <v>8150721</v>
      </c>
      <c r="G23" s="627">
        <f>G25</f>
        <v>65397851</v>
      </c>
      <c r="H23" s="358">
        <f t="shared" si="1"/>
        <v>-40506017</v>
      </c>
      <c r="I23" s="433">
        <f>+G23/E23*100</f>
        <v>61.752089168263424</v>
      </c>
      <c r="J23" s="623">
        <v>57247130</v>
      </c>
    </row>
    <row r="24" spans="1:13" ht="10.15" customHeight="1">
      <c r="A24" s="395"/>
      <c r="B24" s="402"/>
      <c r="C24" s="403"/>
      <c r="D24" s="400"/>
      <c r="E24" s="407"/>
      <c r="F24" s="626"/>
      <c r="G24" s="629">
        <f>F24</f>
        <v>0</v>
      </c>
      <c r="H24" s="401">
        <f t="shared" si="1"/>
        <v>0</v>
      </c>
      <c r="I24" s="437" t="s">
        <v>12</v>
      </c>
      <c r="J24" s="235">
        <v>0</v>
      </c>
    </row>
    <row r="25" spans="1:13" ht="22.15" customHeight="1">
      <c r="A25" s="406" t="s">
        <v>84</v>
      </c>
      <c r="B25" s="402" t="s">
        <v>85</v>
      </c>
      <c r="C25" s="403">
        <v>127866634</v>
      </c>
      <c r="D25" s="400">
        <f>127866634</f>
        <v>127866634</v>
      </c>
      <c r="E25" s="407">
        <f>13488927+12100174+10105532+9486893+9401862+9558545+9687276+12602772+9733196+9738691</f>
        <v>105903868</v>
      </c>
      <c r="F25" s="626">
        <v>8150721</v>
      </c>
      <c r="G25" s="629">
        <f>J25+F25</f>
        <v>65397851</v>
      </c>
      <c r="H25" s="360">
        <f>G25-E25</f>
        <v>-40506017</v>
      </c>
      <c r="I25" s="437">
        <f>+G25/E25*100</f>
        <v>61.752089168263424</v>
      </c>
      <c r="J25" s="235">
        <v>57247130</v>
      </c>
    </row>
    <row r="26" spans="1:13" ht="24.95" customHeight="1">
      <c r="A26" s="395" t="s">
        <v>86</v>
      </c>
      <c r="B26" s="390" t="s">
        <v>30</v>
      </c>
      <c r="C26" s="391">
        <f>+C27+C28+C29</f>
        <v>5251680</v>
      </c>
      <c r="D26" s="393">
        <f>SUM(D27:D29)</f>
        <v>4614567</v>
      </c>
      <c r="E26" s="408">
        <f>SUM(E27:E29)</f>
        <v>3903998</v>
      </c>
      <c r="F26" s="625">
        <f>F27+F28+F29</f>
        <v>432485.92000000004</v>
      </c>
      <c r="G26" s="625">
        <f>J26+F26</f>
        <v>6618094.3599999994</v>
      </c>
      <c r="H26" s="394">
        <f t="shared" si="1"/>
        <v>2714096.3599999994</v>
      </c>
      <c r="I26" s="433">
        <f>+G26/E26*100</f>
        <v>169.52094647589468</v>
      </c>
      <c r="J26" s="623">
        <v>6185608.4399999995</v>
      </c>
    </row>
    <row r="27" spans="1:13" ht="24.95" customHeight="1">
      <c r="A27" s="406" t="s">
        <v>87</v>
      </c>
      <c r="B27" s="402" t="s">
        <v>88</v>
      </c>
      <c r="C27" s="403">
        <v>410082</v>
      </c>
      <c r="D27" s="400">
        <v>410082</v>
      </c>
      <c r="E27" s="407">
        <f>34173+34173+34173+34173+34173+34173+34173+34173+34173+34173</f>
        <v>341730</v>
      </c>
      <c r="F27" s="630">
        <v>48627</v>
      </c>
      <c r="G27" s="630">
        <f>F27+J27</f>
        <v>712520.11</v>
      </c>
      <c r="H27" s="401">
        <f t="shared" si="1"/>
        <v>370790.11</v>
      </c>
      <c r="I27" s="437">
        <f>+G27/E27*100</f>
        <v>208.50382173060603</v>
      </c>
      <c r="J27" s="235">
        <v>663893.11</v>
      </c>
    </row>
    <row r="28" spans="1:13" ht="24.95" customHeight="1">
      <c r="A28" s="406" t="s">
        <v>89</v>
      </c>
      <c r="B28" s="402" t="s">
        <v>90</v>
      </c>
      <c r="C28" s="403">
        <v>4774884</v>
      </c>
      <c r="D28" s="400">
        <f>4774884-637113</f>
        <v>4137771</v>
      </c>
      <c r="E28" s="407">
        <f>318326+318326+318326+477488+477488+477488+477488+477488-637113+477488+318326</f>
        <v>3501119</v>
      </c>
      <c r="F28" s="630">
        <v>383590.71</v>
      </c>
      <c r="G28" s="630">
        <f>J28+F28</f>
        <v>5842806.4800000004</v>
      </c>
      <c r="H28" s="401">
        <f t="shared" si="1"/>
        <v>2341687.4800000004</v>
      </c>
      <c r="I28" s="437">
        <f>+G28/E28*100</f>
        <v>166.88397280983597</v>
      </c>
      <c r="J28" s="235">
        <v>5459215.7700000005</v>
      </c>
      <c r="L28" s="436"/>
    </row>
    <row r="29" spans="1:13" ht="24.95" customHeight="1">
      <c r="A29" s="406" t="s">
        <v>91</v>
      </c>
      <c r="B29" s="402" t="s">
        <v>92</v>
      </c>
      <c r="C29" s="403">
        <v>66714</v>
      </c>
      <c r="D29" s="400">
        <v>66714</v>
      </c>
      <c r="E29" s="407">
        <f>11118+5559+5559+5559+5559+5559+5559+5559+5559+5559</f>
        <v>61149</v>
      </c>
      <c r="F29" s="630">
        <v>268.20999999999998</v>
      </c>
      <c r="G29" s="630">
        <f>J29+F29</f>
        <v>62767.77</v>
      </c>
      <c r="H29" s="401">
        <f t="shared" si="1"/>
        <v>1618.7699999999968</v>
      </c>
      <c r="I29" s="437">
        <f>+G29/E29*100</f>
        <v>102.64725506549574</v>
      </c>
      <c r="J29" s="235">
        <v>62499.56</v>
      </c>
    </row>
    <row r="30" spans="1:13" ht="9.9499999999999993" customHeight="1">
      <c r="A30" s="395" t="s">
        <v>12</v>
      </c>
      <c r="B30" s="402"/>
      <c r="C30" s="403"/>
      <c r="D30" s="400"/>
      <c r="E30" s="407"/>
      <c r="F30" s="626"/>
      <c r="G30" s="626">
        <f>F30</f>
        <v>0</v>
      </c>
      <c r="H30" s="401">
        <f t="shared" si="1"/>
        <v>0</v>
      </c>
      <c r="I30" s="437" t="s">
        <v>12</v>
      </c>
      <c r="J30" s="235">
        <v>0</v>
      </c>
    </row>
    <row r="31" spans="1:13" ht="24.95" customHeight="1">
      <c r="A31" s="395" t="s">
        <v>93</v>
      </c>
      <c r="B31" s="390" t="s">
        <v>31</v>
      </c>
      <c r="C31" s="391">
        <f>+C32</f>
        <v>2500000</v>
      </c>
      <c r="D31" s="393">
        <f>SUM(D32)</f>
        <v>2500000</v>
      </c>
      <c r="E31" s="408">
        <f>SUM(E32)</f>
        <v>2166668</v>
      </c>
      <c r="F31" s="625">
        <f>F32</f>
        <v>111655.66</v>
      </c>
      <c r="G31" s="625">
        <f>J31+F31</f>
        <v>729032.57000000007</v>
      </c>
      <c r="H31" s="358">
        <f t="shared" si="1"/>
        <v>-1437635.43</v>
      </c>
      <c r="I31" s="433">
        <f>+G31/E31*100</f>
        <v>33.647636370685312</v>
      </c>
      <c r="J31" s="623">
        <v>617376.91</v>
      </c>
    </row>
    <row r="32" spans="1:13" ht="24.95" customHeight="1">
      <c r="A32" s="395" t="s">
        <v>94</v>
      </c>
      <c r="B32" s="402" t="s">
        <v>95</v>
      </c>
      <c r="C32" s="403">
        <v>2500000</v>
      </c>
      <c r="D32" s="400">
        <v>2500000</v>
      </c>
      <c r="E32" s="407">
        <f>166667+166667+166667+250000+250000+250000+250000+250000+250000+166667</f>
        <v>2166668</v>
      </c>
      <c r="F32" s="630">
        <v>111655.66</v>
      </c>
      <c r="G32" s="630">
        <f>J32+F32</f>
        <v>729032.57000000007</v>
      </c>
      <c r="H32" s="360">
        <f t="shared" si="1"/>
        <v>-1437635.43</v>
      </c>
      <c r="I32" s="437">
        <f>+G32/E32*100</f>
        <v>33.647636370685312</v>
      </c>
      <c r="J32" s="235">
        <v>617376.91</v>
      </c>
    </row>
    <row r="33" spans="1:10" ht="9.9499999999999993" customHeight="1">
      <c r="A33" s="395"/>
      <c r="B33" s="402"/>
      <c r="C33" s="403"/>
      <c r="D33" s="400"/>
      <c r="E33" s="400"/>
      <c r="F33" s="626"/>
      <c r="G33" s="626">
        <f>F33</f>
        <v>0</v>
      </c>
      <c r="H33" s="410"/>
      <c r="I33" s="437"/>
      <c r="J33" s="235">
        <v>0</v>
      </c>
    </row>
    <row r="34" spans="1:10" ht="24.95" customHeight="1">
      <c r="A34" s="395" t="s">
        <v>96</v>
      </c>
      <c r="B34" s="390" t="s">
        <v>32</v>
      </c>
      <c r="C34" s="391">
        <f>+C36+C40</f>
        <v>56905194</v>
      </c>
      <c r="D34" s="393">
        <f>+D40+D36</f>
        <v>26708941</v>
      </c>
      <c r="E34" s="393">
        <f>+E40+E36</f>
        <v>26708941</v>
      </c>
      <c r="F34" s="625">
        <f>+F40+F36</f>
        <v>420000</v>
      </c>
      <c r="G34" s="625">
        <f>G36+G40</f>
        <v>13306673</v>
      </c>
      <c r="H34" s="358">
        <f>G34-E34</f>
        <v>-13402268</v>
      </c>
      <c r="I34" s="433">
        <f>+G34/E34*100</f>
        <v>49.821043073179126</v>
      </c>
      <c r="J34" s="623">
        <v>12886673</v>
      </c>
    </row>
    <row r="35" spans="1:10" ht="9.9499999999999993" customHeight="1">
      <c r="A35" s="395"/>
      <c r="B35" s="402"/>
      <c r="C35" s="403"/>
      <c r="D35" s="400"/>
      <c r="E35" s="400"/>
      <c r="F35" s="626"/>
      <c r="G35" s="626"/>
      <c r="H35" s="410"/>
      <c r="I35" s="437"/>
      <c r="J35" s="235"/>
    </row>
    <row r="36" spans="1:10" ht="18" customHeight="1">
      <c r="A36" s="395" t="s">
        <v>97</v>
      </c>
      <c r="B36" s="390" t="s">
        <v>98</v>
      </c>
      <c r="C36" s="391">
        <f>+C37</f>
        <v>54805194</v>
      </c>
      <c r="D36" s="393">
        <f>D37</f>
        <v>24608941</v>
      </c>
      <c r="E36" s="393">
        <f t="shared" ref="E36:E38" si="2">E37</f>
        <v>24608941</v>
      </c>
      <c r="F36" s="625">
        <f t="shared" ref="F36:G38" si="3">F37</f>
        <v>0</v>
      </c>
      <c r="G36" s="625">
        <f t="shared" si="3"/>
        <v>11206673</v>
      </c>
      <c r="H36" s="358">
        <f>H37</f>
        <v>-13402268</v>
      </c>
      <c r="I36" s="433">
        <f>I37</f>
        <v>45.539029899742538</v>
      </c>
      <c r="J36" s="623">
        <v>11206673</v>
      </c>
    </row>
    <row r="37" spans="1:10" ht="18" customHeight="1">
      <c r="A37" s="406" t="s">
        <v>99</v>
      </c>
      <c r="B37" s="402" t="s">
        <v>100</v>
      </c>
      <c r="C37" s="403">
        <f>+C38</f>
        <v>54805194</v>
      </c>
      <c r="D37" s="400">
        <f>D38</f>
        <v>24608941</v>
      </c>
      <c r="E37" s="400">
        <f t="shared" si="2"/>
        <v>24608941</v>
      </c>
      <c r="F37" s="626">
        <f>+F38</f>
        <v>0</v>
      </c>
      <c r="G37" s="626">
        <f t="shared" si="3"/>
        <v>11206673</v>
      </c>
      <c r="H37" s="360">
        <f>H38</f>
        <v>-13402268</v>
      </c>
      <c r="I37" s="437">
        <f>G37/E37*100</f>
        <v>45.539029899742538</v>
      </c>
      <c r="J37" s="235">
        <v>11206673</v>
      </c>
    </row>
    <row r="38" spans="1:10" ht="18" customHeight="1">
      <c r="A38" s="406" t="s">
        <v>101</v>
      </c>
      <c r="B38" s="402" t="s">
        <v>102</v>
      </c>
      <c r="C38" s="403">
        <f>+C39</f>
        <v>54805194</v>
      </c>
      <c r="D38" s="400">
        <f>D39</f>
        <v>24608941</v>
      </c>
      <c r="E38" s="400">
        <f t="shared" si="2"/>
        <v>24608941</v>
      </c>
      <c r="F38" s="626">
        <f>+F39</f>
        <v>0</v>
      </c>
      <c r="G38" s="626">
        <f t="shared" si="3"/>
        <v>11206673</v>
      </c>
      <c r="H38" s="360">
        <f>H39</f>
        <v>-13402268</v>
      </c>
      <c r="I38" s="437">
        <f>G38/E38*100</f>
        <v>45.539029899742538</v>
      </c>
      <c r="J38" s="235">
        <v>11206673</v>
      </c>
    </row>
    <row r="39" spans="1:10" ht="18" customHeight="1">
      <c r="A39" s="406" t="s">
        <v>103</v>
      </c>
      <c r="B39" s="402" t="s">
        <v>104</v>
      </c>
      <c r="C39" s="403">
        <v>54805194</v>
      </c>
      <c r="D39" s="400">
        <v>24608941</v>
      </c>
      <c r="E39" s="400">
        <f>24608941</f>
        <v>24608941</v>
      </c>
      <c r="F39" s="626">
        <v>0</v>
      </c>
      <c r="G39" s="626">
        <f>J39+F39</f>
        <v>11206673</v>
      </c>
      <c r="H39" s="360">
        <f>G39-E39</f>
        <v>-13402268</v>
      </c>
      <c r="I39" s="437">
        <f>G39/E39*100</f>
        <v>45.539029899742538</v>
      </c>
      <c r="J39" s="235">
        <v>11206673</v>
      </c>
    </row>
    <row r="40" spans="1:10" ht="24.95" customHeight="1">
      <c r="A40" s="395" t="s">
        <v>105</v>
      </c>
      <c r="B40" s="390" t="s">
        <v>106</v>
      </c>
      <c r="C40" s="391">
        <f>+C41</f>
        <v>2100000</v>
      </c>
      <c r="D40" s="393">
        <f>SUM(D41)</f>
        <v>2100000</v>
      </c>
      <c r="E40" s="393">
        <f t="shared" ref="E40:E42" si="4">E41</f>
        <v>2100000</v>
      </c>
      <c r="F40" s="625">
        <f>F41</f>
        <v>420000</v>
      </c>
      <c r="G40" s="625">
        <f>G41</f>
        <v>2100000</v>
      </c>
      <c r="H40" s="411">
        <f t="shared" si="1"/>
        <v>0</v>
      </c>
      <c r="I40" s="433">
        <f>+G40/E40*100</f>
        <v>100</v>
      </c>
      <c r="J40" s="623">
        <v>1680000</v>
      </c>
    </row>
    <row r="41" spans="1:10" ht="24.95" customHeight="1">
      <c r="A41" s="406" t="s">
        <v>107</v>
      </c>
      <c r="B41" s="402" t="s">
        <v>108</v>
      </c>
      <c r="C41" s="403">
        <f>+C42</f>
        <v>2100000</v>
      </c>
      <c r="D41" s="400">
        <f>+D42</f>
        <v>2100000</v>
      </c>
      <c r="E41" s="400">
        <f>+E42</f>
        <v>2100000</v>
      </c>
      <c r="F41" s="626">
        <f>+F42</f>
        <v>420000</v>
      </c>
      <c r="G41" s="626">
        <f>+G42</f>
        <v>2100000</v>
      </c>
      <c r="H41" s="410">
        <f t="shared" si="1"/>
        <v>0</v>
      </c>
      <c r="I41" s="437">
        <f>+G41/E41*100</f>
        <v>100</v>
      </c>
      <c r="J41" s="235">
        <v>1680000</v>
      </c>
    </row>
    <row r="42" spans="1:10" ht="17.45" customHeight="1">
      <c r="A42" s="406" t="s">
        <v>109</v>
      </c>
      <c r="B42" s="402" t="s">
        <v>110</v>
      </c>
      <c r="C42" s="403">
        <f>+C43</f>
        <v>2100000</v>
      </c>
      <c r="D42" s="400">
        <f>D43</f>
        <v>2100000</v>
      </c>
      <c r="E42" s="400">
        <f t="shared" si="4"/>
        <v>2100000</v>
      </c>
      <c r="F42" s="626">
        <f>+F43</f>
        <v>420000</v>
      </c>
      <c r="G42" s="626">
        <f>G43</f>
        <v>2100000</v>
      </c>
      <c r="H42" s="410">
        <f t="shared" si="1"/>
        <v>0</v>
      </c>
      <c r="I42" s="437">
        <f>G42/E42*100</f>
        <v>100</v>
      </c>
      <c r="J42" s="235">
        <v>1680000</v>
      </c>
    </row>
    <row r="43" spans="1:10" ht="17.45" customHeight="1">
      <c r="A43" s="406" t="s">
        <v>111</v>
      </c>
      <c r="B43" s="402" t="s">
        <v>112</v>
      </c>
      <c r="C43" s="403">
        <v>2100000</v>
      </c>
      <c r="D43" s="400">
        <v>2100000</v>
      </c>
      <c r="E43" s="400">
        <f>1680000+420000</f>
        <v>2100000</v>
      </c>
      <c r="F43" s="626">
        <v>420000</v>
      </c>
      <c r="G43" s="626">
        <f>J43+F43</f>
        <v>2100000</v>
      </c>
      <c r="H43" s="410">
        <f t="shared" si="1"/>
        <v>0</v>
      </c>
      <c r="I43" s="437">
        <f>G43/E43*100</f>
        <v>100</v>
      </c>
      <c r="J43" s="235">
        <v>1680000</v>
      </c>
    </row>
    <row r="44" spans="1:10" ht="16.899999999999999" customHeight="1">
      <c r="A44" s="412"/>
      <c r="B44" s="413"/>
      <c r="C44" s="414"/>
      <c r="D44" s="414"/>
      <c r="E44" s="414"/>
      <c r="F44" s="414"/>
      <c r="G44" s="414"/>
      <c r="H44" s="415"/>
      <c r="I44" s="439"/>
      <c r="J44" s="235"/>
    </row>
    <row r="45" spans="1:10" ht="24.6" hidden="1" customHeight="1">
      <c r="A45" s="416"/>
      <c r="B45" s="287" t="s">
        <v>113</v>
      </c>
      <c r="C45" s="287"/>
      <c r="D45" s="393">
        <f>SUM(D47)</f>
        <v>5210534</v>
      </c>
      <c r="E45" s="393">
        <f>SUM(E47)</f>
        <v>4639377</v>
      </c>
      <c r="F45" s="393">
        <f>SUM(F47:F47)</f>
        <v>1797741</v>
      </c>
      <c r="G45" s="393" t="e">
        <f>#REF!+F45</f>
        <v>#REF!</v>
      </c>
      <c r="H45" s="417" t="e">
        <f t="shared" si="1"/>
        <v>#REF!</v>
      </c>
      <c r="I45" s="315" t="e">
        <f>+G45/E45*100</f>
        <v>#REF!</v>
      </c>
      <c r="J45" s="378">
        <v>4639377</v>
      </c>
    </row>
    <row r="46" spans="1:10" ht="9.6" hidden="1" customHeight="1">
      <c r="A46" s="416"/>
      <c r="B46" s="294"/>
      <c r="C46" s="294"/>
      <c r="D46" s="400"/>
      <c r="E46" s="400"/>
      <c r="F46" s="400"/>
      <c r="G46" s="409">
        <f>F46</f>
        <v>0</v>
      </c>
      <c r="H46" s="418" t="s">
        <v>12</v>
      </c>
      <c r="I46" s="317" t="s">
        <v>12</v>
      </c>
      <c r="J46" s="378">
        <v>0</v>
      </c>
    </row>
    <row r="47" spans="1:10" ht="24.6" hidden="1" customHeight="1">
      <c r="A47" s="416"/>
      <c r="B47" s="294" t="s">
        <v>114</v>
      </c>
      <c r="C47" s="294"/>
      <c r="D47" s="400">
        <v>5210534</v>
      </c>
      <c r="E47" s="400">
        <v>4639377</v>
      </c>
      <c r="F47" s="419">
        <f>1779848+17893</f>
        <v>1797741</v>
      </c>
      <c r="G47" s="409" t="e">
        <f>F47+#REF!</f>
        <v>#REF!</v>
      </c>
      <c r="H47" s="418" t="e">
        <f>+G47-E47</f>
        <v>#REF!</v>
      </c>
      <c r="I47" s="317" t="e">
        <f>+G47/E47*100</f>
        <v>#REF!</v>
      </c>
      <c r="J47" s="378">
        <v>4639377</v>
      </c>
    </row>
    <row r="48" spans="1:10" ht="7.15" hidden="1" customHeight="1">
      <c r="A48" s="5"/>
      <c r="B48" s="420"/>
      <c r="C48" s="420"/>
      <c r="D48" s="421"/>
      <c r="E48" s="414" t="s">
        <v>12</v>
      </c>
      <c r="F48" s="422" t="s">
        <v>12</v>
      </c>
      <c r="G48" s="414" t="s">
        <v>12</v>
      </c>
      <c r="H48" s="414" t="s">
        <v>12</v>
      </c>
      <c r="I48" s="440"/>
      <c r="J48" s="378" t="s">
        <v>12</v>
      </c>
    </row>
    <row r="49" spans="1:9" ht="9" customHeight="1">
      <c r="A49"/>
      <c r="B49" s="423" t="s">
        <v>12</v>
      </c>
      <c r="C49" s="424"/>
      <c r="D49" s="424"/>
      <c r="E49" s="425"/>
      <c r="F49" s="425"/>
      <c r="G49" s="425"/>
      <c r="H49" s="426"/>
      <c r="I49" s="424"/>
    </row>
    <row r="50" spans="1:9">
      <c r="A50" s="640" t="s">
        <v>23</v>
      </c>
      <c r="B50" s="640"/>
      <c r="C50" s="57"/>
      <c r="D50" s="1"/>
      <c r="E50" s="1"/>
      <c r="F50" s="1"/>
      <c r="G50" s="1"/>
      <c r="H50" s="427"/>
      <c r="I50"/>
    </row>
    <row r="51" spans="1:9" ht="15.75">
      <c r="B51" s="428" t="s">
        <v>12</v>
      </c>
      <c r="C51" s="428"/>
      <c r="D51" s="10"/>
      <c r="E51" s="310"/>
      <c r="F51" s="310"/>
      <c r="G51" s="310"/>
      <c r="H51" s="310"/>
      <c r="I51" s="438"/>
    </row>
    <row r="52" spans="1:9" ht="15.75">
      <c r="B52" s="429" t="s">
        <v>12</v>
      </c>
      <c r="C52" s="429"/>
      <c r="D52" s="430" t="s">
        <v>12</v>
      </c>
      <c r="E52" s="310"/>
      <c r="F52" s="310"/>
      <c r="G52" s="310"/>
      <c r="H52" s="310"/>
      <c r="I52" s="438"/>
    </row>
    <row r="53" spans="1:9" ht="15.75">
      <c r="B53" s="429" t="s">
        <v>12</v>
      </c>
      <c r="C53" s="429"/>
      <c r="D53" s="71"/>
      <c r="E53" s="310"/>
      <c r="F53" s="310"/>
      <c r="G53" s="310"/>
      <c r="H53" s="310"/>
      <c r="I53" s="438"/>
    </row>
    <row r="54" spans="1:9" ht="15.75">
      <c r="B54" s="428" t="s">
        <v>12</v>
      </c>
      <c r="C54" s="428"/>
      <c r="D54" s="310"/>
      <c r="E54" s="310"/>
      <c r="F54" s="310"/>
      <c r="G54" s="310"/>
      <c r="H54" s="310"/>
      <c r="I54" s="438"/>
    </row>
    <row r="55" spans="1:9" ht="15.75">
      <c r="B55" s="428" t="s">
        <v>12</v>
      </c>
      <c r="C55" s="428"/>
      <c r="D55" s="310"/>
      <c r="E55" s="310"/>
      <c r="F55" s="310"/>
      <c r="G55" s="310"/>
      <c r="H55" s="310"/>
      <c r="I55" s="438"/>
    </row>
    <row r="56" spans="1:9" ht="15.75">
      <c r="B56" s="428" t="s">
        <v>12</v>
      </c>
      <c r="C56" s="428"/>
      <c r="D56" s="310"/>
      <c r="E56" s="310"/>
      <c r="F56" s="310"/>
      <c r="G56" s="310"/>
      <c r="H56" s="310"/>
      <c r="I56" s="438"/>
    </row>
    <row r="57" spans="1:9" ht="15.75">
      <c r="B57" s="428" t="s">
        <v>12</v>
      </c>
      <c r="C57" s="428"/>
      <c r="D57" s="310"/>
      <c r="E57" s="310"/>
      <c r="F57" s="310"/>
      <c r="G57" s="310"/>
      <c r="H57" s="310"/>
      <c r="I57" s="438"/>
    </row>
    <row r="58" spans="1:9">
      <c r="D58" s="261"/>
      <c r="E58" s="261"/>
      <c r="F58" s="261"/>
      <c r="G58" s="261"/>
      <c r="H58" s="261"/>
      <c r="I58" s="438"/>
    </row>
    <row r="127" spans="5:5">
      <c r="E127" s="4" t="s">
        <v>12</v>
      </c>
    </row>
  </sheetData>
  <mergeCells count="10">
    <mergeCell ref="A50:B50"/>
    <mergeCell ref="A6:A7"/>
    <mergeCell ref="B6:B7"/>
    <mergeCell ref="B1:I1"/>
    <mergeCell ref="B2:I2"/>
    <mergeCell ref="B3:I3"/>
    <mergeCell ref="B4:I4"/>
    <mergeCell ref="C6:E6"/>
    <mergeCell ref="F6:G6"/>
    <mergeCell ref="H6:I6"/>
  </mergeCells>
  <pageMargins left="0.27559055118110237" right="0.11811023622047245" top="0.74803149606299213" bottom="0.98425196850393704" header="0.51181102362204722" footer="0.51181102362204722"/>
  <pageSetup paperSize="5" scale="75" firstPageNumber="0" orientation="portrait" useFirstPageNumber="1" r:id="rId1"/>
  <headerFooter alignWithMargins="0">
    <oddFooter>&amp;R&amp;"Arial,Negrita"</oddFooter>
  </headerFooter>
  <ignoredErrors>
    <ignoredError sqref="E15:F15 E21 E41 G39:G41 G30 G22:G23 G18 H25 G27 F37:F38 F42 E3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theme="8" tint="0.39985351115451523"/>
    <pageSetUpPr fitToPage="1"/>
  </sheetPr>
  <dimension ref="A1:X70"/>
  <sheetViews>
    <sheetView showGridLines="0" showZeros="0" workbookViewId="0">
      <selection sqref="A1:I33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4" customWidth="1"/>
    <col min="4" max="4" width="13.85546875" customWidth="1"/>
    <col min="5" max="5" width="14" customWidth="1"/>
    <col min="6" max="7" width="13.28515625" customWidth="1"/>
    <col min="8" max="8" width="15" customWidth="1"/>
    <col min="9" max="9" width="9.7109375" customWidth="1"/>
    <col min="10" max="10" width="0.140625" customWidth="1"/>
    <col min="11" max="11" width="12" customWidth="1"/>
    <col min="12" max="12" width="24.28515625" customWidth="1"/>
    <col min="14" max="16" width="11.42578125" hidden="1" customWidth="1"/>
    <col min="17" max="17" width="22.42578125" customWidth="1"/>
    <col min="19" max="19" width="1.42578125" customWidth="1"/>
    <col min="20" max="20" width="3.140625" customWidth="1"/>
    <col min="21" max="21" width="0.42578125" customWidth="1"/>
    <col min="22" max="22" width="1.5703125" customWidth="1"/>
    <col min="23" max="23" width="0.42578125" customWidth="1"/>
  </cols>
  <sheetData>
    <row r="1" spans="1:24" ht="15.75">
      <c r="A1" s="645" t="s">
        <v>60</v>
      </c>
      <c r="B1" s="645"/>
      <c r="C1" s="645"/>
      <c r="D1" s="645"/>
      <c r="E1" s="645"/>
      <c r="F1" s="645"/>
      <c r="G1" s="645"/>
      <c r="H1" s="645"/>
      <c r="I1" s="645"/>
    </row>
    <row r="2" spans="1:24" ht="15.75">
      <c r="A2" s="645" t="s">
        <v>61</v>
      </c>
      <c r="B2" s="645"/>
      <c r="C2" s="645"/>
      <c r="D2" s="645"/>
      <c r="E2" s="645"/>
      <c r="F2" s="645"/>
      <c r="G2" s="645"/>
      <c r="H2" s="645"/>
      <c r="I2" s="645"/>
    </row>
    <row r="3" spans="1:24" ht="15">
      <c r="A3" s="653" t="s">
        <v>115</v>
      </c>
      <c r="B3" s="654"/>
      <c r="C3" s="654"/>
      <c r="D3" s="654"/>
      <c r="E3" s="654"/>
      <c r="F3" s="654"/>
      <c r="G3" s="654"/>
      <c r="H3" s="654"/>
      <c r="I3" s="655"/>
    </row>
    <row r="4" spans="1:24" ht="15">
      <c r="A4" s="653" t="s">
        <v>543</v>
      </c>
      <c r="B4" s="654"/>
      <c r="C4" s="654"/>
      <c r="D4" s="654"/>
      <c r="E4" s="654"/>
      <c r="F4" s="654"/>
      <c r="G4" s="654"/>
      <c r="H4" s="654"/>
      <c r="I4" s="655"/>
    </row>
    <row r="5" spans="1:24" ht="14.25">
      <c r="A5" s="321"/>
      <c r="B5" s="322"/>
      <c r="C5" s="322"/>
      <c r="D5" s="322"/>
      <c r="E5" s="322"/>
      <c r="F5" s="322"/>
      <c r="G5" s="322"/>
      <c r="H5" s="322"/>
    </row>
    <row r="6" spans="1:24" ht="21" customHeight="1">
      <c r="A6" s="661" t="s">
        <v>0</v>
      </c>
      <c r="B6" s="663" t="s">
        <v>116</v>
      </c>
      <c r="C6" s="656" t="s">
        <v>50</v>
      </c>
      <c r="D6" s="657"/>
      <c r="E6" s="658"/>
      <c r="F6" s="659" t="s">
        <v>117</v>
      </c>
      <c r="G6" s="659"/>
      <c r="H6" s="659" t="s">
        <v>24</v>
      </c>
      <c r="I6" s="660"/>
    </row>
    <row r="7" spans="1:24" ht="33" customHeight="1">
      <c r="A7" s="662"/>
      <c r="B7" s="664"/>
      <c r="C7" s="323" t="s">
        <v>2</v>
      </c>
      <c r="D7" s="323" t="s">
        <v>3</v>
      </c>
      <c r="E7" s="324" t="s">
        <v>25</v>
      </c>
      <c r="F7" s="324" t="s">
        <v>66</v>
      </c>
      <c r="G7" s="324" t="s">
        <v>118</v>
      </c>
      <c r="H7" s="324" t="s">
        <v>119</v>
      </c>
      <c r="I7" s="355" t="s">
        <v>27</v>
      </c>
      <c r="K7" s="356"/>
    </row>
    <row r="8" spans="1:24" ht="20.100000000000001" customHeight="1">
      <c r="A8" s="325"/>
      <c r="B8" s="326"/>
      <c r="C8" s="327"/>
      <c r="D8" s="328"/>
      <c r="E8" s="329"/>
      <c r="F8" s="329"/>
      <c r="G8" s="329"/>
      <c r="H8" s="329"/>
      <c r="I8" s="357"/>
      <c r="J8" s="9"/>
    </row>
    <row r="9" spans="1:24" ht="20.100000000000001" customHeight="1">
      <c r="A9" s="330" t="s">
        <v>33</v>
      </c>
      <c r="B9" s="331"/>
      <c r="C9" s="332">
        <f t="shared" ref="C9:G9" si="0">+C11+C22</f>
        <v>198000000</v>
      </c>
      <c r="D9" s="332">
        <f t="shared" si="0"/>
        <v>167166634</v>
      </c>
      <c r="E9" s="332">
        <f t="shared" si="0"/>
        <v>143406431</v>
      </c>
      <c r="F9" s="332">
        <f t="shared" si="0"/>
        <v>9273601.8100000005</v>
      </c>
      <c r="G9" s="332">
        <f t="shared" si="0"/>
        <v>87552201.040000007</v>
      </c>
      <c r="H9" s="358">
        <f>+G9-E9</f>
        <v>-55854229.959999993</v>
      </c>
      <c r="I9" s="370">
        <f>+G9/E9*100</f>
        <v>61.051795536282469</v>
      </c>
      <c r="J9" s="259"/>
      <c r="K9" s="1" t="s">
        <v>12</v>
      </c>
    </row>
    <row r="10" spans="1:24" ht="20.100000000000001" customHeight="1">
      <c r="A10" s="330"/>
      <c r="B10" s="331"/>
      <c r="C10" s="332"/>
      <c r="D10" s="332"/>
      <c r="E10" s="332"/>
      <c r="F10" s="332"/>
      <c r="G10" s="332" t="s">
        <v>12</v>
      </c>
      <c r="H10" s="332"/>
      <c r="I10" s="370"/>
      <c r="J10" s="259"/>
      <c r="L10" t="s">
        <v>12</v>
      </c>
      <c r="Q10" s="1" t="s">
        <v>12</v>
      </c>
    </row>
    <row r="11" spans="1:24" ht="20.100000000000001" customHeight="1">
      <c r="A11" s="330" t="s">
        <v>34</v>
      </c>
      <c r="B11" s="331"/>
      <c r="C11" s="332">
        <f t="shared" ref="C11:G11" si="1">SUM(C13:C20)</f>
        <v>15328172</v>
      </c>
      <c r="D11" s="332">
        <f t="shared" si="1"/>
        <v>14691059</v>
      </c>
      <c r="E11" s="332">
        <f t="shared" si="1"/>
        <v>12893622</v>
      </c>
      <c r="F11" s="332">
        <f t="shared" si="1"/>
        <v>1122880.81</v>
      </c>
      <c r="G11" s="332">
        <f t="shared" si="1"/>
        <v>10947677.040000001</v>
      </c>
      <c r="H11" s="332">
        <f>E11-G11</f>
        <v>1945944.959999999</v>
      </c>
      <c r="I11" s="370">
        <f>+G11/E11*100</f>
        <v>84.907693431682745</v>
      </c>
      <c r="J11" s="259"/>
      <c r="K11" s="1"/>
    </row>
    <row r="12" spans="1:24" ht="20.100000000000001" customHeight="1">
      <c r="A12" s="333"/>
      <c r="B12" s="334"/>
      <c r="C12" s="335"/>
      <c r="D12" s="335"/>
      <c r="E12" s="335" t="s">
        <v>12</v>
      </c>
      <c r="F12" s="335"/>
      <c r="G12" s="335"/>
      <c r="H12" s="335"/>
      <c r="I12" s="368"/>
      <c r="J12" s="359"/>
    </row>
    <row r="13" spans="1:24" ht="20.100000000000001" customHeight="1">
      <c r="A13" s="336" t="s">
        <v>120</v>
      </c>
      <c r="B13" s="337" t="s">
        <v>121</v>
      </c>
      <c r="C13" s="338">
        <f>+'CA1'!C18</f>
        <v>700000</v>
      </c>
      <c r="D13" s="338">
        <f>+'CA1'!D18</f>
        <v>700000</v>
      </c>
      <c r="E13" s="338">
        <f>+'CA1'!E18</f>
        <v>583330</v>
      </c>
      <c r="F13" s="338">
        <f>+'CA1'!F18</f>
        <v>4997.45</v>
      </c>
      <c r="G13" s="338">
        <f>+'CA1'!G18</f>
        <v>394042.79000000004</v>
      </c>
      <c r="H13" s="360">
        <f>+G13-E13</f>
        <v>-189287.20999999996</v>
      </c>
      <c r="I13" s="633">
        <f t="shared" ref="I13:I18" si="2">+G13/E13*100</f>
        <v>67.550578574734715</v>
      </c>
      <c r="J13" s="361"/>
      <c r="K13" s="1"/>
      <c r="L13" s="362"/>
      <c r="M13" s="1"/>
      <c r="Q13" s="9"/>
      <c r="R13" s="373"/>
      <c r="S13" s="373"/>
      <c r="T13" s="374"/>
      <c r="U13" s="374"/>
      <c r="V13" s="374"/>
      <c r="W13" s="374"/>
      <c r="X13" s="374"/>
    </row>
    <row r="14" spans="1:24" ht="20.100000000000001" customHeight="1">
      <c r="A14" s="336" t="s">
        <v>35</v>
      </c>
      <c r="B14" s="337" t="s">
        <v>122</v>
      </c>
      <c r="C14" s="338">
        <f>+'CA1'!C19</f>
        <v>4776492</v>
      </c>
      <c r="D14" s="338">
        <f>+'CA1'!D19</f>
        <v>4776492</v>
      </c>
      <c r="E14" s="338">
        <f>+'CA1'!E19</f>
        <v>4139626</v>
      </c>
      <c r="F14" s="338">
        <f>+'CA1'!F19</f>
        <v>153741.78</v>
      </c>
      <c r="G14" s="338">
        <f>+'CA1'!G19</f>
        <v>1106507.32</v>
      </c>
      <c r="H14" s="360">
        <f t="shared" ref="H14:H20" si="3">+G14-E14</f>
        <v>-3033118.6799999997</v>
      </c>
      <c r="I14" s="633">
        <f t="shared" si="2"/>
        <v>26.729644658720382</v>
      </c>
      <c r="J14" s="361"/>
      <c r="K14" s="1"/>
      <c r="L14" s="362"/>
      <c r="R14" s="373"/>
      <c r="S14" s="373"/>
      <c r="T14" s="374"/>
      <c r="U14" s="374"/>
      <c r="V14" s="374"/>
      <c r="W14" s="374"/>
      <c r="X14" s="374"/>
    </row>
    <row r="15" spans="1:24" ht="20.100000000000001" customHeight="1">
      <c r="A15" s="339" t="s">
        <v>36</v>
      </c>
      <c r="B15" s="337" t="s">
        <v>123</v>
      </c>
      <c r="C15" s="338">
        <f>+'CA1'!C28</f>
        <v>4774884</v>
      </c>
      <c r="D15" s="338">
        <f>+'CA1'!D28</f>
        <v>4137771</v>
      </c>
      <c r="E15" s="338">
        <f>+'CA1'!E28</f>
        <v>3501119</v>
      </c>
      <c r="F15" s="338">
        <f>+'CA1'!F28</f>
        <v>383590.71</v>
      </c>
      <c r="G15" s="338">
        <f>+'CA1'!G28</f>
        <v>5842806.4800000004</v>
      </c>
      <c r="H15" s="363">
        <f t="shared" si="3"/>
        <v>2341687.4800000004</v>
      </c>
      <c r="I15" s="633">
        <f t="shared" si="2"/>
        <v>166.88397280983597</v>
      </c>
      <c r="J15" s="361"/>
      <c r="K15" s="1"/>
      <c r="L15" s="362"/>
      <c r="R15" s="373"/>
      <c r="S15" s="373"/>
      <c r="T15" s="374"/>
      <c r="U15" s="374"/>
      <c r="V15" s="374"/>
      <c r="W15" s="374"/>
      <c r="X15" s="374"/>
    </row>
    <row r="16" spans="1:24" ht="20.100000000000001" customHeight="1">
      <c r="A16" s="339" t="s">
        <v>37</v>
      </c>
      <c r="B16" s="337" t="s">
        <v>124</v>
      </c>
      <c r="C16" s="338">
        <f>+'CA1'!C29</f>
        <v>66714</v>
      </c>
      <c r="D16" s="338">
        <f>+'CA1'!D29</f>
        <v>66714</v>
      </c>
      <c r="E16" s="338">
        <f>+'CA1'!E29</f>
        <v>61149</v>
      </c>
      <c r="F16" s="338">
        <f>+'CA1'!F29</f>
        <v>268.20999999999998</v>
      </c>
      <c r="G16" s="338">
        <f>+'CA1'!G29</f>
        <v>62767.77</v>
      </c>
      <c r="H16" s="363">
        <f t="shared" si="3"/>
        <v>1618.7699999999968</v>
      </c>
      <c r="I16" s="633">
        <f t="shared" si="2"/>
        <v>102.64725506549574</v>
      </c>
      <c r="J16" s="361"/>
      <c r="K16" s="1"/>
      <c r="L16" s="362"/>
      <c r="R16" s="373"/>
      <c r="S16" s="373"/>
      <c r="T16" s="374"/>
      <c r="U16" s="374"/>
      <c r="V16" s="374"/>
      <c r="W16" s="374"/>
      <c r="X16" s="374"/>
    </row>
    <row r="17" spans="1:24" ht="20.100000000000001" customHeight="1">
      <c r="A17" s="339" t="s">
        <v>38</v>
      </c>
      <c r="B17" s="337" t="s">
        <v>125</v>
      </c>
      <c r="C17" s="338">
        <f>+'CA1'!C27</f>
        <v>410082</v>
      </c>
      <c r="D17" s="338">
        <f>+'CA1'!D27</f>
        <v>410082</v>
      </c>
      <c r="E17" s="338">
        <f>+'CA1'!E27</f>
        <v>341730</v>
      </c>
      <c r="F17" s="338">
        <f>+'CA1'!F27</f>
        <v>48627</v>
      </c>
      <c r="G17" s="338">
        <f>+'CA1'!G27</f>
        <v>712520.11</v>
      </c>
      <c r="H17" s="363">
        <f t="shared" si="3"/>
        <v>370790.11</v>
      </c>
      <c r="I17" s="633">
        <f t="shared" si="2"/>
        <v>208.50382173060603</v>
      </c>
      <c r="J17" s="361"/>
      <c r="K17" s="1"/>
      <c r="L17" s="362"/>
      <c r="R17" s="373"/>
      <c r="S17" s="373"/>
      <c r="T17" s="374"/>
      <c r="U17" s="374"/>
      <c r="V17" s="374"/>
      <c r="W17" s="374"/>
      <c r="X17" s="374"/>
    </row>
    <row r="18" spans="1:24" ht="20.100000000000001" customHeight="1">
      <c r="A18" s="339" t="s">
        <v>39</v>
      </c>
      <c r="B18" s="337" t="s">
        <v>126</v>
      </c>
      <c r="C18" s="338">
        <f>+'CA1'!C32</f>
        <v>2500000</v>
      </c>
      <c r="D18" s="338">
        <f>+'CA1'!D32</f>
        <v>2500000</v>
      </c>
      <c r="E18" s="338">
        <f>+'CA1'!E32</f>
        <v>2166668</v>
      </c>
      <c r="F18" s="338">
        <f>+'CA1'!F32</f>
        <v>111655.66</v>
      </c>
      <c r="G18" s="338">
        <f>+'CA1'!G32</f>
        <v>729032.57000000007</v>
      </c>
      <c r="H18" s="360">
        <f t="shared" si="3"/>
        <v>-1437635.43</v>
      </c>
      <c r="I18" s="633">
        <f t="shared" si="2"/>
        <v>33.647636370685312</v>
      </c>
      <c r="J18" s="361"/>
      <c r="K18" s="1"/>
      <c r="L18" s="362"/>
      <c r="M18" s="1"/>
      <c r="R18" s="373"/>
      <c r="S18" s="373"/>
      <c r="T18" s="374"/>
      <c r="U18" s="374"/>
      <c r="V18" s="374"/>
      <c r="W18" s="374"/>
      <c r="X18" s="374"/>
    </row>
    <row r="19" spans="1:24" ht="20.100000000000001" customHeight="1">
      <c r="A19" s="339" t="s">
        <v>127</v>
      </c>
      <c r="B19" s="337" t="s">
        <v>128</v>
      </c>
      <c r="C19" s="338"/>
      <c r="D19" s="338"/>
      <c r="E19" s="338"/>
      <c r="F19" s="338">
        <f>+'CA1'!F24</f>
        <v>0</v>
      </c>
      <c r="G19" s="338">
        <f>+'CA1'!G33</f>
        <v>0</v>
      </c>
      <c r="H19" s="338" t="s">
        <v>12</v>
      </c>
      <c r="I19" s="633">
        <v>0</v>
      </c>
      <c r="J19" s="361"/>
      <c r="K19" s="1"/>
      <c r="L19" s="362"/>
      <c r="R19" s="373"/>
      <c r="S19" s="373"/>
      <c r="T19" s="374"/>
      <c r="U19" s="374"/>
      <c r="V19" s="374"/>
      <c r="W19" s="374"/>
      <c r="X19" s="374"/>
    </row>
    <row r="20" spans="1:24" ht="20.100000000000001" customHeight="1">
      <c r="A20" s="339" t="s">
        <v>40</v>
      </c>
      <c r="B20" s="337" t="s">
        <v>129</v>
      </c>
      <c r="C20" s="338">
        <f>+'CA1'!C43</f>
        <v>2100000</v>
      </c>
      <c r="D20" s="338">
        <f>+'CA1'!D43</f>
        <v>2100000</v>
      </c>
      <c r="E20" s="338">
        <f>+'CA1'!E43</f>
        <v>2100000</v>
      </c>
      <c r="F20" s="338">
        <f>+'CA1'!F40</f>
        <v>420000</v>
      </c>
      <c r="G20" s="338">
        <f>+'CA1'!G43</f>
        <v>2100000</v>
      </c>
      <c r="H20" s="338">
        <f t="shared" si="3"/>
        <v>0</v>
      </c>
      <c r="I20" s="633">
        <f>+G20/E20*100</f>
        <v>100</v>
      </c>
      <c r="J20" s="361"/>
      <c r="K20" s="1"/>
      <c r="L20" s="362"/>
      <c r="R20" s="373"/>
      <c r="S20" s="373"/>
      <c r="T20" s="374"/>
      <c r="U20" s="374"/>
      <c r="V20" s="374"/>
      <c r="W20" s="374"/>
      <c r="X20" s="374"/>
    </row>
    <row r="21" spans="1:24" ht="20.100000000000001" customHeight="1">
      <c r="A21" s="336"/>
      <c r="B21" s="340"/>
      <c r="C21" s="341"/>
      <c r="D21" s="335"/>
      <c r="E21" s="335" t="s">
        <v>12</v>
      </c>
      <c r="F21" s="335" t="s">
        <v>12</v>
      </c>
      <c r="G21" s="335" t="str">
        <f>F21</f>
        <v xml:space="preserve"> </v>
      </c>
      <c r="H21" s="364"/>
      <c r="I21" s="368"/>
      <c r="J21" s="359"/>
      <c r="K21" s="1"/>
      <c r="L21" s="362"/>
      <c r="R21" s="373"/>
      <c r="S21" s="373"/>
      <c r="T21" s="374"/>
      <c r="U21" s="374"/>
      <c r="V21" s="374"/>
      <c r="W21" s="374"/>
      <c r="X21" s="374"/>
    </row>
    <row r="22" spans="1:24" ht="20.100000000000001" customHeight="1">
      <c r="A22" s="330" t="s">
        <v>22</v>
      </c>
      <c r="B22" s="342"/>
      <c r="C22" s="343">
        <f>+C24+C30</f>
        <v>182671828</v>
      </c>
      <c r="D22" s="332">
        <f>+D24+D30</f>
        <v>152475575</v>
      </c>
      <c r="E22" s="332">
        <f>E24+E30</f>
        <v>130512809</v>
      </c>
      <c r="F22" s="332">
        <f>+F24+F30</f>
        <v>8150721</v>
      </c>
      <c r="G22" s="332">
        <f>+F22+J22</f>
        <v>76604524</v>
      </c>
      <c r="H22" s="358">
        <f>G22-E22</f>
        <v>-53908285</v>
      </c>
      <c r="I22" s="370">
        <f>+G22/E22*100</f>
        <v>58.695023566614068</v>
      </c>
      <c r="J22" s="365">
        <v>68453803</v>
      </c>
      <c r="K22" s="1"/>
      <c r="L22" s="362" t="s">
        <v>12</v>
      </c>
      <c r="R22" s="375"/>
      <c r="S22" s="375"/>
      <c r="T22" s="374"/>
      <c r="U22" s="374"/>
      <c r="V22" s="374"/>
      <c r="W22" s="374"/>
      <c r="X22" s="374"/>
    </row>
    <row r="23" spans="1:24" ht="20.100000000000001" customHeight="1">
      <c r="A23" s="330" t="s">
        <v>12</v>
      </c>
      <c r="B23" s="342"/>
      <c r="C23" s="344"/>
      <c r="D23" s="332"/>
      <c r="E23" s="332"/>
      <c r="F23" s="332"/>
      <c r="G23" s="332">
        <f>F23</f>
        <v>0</v>
      </c>
      <c r="H23" s="343"/>
      <c r="I23" s="370"/>
      <c r="J23" s="365">
        <v>0</v>
      </c>
      <c r="K23" s="1"/>
      <c r="L23" s="362"/>
      <c r="Q23" s="1"/>
      <c r="R23" s="373"/>
      <c r="S23" s="373"/>
      <c r="T23" s="374"/>
      <c r="U23" s="374"/>
      <c r="V23" s="374"/>
      <c r="W23" s="374"/>
      <c r="X23" s="374"/>
    </row>
    <row r="24" spans="1:24" ht="33" customHeight="1">
      <c r="A24" s="345" t="s">
        <v>46</v>
      </c>
      <c r="B24" s="342" t="s">
        <v>130</v>
      </c>
      <c r="C24" s="332">
        <f>SUM(C26:C28)</f>
        <v>127866634</v>
      </c>
      <c r="D24" s="332">
        <f>SUM(D26:D28)</f>
        <v>127866634</v>
      </c>
      <c r="E24" s="332">
        <f>+E26+E27+E28</f>
        <v>105903868</v>
      </c>
      <c r="F24" s="332">
        <f>SUM(F26:F28)</f>
        <v>8150721</v>
      </c>
      <c r="G24" s="332">
        <f>+F24+J24</f>
        <v>65397851</v>
      </c>
      <c r="H24" s="358">
        <f>+G24-E24</f>
        <v>-40506017</v>
      </c>
      <c r="I24" s="370">
        <f>+G24/E24*100</f>
        <v>61.752089168263424</v>
      </c>
      <c r="J24" s="365">
        <v>57247130</v>
      </c>
      <c r="K24" s="1"/>
      <c r="L24" s="362"/>
      <c r="R24" s="375"/>
      <c r="S24" s="375"/>
      <c r="T24" s="374"/>
      <c r="U24" s="374"/>
      <c r="V24" s="374"/>
      <c r="W24" s="374"/>
      <c r="X24" s="374"/>
    </row>
    <row r="25" spans="1:24" ht="17.45" customHeight="1">
      <c r="A25" s="345"/>
      <c r="B25" s="342"/>
      <c r="C25" s="344"/>
      <c r="D25" s="332"/>
      <c r="E25" s="332"/>
      <c r="F25" s="332"/>
      <c r="G25" s="332"/>
      <c r="H25" s="343"/>
      <c r="I25" s="370"/>
      <c r="J25" s="365"/>
      <c r="K25" s="1"/>
      <c r="L25" s="362"/>
      <c r="R25" s="375"/>
      <c r="S25" s="375"/>
      <c r="T25" s="374"/>
      <c r="U25" s="374"/>
      <c r="V25" s="374"/>
      <c r="W25" s="374"/>
      <c r="X25" s="374"/>
    </row>
    <row r="26" spans="1:24" ht="20.100000000000001" customHeight="1">
      <c r="A26" s="339" t="s">
        <v>131</v>
      </c>
      <c r="B26" s="340"/>
      <c r="C26" s="338">
        <v>111927700</v>
      </c>
      <c r="D26" s="338">
        <f>111927700</f>
        <v>111927700</v>
      </c>
      <c r="E26" s="338">
        <f>11423210+10840726+8812441+8234748+8150721+8313259+8431358+11349349+8479440+8484642</f>
        <v>92519894</v>
      </c>
      <c r="F26" s="338">
        <v>8150721</v>
      </c>
      <c r="G26" s="338">
        <f>J26+F26</f>
        <v>55775105</v>
      </c>
      <c r="H26" s="360">
        <f>+G26-E26</f>
        <v>-36744789</v>
      </c>
      <c r="I26" s="633">
        <f>+G26/E26*100</f>
        <v>60.284445418841493</v>
      </c>
      <c r="J26" s="366">
        <v>47624384</v>
      </c>
      <c r="K26" s="1"/>
      <c r="L26" s="362"/>
      <c r="R26" s="373"/>
      <c r="S26" s="373"/>
      <c r="T26" s="374"/>
      <c r="U26" s="374"/>
      <c r="V26" s="374"/>
      <c r="W26" s="374"/>
      <c r="X26" s="374"/>
    </row>
    <row r="27" spans="1:24" ht="20.100000000000001" customHeight="1">
      <c r="A27" s="339" t="s">
        <v>132</v>
      </c>
      <c r="B27" s="337" t="s">
        <v>12</v>
      </c>
      <c r="C27" s="338">
        <v>109200</v>
      </c>
      <c r="D27" s="338">
        <v>109200</v>
      </c>
      <c r="E27" s="338">
        <f>10200+9900+9900+9900+9900+9900+9900+9900+9900+9900</f>
        <v>99300</v>
      </c>
      <c r="F27" s="338">
        <v>0</v>
      </c>
      <c r="G27" s="338">
        <f>J27+F27</f>
        <v>69600</v>
      </c>
      <c r="H27" s="363"/>
      <c r="I27" s="633">
        <f>+G27/E27*100</f>
        <v>70.090634441087616</v>
      </c>
      <c r="J27" s="366">
        <v>69600</v>
      </c>
      <c r="K27" s="1"/>
      <c r="L27" s="362"/>
      <c r="R27" s="373"/>
      <c r="S27" s="373"/>
      <c r="T27" s="374"/>
      <c r="U27" s="374"/>
      <c r="V27" s="374"/>
      <c r="W27" s="374"/>
      <c r="X27" s="374"/>
    </row>
    <row r="28" spans="1:24" ht="20.100000000000001" customHeight="1">
      <c r="A28" s="339" t="s">
        <v>133</v>
      </c>
      <c r="B28" s="337"/>
      <c r="C28" s="338">
        <v>15829734</v>
      </c>
      <c r="D28" s="338">
        <v>15829734</v>
      </c>
      <c r="E28" s="338">
        <f>2055517+1249548+1283191+1242245+1241241+1235386+1246018+1243523+1243856+1244149</f>
        <v>13284674</v>
      </c>
      <c r="F28" s="338">
        <v>0</v>
      </c>
      <c r="G28" s="338">
        <f>+F28+J28</f>
        <v>9553146</v>
      </c>
      <c r="H28" s="360">
        <f>+G28-E28</f>
        <v>-3731528</v>
      </c>
      <c r="I28" s="633">
        <f>+G28/E28*100</f>
        <v>71.911030711028374</v>
      </c>
      <c r="J28" s="367">
        <v>9553146</v>
      </c>
      <c r="K28" s="1"/>
      <c r="L28" s="362"/>
      <c r="R28" s="373"/>
      <c r="S28" s="373"/>
      <c r="T28" s="374"/>
      <c r="U28" s="374"/>
      <c r="V28" s="374"/>
      <c r="W28" s="374"/>
      <c r="X28" s="374"/>
    </row>
    <row r="29" spans="1:24" ht="20.100000000000001" customHeight="1">
      <c r="A29" s="346" t="s">
        <v>12</v>
      </c>
      <c r="B29" s="340"/>
      <c r="C29" s="335" t="s">
        <v>12</v>
      </c>
      <c r="D29" s="335" t="s">
        <v>12</v>
      </c>
      <c r="E29" s="347" t="s">
        <v>12</v>
      </c>
      <c r="F29" s="338" t="s">
        <v>12</v>
      </c>
      <c r="G29" s="335" t="s">
        <v>12</v>
      </c>
      <c r="H29" s="335"/>
      <c r="I29" s="368"/>
      <c r="J29" s="369" t="s">
        <v>12</v>
      </c>
      <c r="K29" s="1"/>
      <c r="L29" s="362"/>
      <c r="R29" s="373"/>
      <c r="S29" s="373"/>
      <c r="T29" s="374"/>
      <c r="U29" s="374"/>
      <c r="V29" s="374"/>
      <c r="W29" s="374"/>
      <c r="X29" s="374"/>
    </row>
    <row r="30" spans="1:24" ht="23.25" customHeight="1">
      <c r="A30" s="345" t="s">
        <v>47</v>
      </c>
      <c r="B30" s="342" t="s">
        <v>134</v>
      </c>
      <c r="C30" s="332">
        <v>54805194</v>
      </c>
      <c r="D30" s="332">
        <v>24608941</v>
      </c>
      <c r="E30" s="332">
        <f>24608941</f>
        <v>24608941</v>
      </c>
      <c r="F30" s="332">
        <v>0</v>
      </c>
      <c r="G30" s="332">
        <f>+F30+J30</f>
        <v>11206673</v>
      </c>
      <c r="H30" s="360">
        <f>+G30-E30</f>
        <v>-13402268</v>
      </c>
      <c r="I30" s="370">
        <f>+G30/E30*100</f>
        <v>45.539029899742538</v>
      </c>
      <c r="J30" s="371">
        <v>11206673</v>
      </c>
      <c r="K30" s="1" t="s">
        <v>12</v>
      </c>
      <c r="L30" s="362"/>
      <c r="R30" s="376"/>
      <c r="S30" s="376"/>
      <c r="T30" s="374"/>
      <c r="U30" s="374"/>
      <c r="V30" s="374"/>
      <c r="W30" s="374"/>
      <c r="X30" s="374"/>
    </row>
    <row r="31" spans="1:24" ht="20.100000000000001" customHeight="1">
      <c r="A31" s="348" t="s">
        <v>12</v>
      </c>
      <c r="B31" s="349"/>
      <c r="C31" s="350"/>
      <c r="D31" s="351"/>
      <c r="E31" s="351">
        <v>0</v>
      </c>
      <c r="F31" s="350" t="s">
        <v>12</v>
      </c>
      <c r="G31" s="351" t="s">
        <v>12</v>
      </c>
      <c r="H31" s="351"/>
      <c r="I31" s="372"/>
      <c r="J31" t="s">
        <v>12</v>
      </c>
    </row>
    <row r="32" spans="1:24" ht="10.5" customHeight="1">
      <c r="A32" s="352" t="s">
        <v>12</v>
      </c>
      <c r="B32" s="352"/>
      <c r="C32" s="353"/>
      <c r="D32" s="352"/>
      <c r="E32" s="352"/>
      <c r="F32" s="352"/>
      <c r="G32" s="352"/>
      <c r="H32" s="352"/>
      <c r="I32" s="352"/>
    </row>
    <row r="33" spans="1:9" ht="15.75">
      <c r="A33" s="154" t="s">
        <v>41</v>
      </c>
      <c r="B33" s="154"/>
      <c r="C33" s="354"/>
      <c r="D33" s="352"/>
      <c r="E33" s="352" t="s">
        <v>12</v>
      </c>
      <c r="F33" s="352"/>
      <c r="G33" s="352"/>
      <c r="H33" s="352"/>
      <c r="I33" s="352"/>
    </row>
    <row r="38" spans="1:9" ht="12" customHeight="1"/>
    <row r="69" spans="1:24">
      <c r="A69" t="s">
        <v>135</v>
      </c>
      <c r="X69" t="s">
        <v>136</v>
      </c>
    </row>
    <row r="70" spans="1:24">
      <c r="X70" t="s">
        <v>137</v>
      </c>
    </row>
  </sheetData>
  <mergeCells count="9">
    <mergeCell ref="A1:I1"/>
    <mergeCell ref="A2:I2"/>
    <mergeCell ref="A3:I3"/>
    <mergeCell ref="A4:I4"/>
    <mergeCell ref="C6:E6"/>
    <mergeCell ref="F6:G6"/>
    <mergeCell ref="H6:I6"/>
    <mergeCell ref="A6:A7"/>
    <mergeCell ref="B6:B7"/>
  </mergeCells>
  <pageMargins left="7.874015748031496E-2" right="0" top="0.39370078740157483" bottom="0.39370078740157483" header="0.51181102362204722" footer="0.51181102362204722"/>
  <pageSetup paperSize="5" scale="69" firstPageNumber="0" orientation="portrait" useFirstPageNumber="1" r:id="rId1"/>
  <headerFooter alignWithMargins="0"/>
  <ignoredErrors>
    <ignoredError sqref="E22:F22 G22:G23 E2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4506668294322"/>
  </sheetPr>
  <dimension ref="A1:X56"/>
  <sheetViews>
    <sheetView showGridLines="0" showZeros="0" workbookViewId="0">
      <selection activeCell="A2" sqref="A2:H34"/>
    </sheetView>
  </sheetViews>
  <sheetFormatPr baseColWidth="10" defaultColWidth="11.42578125" defaultRowHeight="12.75"/>
  <cols>
    <col min="1" max="1" width="43.28515625" style="501" customWidth="1"/>
    <col min="2" max="2" width="12.28515625" style="501" customWidth="1"/>
    <col min="3" max="3" width="14.85546875" style="501" customWidth="1"/>
    <col min="4" max="4" width="17.140625" style="501" hidden="1" customWidth="1"/>
    <col min="5" max="5" width="12" style="501" hidden="1" customWidth="1"/>
    <col min="6" max="6" width="13.7109375" style="501" customWidth="1"/>
    <col min="7" max="7" width="14.5703125" style="501" customWidth="1"/>
    <col min="8" max="8" width="13.42578125" style="525" customWidth="1"/>
    <col min="9" max="9" width="4" style="470" customWidth="1"/>
    <col min="10" max="16384" width="11.42578125" style="470"/>
  </cols>
  <sheetData>
    <row r="1" spans="1:24" ht="6.75" customHeight="1">
      <c r="A1" s="467"/>
      <c r="B1" s="467"/>
      <c r="C1" s="467"/>
      <c r="D1" s="468"/>
      <c r="E1" s="468"/>
      <c r="F1" s="468"/>
      <c r="G1" s="468"/>
      <c r="H1" s="469"/>
    </row>
    <row r="2" spans="1:24" ht="15" customHeight="1">
      <c r="A2" s="666" t="s">
        <v>60</v>
      </c>
      <c r="B2" s="666"/>
      <c r="C2" s="666"/>
      <c r="D2" s="666"/>
      <c r="E2" s="666"/>
      <c r="F2" s="666"/>
      <c r="G2" s="666"/>
      <c r="H2" s="666"/>
      <c r="I2" s="471"/>
      <c r="J2" s="471"/>
    </row>
    <row r="3" spans="1:24" ht="16.5" customHeight="1">
      <c r="A3" s="666" t="s">
        <v>61</v>
      </c>
      <c r="B3" s="666"/>
      <c r="C3" s="666"/>
      <c r="D3" s="666"/>
      <c r="E3" s="666"/>
      <c r="F3" s="666"/>
      <c r="G3" s="666"/>
      <c r="H3" s="666"/>
      <c r="I3" s="471"/>
      <c r="J3" s="471"/>
    </row>
    <row r="4" spans="1:24" ht="18" customHeight="1">
      <c r="A4" s="667" t="s">
        <v>518</v>
      </c>
      <c r="B4" s="667"/>
      <c r="C4" s="667"/>
      <c r="D4" s="667"/>
      <c r="E4" s="667"/>
      <c r="F4" s="667"/>
      <c r="G4" s="667"/>
      <c r="H4" s="667"/>
    </row>
    <row r="5" spans="1:24" ht="18" customHeight="1">
      <c r="A5" s="668" t="s">
        <v>543</v>
      </c>
      <c r="B5" s="667"/>
      <c r="C5" s="667"/>
      <c r="D5" s="667"/>
      <c r="E5" s="667"/>
      <c r="F5" s="667"/>
      <c r="G5" s="667"/>
      <c r="H5" s="667"/>
    </row>
    <row r="6" spans="1:24" ht="15.75" customHeight="1">
      <c r="A6" s="472"/>
      <c r="B6" s="472"/>
      <c r="C6" s="472"/>
      <c r="D6" s="472"/>
      <c r="E6" s="472"/>
      <c r="F6" s="472"/>
      <c r="G6" s="472"/>
      <c r="H6" s="472" t="s">
        <v>12</v>
      </c>
    </row>
    <row r="7" spans="1:24" ht="20.25" customHeight="1">
      <c r="A7" s="669" t="s">
        <v>0</v>
      </c>
      <c r="B7" s="671" t="s">
        <v>50</v>
      </c>
      <c r="C7" s="672"/>
      <c r="D7" s="672"/>
      <c r="E7" s="672"/>
      <c r="F7" s="673"/>
      <c r="G7" s="674" t="s">
        <v>44</v>
      </c>
      <c r="H7" s="676" t="s">
        <v>43</v>
      </c>
    </row>
    <row r="8" spans="1:24" ht="31.5" customHeight="1">
      <c r="A8" s="670"/>
      <c r="B8" s="473" t="s">
        <v>2</v>
      </c>
      <c r="C8" s="474" t="s">
        <v>65</v>
      </c>
      <c r="D8" s="475" t="s">
        <v>3</v>
      </c>
      <c r="E8" s="475" t="s">
        <v>3</v>
      </c>
      <c r="F8" s="475" t="s">
        <v>25</v>
      </c>
      <c r="G8" s="675"/>
      <c r="H8" s="677"/>
    </row>
    <row r="9" spans="1:24" s="480" customFormat="1" ht="6" customHeight="1">
      <c r="A9" s="476"/>
      <c r="B9" s="476"/>
      <c r="C9" s="477"/>
      <c r="D9" s="478" t="s">
        <v>12</v>
      </c>
      <c r="E9" s="478"/>
      <c r="F9" s="478"/>
      <c r="G9" s="478" t="s">
        <v>12</v>
      </c>
      <c r="H9" s="479" t="s">
        <v>12</v>
      </c>
      <c r="I9" s="470"/>
      <c r="J9" s="470"/>
      <c r="K9" s="470"/>
      <c r="L9" s="470"/>
      <c r="M9" s="470"/>
      <c r="N9" s="470"/>
      <c r="O9" s="470"/>
      <c r="P9" s="470"/>
      <c r="Q9" s="470"/>
      <c r="R9" s="470"/>
      <c r="S9" s="470"/>
      <c r="T9" s="470"/>
      <c r="U9" s="470"/>
      <c r="V9" s="470"/>
      <c r="W9" s="470"/>
      <c r="X9" s="470"/>
    </row>
    <row r="10" spans="1:24" ht="24.95" customHeight="1">
      <c r="A10" s="481" t="s">
        <v>519</v>
      </c>
      <c r="B10" s="482">
        <f>+[2]CA1!C11</f>
        <v>141094806</v>
      </c>
      <c r="C10" s="482">
        <f>+'CA1'!D11</f>
        <v>140457693</v>
      </c>
      <c r="D10" s="482">
        <f>+[2]CA1!D11</f>
        <v>141094806</v>
      </c>
      <c r="E10" s="483"/>
      <c r="F10" s="483">
        <f>+'CA1'!E11</f>
        <v>116697490</v>
      </c>
      <c r="G10" s="483">
        <f>+'CA1'!G11</f>
        <v>74245528.039999992</v>
      </c>
      <c r="H10" s="518">
        <f>G10/F10*100</f>
        <v>63.622215045070796</v>
      </c>
      <c r="I10" s="484"/>
    </row>
    <row r="11" spans="1:24" ht="15" customHeight="1">
      <c r="A11" s="481"/>
      <c r="B11" s="481"/>
      <c r="C11" s="482" t="s">
        <v>12</v>
      </c>
      <c r="D11" s="482">
        <f>+'C-A6'!E181</f>
        <v>39580</v>
      </c>
      <c r="E11" s="483"/>
      <c r="F11" s="483"/>
      <c r="G11" s="483"/>
      <c r="H11" s="519"/>
      <c r="I11" s="484" t="s">
        <v>12</v>
      </c>
    </row>
    <row r="12" spans="1:24" ht="24.95" customHeight="1">
      <c r="A12" s="485" t="s">
        <v>520</v>
      </c>
      <c r="B12" s="486">
        <f>+B14+B15</f>
        <v>141094806</v>
      </c>
      <c r="C12" s="482">
        <f>+'C-A5'!C11</f>
        <v>140457693</v>
      </c>
      <c r="D12" s="482" t="e">
        <f>+'C-A5'!#REF!</f>
        <v>#REF!</v>
      </c>
      <c r="E12" s="482"/>
      <c r="F12" s="482">
        <f>+'C-A6'!F182</f>
        <v>117960318</v>
      </c>
      <c r="G12" s="482">
        <f>+'C-A6'!H182</f>
        <v>100399270.21000001</v>
      </c>
      <c r="H12" s="518">
        <f>G12/F12*100</f>
        <v>85.112749704523523</v>
      </c>
    </row>
    <row r="13" spans="1:24" ht="15" customHeight="1">
      <c r="A13" s="487"/>
      <c r="B13" s="487"/>
      <c r="C13" s="482" t="s">
        <v>12</v>
      </c>
      <c r="D13" s="482">
        <f>+'C-A6'!E183</f>
        <v>0</v>
      </c>
      <c r="E13" s="488"/>
      <c r="F13" s="488"/>
      <c r="G13" s="488" t="s">
        <v>12</v>
      </c>
      <c r="H13" s="520"/>
    </row>
    <row r="14" spans="1:24" ht="24.95" customHeight="1">
      <c r="A14" s="489" t="s">
        <v>521</v>
      </c>
      <c r="B14" s="505">
        <f>+'C-A5'!B13</f>
        <v>138843212</v>
      </c>
      <c r="C14" s="505">
        <f>+'C-A5'!C13</f>
        <v>136424252</v>
      </c>
      <c r="D14" s="483" t="e">
        <f>+'C-A5'!#REF!</f>
        <v>#REF!</v>
      </c>
      <c r="E14" s="505"/>
      <c r="F14" s="505">
        <f>+'C-A5'!D13</f>
        <v>113946571</v>
      </c>
      <c r="G14" s="505">
        <f>+G12-G15</f>
        <v>98185524.650000006</v>
      </c>
      <c r="H14" s="521">
        <f>G14/F14*100</f>
        <v>86.168038044778029</v>
      </c>
    </row>
    <row r="15" spans="1:24" ht="24.95" customHeight="1">
      <c r="A15" s="491" t="s">
        <v>522</v>
      </c>
      <c r="B15" s="505">
        <f>+'C-A6'!C159</f>
        <v>2251594</v>
      </c>
      <c r="C15" s="505">
        <f>+'C-A6'!E159</f>
        <v>4033441</v>
      </c>
      <c r="D15" s="483" t="e">
        <f>+'C-A5'!#REF!</f>
        <v>#REF!</v>
      </c>
      <c r="E15" s="505"/>
      <c r="F15" s="505">
        <f>+'C-A6'!F159</f>
        <v>4013747</v>
      </c>
      <c r="G15" s="505">
        <f>+'C-A6'!H159</f>
        <v>2213745.56</v>
      </c>
      <c r="H15" s="521">
        <f>G15/F15*100</f>
        <v>55.154088187421877</v>
      </c>
    </row>
    <row r="16" spans="1:24" ht="13.5" customHeight="1">
      <c r="A16" s="491"/>
      <c r="B16" s="506"/>
      <c r="C16" s="507"/>
      <c r="D16" s="505"/>
      <c r="E16" s="505"/>
      <c r="F16" s="505"/>
      <c r="G16" s="505"/>
      <c r="H16" s="521" t="s">
        <v>12</v>
      </c>
      <c r="L16" s="493" t="s">
        <v>12</v>
      </c>
    </row>
    <row r="17" spans="1:11" ht="24.95" customHeight="1">
      <c r="A17" s="485" t="s">
        <v>523</v>
      </c>
      <c r="B17" s="508"/>
      <c r="C17" s="509"/>
      <c r="D17" s="510">
        <v>0</v>
      </c>
      <c r="E17" s="510"/>
      <c r="F17" s="510">
        <v>0</v>
      </c>
      <c r="G17" s="511">
        <f>G10-G12-1</f>
        <v>-26153743.170000017</v>
      </c>
      <c r="H17" s="521" t="s">
        <v>12</v>
      </c>
    </row>
    <row r="18" spans="1:11" ht="12.75" customHeight="1">
      <c r="A18" s="491" t="s">
        <v>12</v>
      </c>
      <c r="B18" s="506"/>
      <c r="C18" s="507"/>
      <c r="D18" s="505"/>
      <c r="E18" s="505"/>
      <c r="F18" s="505"/>
      <c r="G18" s="505"/>
      <c r="H18" s="521" t="s">
        <v>12</v>
      </c>
    </row>
    <row r="19" spans="1:11" ht="24.95" customHeight="1">
      <c r="A19" s="485" t="s">
        <v>524</v>
      </c>
      <c r="B19" s="512">
        <f>+B21</f>
        <v>56905194</v>
      </c>
      <c r="C19" s="483">
        <f>SUM(C21)</f>
        <v>26708941</v>
      </c>
      <c r="D19" s="483">
        <f>SUM(D21:D24)</f>
        <v>56905194</v>
      </c>
      <c r="E19" s="483"/>
      <c r="F19" s="483">
        <f>SUM(F21:F24)</f>
        <v>26708941</v>
      </c>
      <c r="G19" s="483">
        <f>SUM(G21:G24)</f>
        <v>24333074.370000005</v>
      </c>
      <c r="H19" s="518">
        <f>G19/F19*100</f>
        <v>91.10460190091402</v>
      </c>
    </row>
    <row r="20" spans="1:11" ht="15.75" customHeight="1">
      <c r="A20" s="491"/>
      <c r="B20" s="506"/>
      <c r="C20" s="507"/>
      <c r="D20" s="505" t="s">
        <v>12</v>
      </c>
      <c r="E20" s="505"/>
      <c r="F20" s="505" t="s">
        <v>12</v>
      </c>
      <c r="G20" s="505"/>
      <c r="H20" s="521" t="s">
        <v>12</v>
      </c>
    </row>
    <row r="21" spans="1:11" ht="24.95" customHeight="1">
      <c r="A21" s="491" t="s">
        <v>533</v>
      </c>
      <c r="B21" s="505">
        <f>+'C-A8A'!B42</f>
        <v>56905194</v>
      </c>
      <c r="C21" s="505">
        <f>+'C-A8A'!D42</f>
        <v>26708941</v>
      </c>
      <c r="D21" s="505">
        <f>+'C-A8A'!B42</f>
        <v>56905194</v>
      </c>
      <c r="E21" s="505"/>
      <c r="F21" s="505">
        <f>+'C-A8A'!E42</f>
        <v>26708941</v>
      </c>
      <c r="G21" s="505">
        <f>+'C-A8A'!G42</f>
        <v>24333074.370000005</v>
      </c>
      <c r="H21" s="521">
        <f>G21/F21*100</f>
        <v>91.10460190091402</v>
      </c>
      <c r="I21" s="470" t="s">
        <v>12</v>
      </c>
    </row>
    <row r="22" spans="1:11" ht="24.95" customHeight="1">
      <c r="A22" s="491" t="s">
        <v>525</v>
      </c>
      <c r="B22" s="491"/>
      <c r="C22" s="492"/>
      <c r="D22" s="490">
        <v>0</v>
      </c>
      <c r="E22" s="490"/>
      <c r="F22" s="490">
        <v>0</v>
      </c>
      <c r="G22" s="490" t="s">
        <v>12</v>
      </c>
      <c r="H22" s="521" t="s">
        <v>12</v>
      </c>
    </row>
    <row r="23" spans="1:11" ht="24.95" customHeight="1">
      <c r="A23" s="491" t="s">
        <v>526</v>
      </c>
      <c r="B23" s="491"/>
      <c r="C23" s="492"/>
      <c r="D23" s="490">
        <v>0</v>
      </c>
      <c r="E23" s="490"/>
      <c r="F23" s="490">
        <v>0</v>
      </c>
      <c r="G23" s="490">
        <v>0</v>
      </c>
      <c r="H23" s="521" t="s">
        <v>12</v>
      </c>
    </row>
    <row r="24" spans="1:11" ht="24.95" customHeight="1">
      <c r="A24" s="491" t="s">
        <v>527</v>
      </c>
      <c r="B24" s="491"/>
      <c r="C24" s="492"/>
      <c r="D24" s="490" t="s">
        <v>12</v>
      </c>
      <c r="E24" s="490"/>
      <c r="F24" s="490" t="s">
        <v>12</v>
      </c>
      <c r="G24" s="490">
        <v>0</v>
      </c>
      <c r="H24" s="521" t="s">
        <v>12</v>
      </c>
    </row>
    <row r="25" spans="1:11" ht="11.25" customHeight="1">
      <c r="A25" s="491"/>
      <c r="B25" s="491"/>
      <c r="C25" s="492"/>
      <c r="D25" s="490"/>
      <c r="E25" s="490"/>
      <c r="F25" s="490"/>
      <c r="G25" s="490" t="s">
        <v>12</v>
      </c>
      <c r="H25" s="521" t="s">
        <v>12</v>
      </c>
    </row>
    <row r="26" spans="1:11" ht="24.95" customHeight="1">
      <c r="A26" s="485" t="s">
        <v>528</v>
      </c>
      <c r="B26" s="486">
        <f>+B28+B30</f>
        <v>56905194</v>
      </c>
      <c r="C26" s="482">
        <f>SUM(C28:C30)</f>
        <v>26708941</v>
      </c>
      <c r="D26" s="482" t="e">
        <f>SUM(D28:D30)</f>
        <v>#REF!</v>
      </c>
      <c r="E26" s="482"/>
      <c r="F26" s="482">
        <f>SUM(F28:F30)</f>
        <v>26708941</v>
      </c>
      <c r="G26" s="482">
        <f>SUM(G28:G30)</f>
        <v>13306673</v>
      </c>
      <c r="H26" s="518">
        <f>G26/F26*100</f>
        <v>49.821043073179126</v>
      </c>
    </row>
    <row r="27" spans="1:11" ht="12.75" customHeight="1">
      <c r="A27" s="491"/>
      <c r="B27" s="491"/>
      <c r="C27" s="492"/>
      <c r="D27" s="490"/>
      <c r="E27" s="490"/>
      <c r="F27" s="490"/>
      <c r="G27" s="490"/>
      <c r="H27" s="521" t="s">
        <v>12</v>
      </c>
    </row>
    <row r="28" spans="1:11" ht="24.95" customHeight="1">
      <c r="A28" s="491" t="s">
        <v>529</v>
      </c>
      <c r="B28" s="490">
        <f>+'CA1'!C40</f>
        <v>2100000</v>
      </c>
      <c r="C28" s="490">
        <f>+'CA1'!D40</f>
        <v>2100000</v>
      </c>
      <c r="D28" s="490">
        <f>+'CA1'!D40</f>
        <v>2100000</v>
      </c>
      <c r="E28" s="490"/>
      <c r="F28" s="490">
        <f>+'CA1'!E40</f>
        <v>2100000</v>
      </c>
      <c r="G28" s="490">
        <f>+'CA1'!G41</f>
        <v>2100000</v>
      </c>
      <c r="H28" s="521">
        <f>G28/F28*100</f>
        <v>100</v>
      </c>
    </row>
    <row r="29" spans="1:11" ht="24.95" customHeight="1">
      <c r="A29" s="491" t="s">
        <v>530</v>
      </c>
      <c r="B29" s="491"/>
      <c r="C29" s="492"/>
      <c r="D29" s="490">
        <v>0</v>
      </c>
      <c r="E29" s="490"/>
      <c r="F29" s="490">
        <v>0</v>
      </c>
      <c r="G29" s="490">
        <v>0</v>
      </c>
      <c r="H29" s="521" t="s">
        <v>12</v>
      </c>
      <c r="K29" s="470" t="s">
        <v>12</v>
      </c>
    </row>
    <row r="30" spans="1:11" ht="24.95" customHeight="1">
      <c r="A30" s="491" t="s">
        <v>531</v>
      </c>
      <c r="B30" s="490">
        <f>+'CA1'!C37</f>
        <v>54805194</v>
      </c>
      <c r="C30" s="490">
        <f>+'CA1'!D37</f>
        <v>24608941</v>
      </c>
      <c r="D30" s="490" t="e">
        <f>+'CA1'!#REF!</f>
        <v>#REF!</v>
      </c>
      <c r="E30" s="490"/>
      <c r="F30" s="490">
        <f>+'CA1'!E37</f>
        <v>24608941</v>
      </c>
      <c r="G30" s="490">
        <f>+'CA1'!G37</f>
        <v>11206673</v>
      </c>
      <c r="H30" s="521">
        <f>G30/F30*100</f>
        <v>45.539029899742538</v>
      </c>
    </row>
    <row r="31" spans="1:11" ht="8.25" customHeight="1">
      <c r="A31" s="494"/>
      <c r="B31" s="494"/>
      <c r="C31" s="495"/>
      <c r="D31" s="496" t="s">
        <v>12</v>
      </c>
      <c r="E31" s="496"/>
      <c r="F31" s="496" t="s">
        <v>12</v>
      </c>
      <c r="G31" s="488" t="s">
        <v>12</v>
      </c>
      <c r="H31" s="520" t="s">
        <v>12</v>
      </c>
    </row>
    <row r="32" spans="1:11" ht="24.95" customHeight="1">
      <c r="A32" s="497" t="s">
        <v>532</v>
      </c>
      <c r="B32" s="497"/>
      <c r="C32" s="513"/>
      <c r="D32" s="514" t="s">
        <v>12</v>
      </c>
      <c r="E32" s="514"/>
      <c r="F32" s="514" t="s">
        <v>12</v>
      </c>
      <c r="G32" s="515">
        <f>G17-G19+G26+1</f>
        <v>-37180143.540000021</v>
      </c>
      <c r="H32" s="522" t="s">
        <v>12</v>
      </c>
    </row>
    <row r="33" spans="1:11" ht="16.5" customHeight="1">
      <c r="A33" s="498" t="s">
        <v>12</v>
      </c>
      <c r="B33" s="498"/>
      <c r="C33" s="498"/>
      <c r="D33" s="499"/>
      <c r="E33" s="499"/>
      <c r="F33" s="499"/>
      <c r="G33" s="499"/>
      <c r="H33" s="523"/>
      <c r="I33" s="500"/>
      <c r="J33" s="501"/>
      <c r="K33" s="501"/>
    </row>
    <row r="34" spans="1:11" ht="13.5" customHeight="1">
      <c r="A34" s="502" t="s">
        <v>49</v>
      </c>
      <c r="B34" s="470"/>
      <c r="C34" s="470"/>
      <c r="D34" s="470"/>
      <c r="E34" s="470"/>
      <c r="F34" s="470"/>
      <c r="G34" s="470"/>
      <c r="H34" s="472"/>
      <c r="I34" s="501"/>
      <c r="J34" s="503"/>
      <c r="K34" s="501"/>
    </row>
    <row r="35" spans="1:11" ht="12.75" customHeight="1">
      <c r="A35" s="470"/>
      <c r="B35" s="470"/>
      <c r="C35" s="470"/>
      <c r="D35" s="470"/>
      <c r="E35" s="470"/>
      <c r="F35" s="470"/>
      <c r="G35" s="665" t="s">
        <v>12</v>
      </c>
      <c r="H35" s="665"/>
      <c r="I35" s="501"/>
      <c r="J35" s="504" t="s">
        <v>12</v>
      </c>
      <c r="K35" s="501"/>
    </row>
    <row r="36" spans="1:11" ht="14.25" customHeight="1">
      <c r="D36" s="500"/>
      <c r="E36" s="500"/>
      <c r="F36" s="500"/>
      <c r="G36" s="500"/>
      <c r="H36" s="524"/>
    </row>
    <row r="37" spans="1:11" ht="11.25" customHeight="1">
      <c r="A37" s="500" t="s">
        <v>12</v>
      </c>
      <c r="B37" s="500"/>
      <c r="C37" s="500"/>
    </row>
    <row r="38" spans="1:11" ht="11.25" customHeight="1">
      <c r="A38" s="500"/>
      <c r="B38" s="500"/>
      <c r="C38" s="500"/>
      <c r="J38" s="470" t="s">
        <v>12</v>
      </c>
    </row>
    <row r="39" spans="1:11" ht="11.25" customHeight="1">
      <c r="A39" s="500"/>
      <c r="B39" s="500"/>
      <c r="C39" s="500"/>
    </row>
    <row r="56" spans="7:7">
      <c r="G56" s="501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paperSize="5" scale="80" firstPageNumber="0" orientation="portrait" useFirstPageNumber="1" r:id="rId1"/>
  <headerFooter alignWithMargins="0"/>
  <ignoredErrors>
    <ignoredError sqref="C21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theme="8" tint="0.39985351115451523"/>
  </sheetPr>
  <dimension ref="A1:L88"/>
  <sheetViews>
    <sheetView showGridLines="0" showZeros="0" tabSelected="1" topLeftCell="A157" workbookViewId="0">
      <pane ySplit="1560" topLeftCell="A8" activePane="bottomLeft"/>
      <selection pane="bottomLeft" activeCell="G27" sqref="G27"/>
    </sheetView>
  </sheetViews>
  <sheetFormatPr baseColWidth="10" defaultColWidth="11.42578125" defaultRowHeight="12.75"/>
  <cols>
    <col min="1" max="1" width="32" style="4" customWidth="1"/>
    <col min="2" max="2" width="11.28515625" style="4" customWidth="1"/>
    <col min="3" max="3" width="12.7109375" style="4" customWidth="1"/>
    <col min="4" max="4" width="13.28515625" style="4" hidden="1" customWidth="1"/>
    <col min="5" max="5" width="15.140625" style="4" hidden="1" customWidth="1"/>
    <col min="6" max="6" width="12.28515625" style="4" customWidth="1"/>
    <col min="7" max="7" width="15.5703125" style="4" customWidth="1"/>
    <col min="8" max="8" width="13.42578125" style="4" hidden="1" customWidth="1"/>
    <col min="9" max="9" width="14.28515625" style="4" customWidth="1"/>
  </cols>
  <sheetData>
    <row r="1" spans="1:12" ht="18" customHeight="1">
      <c r="A1" s="645" t="s">
        <v>60</v>
      </c>
      <c r="B1" s="645"/>
      <c r="C1" s="645"/>
      <c r="D1" s="645"/>
      <c r="E1" s="645"/>
      <c r="F1" s="645"/>
      <c r="G1" s="645"/>
      <c r="H1" s="645"/>
      <c r="I1" s="645"/>
    </row>
    <row r="2" spans="1:12" ht="19.5" customHeight="1">
      <c r="A2" s="645" t="s">
        <v>61</v>
      </c>
      <c r="B2" s="645"/>
      <c r="C2" s="645"/>
      <c r="D2" s="645"/>
      <c r="E2" s="645"/>
      <c r="F2" s="645"/>
      <c r="G2" s="645"/>
      <c r="H2" s="645"/>
      <c r="I2" s="645"/>
    </row>
    <row r="3" spans="1:12" ht="18" customHeight="1">
      <c r="A3" s="646" t="s">
        <v>138</v>
      </c>
      <c r="B3" s="646"/>
      <c r="C3" s="646"/>
      <c r="D3" s="646"/>
      <c r="E3" s="646"/>
      <c r="F3" s="646"/>
      <c r="G3" s="646"/>
      <c r="H3" s="646"/>
      <c r="I3" s="646"/>
    </row>
    <row r="4" spans="1:12" ht="18" customHeight="1">
      <c r="A4" s="646" t="s">
        <v>544</v>
      </c>
      <c r="B4" s="646"/>
      <c r="C4" s="646"/>
      <c r="D4" s="646"/>
      <c r="E4" s="646"/>
      <c r="F4" s="646"/>
      <c r="G4" s="646"/>
      <c r="H4" s="646"/>
      <c r="I4" s="646"/>
    </row>
    <row r="5" spans="1:12" ht="3" customHeight="1">
      <c r="A5" s="260"/>
      <c r="B5" s="260"/>
      <c r="C5" s="260"/>
      <c r="D5" s="260"/>
      <c r="E5" s="260"/>
      <c r="F5" s="260"/>
      <c r="G5" s="260"/>
      <c r="H5" s="260"/>
      <c r="I5" s="260"/>
    </row>
    <row r="6" spans="1:12" ht="8.25" customHeight="1">
      <c r="A6" s="260"/>
      <c r="B6" s="260"/>
      <c r="C6" s="260"/>
      <c r="D6" s="260"/>
      <c r="E6" s="6"/>
      <c r="F6" s="6"/>
      <c r="G6" s="6"/>
      <c r="H6" s="6"/>
      <c r="I6" s="3"/>
    </row>
    <row r="7" spans="1:12" ht="20.100000000000001" customHeight="1">
      <c r="A7" s="678" t="s">
        <v>0</v>
      </c>
      <c r="B7" s="682" t="s">
        <v>50</v>
      </c>
      <c r="C7" s="683"/>
      <c r="D7" s="683"/>
      <c r="E7" s="683"/>
      <c r="F7" s="683"/>
      <c r="G7" s="684"/>
      <c r="H7" s="274"/>
      <c r="I7" s="680" t="s">
        <v>43</v>
      </c>
    </row>
    <row r="8" spans="1:12" ht="31.5" customHeight="1">
      <c r="A8" s="679"/>
      <c r="B8" s="275" t="s">
        <v>2</v>
      </c>
      <c r="C8" s="276" t="s">
        <v>65</v>
      </c>
      <c r="D8" s="276" t="s">
        <v>3</v>
      </c>
      <c r="E8" s="277" t="s">
        <v>3</v>
      </c>
      <c r="F8" s="277" t="s">
        <v>25</v>
      </c>
      <c r="G8" s="276" t="s">
        <v>44</v>
      </c>
      <c r="H8" s="278" t="s">
        <v>51</v>
      </c>
      <c r="I8" s="681"/>
      <c r="L8" t="s">
        <v>12</v>
      </c>
    </row>
    <row r="9" spans="1:12" ht="6.75" customHeight="1">
      <c r="A9" s="279"/>
      <c r="B9" s="279"/>
      <c r="C9" s="280"/>
      <c r="D9" s="281"/>
      <c r="E9" s="282"/>
      <c r="F9" s="283"/>
      <c r="G9" s="283"/>
      <c r="H9" s="283"/>
      <c r="I9" s="312"/>
    </row>
    <row r="10" spans="1:12" ht="18" customHeight="1">
      <c r="A10" s="284" t="s">
        <v>6</v>
      </c>
      <c r="B10" s="284"/>
      <c r="C10" s="285"/>
      <c r="D10" s="286"/>
      <c r="E10" s="286"/>
      <c r="F10" s="286"/>
      <c r="G10" s="286"/>
      <c r="H10" s="286"/>
      <c r="I10" s="313"/>
    </row>
    <row r="11" spans="1:12" ht="9" customHeight="1">
      <c r="A11" s="287"/>
      <c r="B11" s="287"/>
      <c r="C11" s="288"/>
      <c r="D11" s="288"/>
      <c r="E11" s="288"/>
      <c r="F11" s="288"/>
      <c r="G11" s="288"/>
      <c r="H11" s="288"/>
      <c r="I11" s="314"/>
    </row>
    <row r="12" spans="1:12" ht="15" customHeight="1">
      <c r="A12" s="287" t="s">
        <v>55</v>
      </c>
      <c r="B12" s="289">
        <f>B15</f>
        <v>141094.80600000001</v>
      </c>
      <c r="C12" s="289">
        <f>C15</f>
        <v>140457.69300000003</v>
      </c>
      <c r="D12" s="289" t="e">
        <f>+D15</f>
        <v>#REF!</v>
      </c>
      <c r="E12" s="289" t="e">
        <f>+E15+#REF!</f>
        <v>#REF!</v>
      </c>
      <c r="F12" s="289">
        <f>+F15</f>
        <v>116697.49000000002</v>
      </c>
      <c r="G12" s="289">
        <f>+G15</f>
        <v>74245.52803999999</v>
      </c>
      <c r="H12" s="290" t="e">
        <f>+G12-E12</f>
        <v>#REF!</v>
      </c>
      <c r="I12" s="315">
        <f>G12/F12*100</f>
        <v>63.622215045070782</v>
      </c>
    </row>
    <row r="13" spans="1:12" ht="11.25" customHeight="1">
      <c r="A13" s="291"/>
      <c r="B13" s="292"/>
      <c r="C13" s="292"/>
      <c r="D13" s="292"/>
      <c r="E13" s="292"/>
      <c r="F13" s="292"/>
      <c r="G13" s="292"/>
      <c r="H13" s="292"/>
      <c r="I13" s="316" t="s">
        <v>12</v>
      </c>
    </row>
    <row r="14" spans="1:12" ht="15" customHeight="1">
      <c r="A14" s="287" t="s">
        <v>139</v>
      </c>
      <c r="B14" s="292"/>
      <c r="C14" s="292"/>
      <c r="D14" s="292"/>
      <c r="E14" s="292"/>
      <c r="F14" s="292"/>
      <c r="G14" s="292"/>
      <c r="H14" s="292"/>
      <c r="I14" s="316" t="s">
        <v>12</v>
      </c>
    </row>
    <row r="15" spans="1:12" ht="15" customHeight="1">
      <c r="A15" s="287" t="s">
        <v>140</v>
      </c>
      <c r="B15" s="289">
        <f>SUM(B16:B19)</f>
        <v>141094.80600000001</v>
      </c>
      <c r="C15" s="289">
        <f>SUM(C16:C19)</f>
        <v>140457.69300000003</v>
      </c>
      <c r="D15" s="289" t="e">
        <f>SUM(D16:D19)</f>
        <v>#REF!</v>
      </c>
      <c r="E15" s="289">
        <f>SUM(E16:E19)</f>
        <v>140457.69300000003</v>
      </c>
      <c r="F15" s="289">
        <f>+F16+F17+F18+F19</f>
        <v>116697.49000000002</v>
      </c>
      <c r="G15" s="289">
        <f>+('CA1'!G13)/1000</f>
        <v>74245.52803999999</v>
      </c>
      <c r="H15" s="290">
        <f>+G15-E15</f>
        <v>-66212.164960000038</v>
      </c>
      <c r="I15" s="315">
        <f t="shared" ref="I15:I50" si="0">G15/F15*100</f>
        <v>63.622215045070782</v>
      </c>
    </row>
    <row r="16" spans="1:12" ht="15" customHeight="1">
      <c r="A16" s="294" t="s">
        <v>141</v>
      </c>
      <c r="B16" s="293">
        <f>+('CA1'!C15)/1000</f>
        <v>5476.4920000000002</v>
      </c>
      <c r="C16" s="293">
        <f>+('CA1'!D15)/1000</f>
        <v>5476.4920000000002</v>
      </c>
      <c r="D16" s="293" t="e">
        <f>+('CA1'!#REF!)/1000</f>
        <v>#REF!</v>
      </c>
      <c r="E16" s="293">
        <f>+('CA1'!D15)/1000</f>
        <v>5476.4920000000002</v>
      </c>
      <c r="F16" s="293">
        <f>+('CA1'!E15)/1000</f>
        <v>4722.9560000000001</v>
      </c>
      <c r="G16" s="293">
        <f>+('CA1'!G15)/1000</f>
        <v>1500.5501100000001</v>
      </c>
      <c r="H16" s="295">
        <f>+G16-E16</f>
        <v>-3975.9418900000001</v>
      </c>
      <c r="I16" s="317">
        <f t="shared" si="0"/>
        <v>31.771418365955562</v>
      </c>
      <c r="J16" t="s">
        <v>12</v>
      </c>
    </row>
    <row r="17" spans="1:11" ht="15" customHeight="1">
      <c r="A17" s="294" t="s">
        <v>142</v>
      </c>
      <c r="B17" s="293">
        <f>+('CA1'!C21)/1000</f>
        <v>127866.63400000001</v>
      </c>
      <c r="C17" s="293">
        <f>+('CA1'!D21)/1000</f>
        <v>127866.63400000001</v>
      </c>
      <c r="D17" s="293">
        <f>+('CA1'!D21)/1000</f>
        <v>127866.63400000001</v>
      </c>
      <c r="E17" s="293">
        <f>+('CA1'!D21)/1000</f>
        <v>127866.63400000001</v>
      </c>
      <c r="F17" s="293">
        <f>+('CA1'!E21)/1000</f>
        <v>105903.868</v>
      </c>
      <c r="G17" s="293">
        <f>+('CA1'!G21)/1000</f>
        <v>65397.851000000002</v>
      </c>
      <c r="H17" s="295">
        <f>+G17-E17</f>
        <v>-62468.783000000003</v>
      </c>
      <c r="I17" s="317">
        <f t="shared" si="0"/>
        <v>61.752089168263439</v>
      </c>
      <c r="K17" t="s">
        <v>12</v>
      </c>
    </row>
    <row r="18" spans="1:11" ht="15" customHeight="1">
      <c r="A18" s="294" t="s">
        <v>143</v>
      </c>
      <c r="B18" s="293">
        <f>+('CA1'!C26)/1000</f>
        <v>5251.68</v>
      </c>
      <c r="C18" s="293">
        <f>+('CA1'!D26)/1000</f>
        <v>4614.567</v>
      </c>
      <c r="D18" s="293" t="e">
        <f>+('CA1'!#REF!)/1000</f>
        <v>#REF!</v>
      </c>
      <c r="E18" s="293">
        <f>+('CA1'!D26)/1000</f>
        <v>4614.567</v>
      </c>
      <c r="F18" s="293">
        <f>+('CA1'!E26)/1000</f>
        <v>3903.998</v>
      </c>
      <c r="G18" s="293">
        <f>+('CA1'!G26)/1000</f>
        <v>6618.0943599999991</v>
      </c>
      <c r="H18" s="295">
        <f>+G18-E18</f>
        <v>2003.5273599999991</v>
      </c>
      <c r="I18" s="317">
        <f t="shared" si="0"/>
        <v>169.52094647589468</v>
      </c>
    </row>
    <row r="19" spans="1:11" ht="15" customHeight="1">
      <c r="A19" s="294" t="s">
        <v>144</v>
      </c>
      <c r="B19" s="293">
        <f>+('CA1'!C31)/1000</f>
        <v>2500</v>
      </c>
      <c r="C19" s="293">
        <f>+('CA1'!D31)/1000</f>
        <v>2500</v>
      </c>
      <c r="D19" s="293" t="e">
        <f>+('CA1'!#REF!)/1000</f>
        <v>#REF!</v>
      </c>
      <c r="E19" s="293">
        <f>+('CA1'!D31)/1000</f>
        <v>2500</v>
      </c>
      <c r="F19" s="293">
        <f>+('CA1'!E31)/1000</f>
        <v>2166.6680000000001</v>
      </c>
      <c r="G19" s="293">
        <f>+('CA1'!G31)/1000</f>
        <v>729.03257000000008</v>
      </c>
      <c r="H19" s="295">
        <f>+G19-E19</f>
        <v>-1770.9674299999999</v>
      </c>
      <c r="I19" s="317">
        <f t="shared" si="0"/>
        <v>33.647636370685312</v>
      </c>
    </row>
    <row r="20" spans="1:11" ht="9" customHeight="1">
      <c r="A20" s="291"/>
      <c r="B20" s="292"/>
      <c r="C20" s="292"/>
      <c r="D20" s="292"/>
      <c r="E20" s="292"/>
      <c r="F20" s="292"/>
      <c r="G20" s="292"/>
      <c r="H20" s="292"/>
      <c r="I20" s="316" t="s">
        <v>12</v>
      </c>
    </row>
    <row r="21" spans="1:11" ht="15" customHeight="1">
      <c r="A21" s="287" t="s">
        <v>32</v>
      </c>
      <c r="B21" s="292">
        <f t="shared" ref="B21:G21" si="1">SUM(B23:B25)</f>
        <v>56905.194000000003</v>
      </c>
      <c r="C21" s="292">
        <f t="shared" si="1"/>
        <v>26708.940999999999</v>
      </c>
      <c r="D21" s="289" t="e">
        <f t="shared" si="1"/>
        <v>#REF!</v>
      </c>
      <c r="E21" s="289">
        <f t="shared" si="1"/>
        <v>7310.5339999999997</v>
      </c>
      <c r="F21" s="289">
        <f t="shared" si="1"/>
        <v>26708.940999999999</v>
      </c>
      <c r="G21" s="289">
        <f t="shared" si="1"/>
        <v>13306.673000000001</v>
      </c>
      <c r="H21" s="290">
        <f>+G21-E21</f>
        <v>5996.139000000001</v>
      </c>
      <c r="I21" s="315">
        <f t="shared" si="0"/>
        <v>49.821043073179133</v>
      </c>
    </row>
    <row r="22" spans="1:11" ht="9" customHeight="1">
      <c r="A22" s="291"/>
      <c r="B22" s="292"/>
      <c r="C22" s="292"/>
      <c r="D22" s="292"/>
      <c r="E22" s="292"/>
      <c r="F22" s="292"/>
      <c r="G22" s="292"/>
      <c r="H22" s="296"/>
      <c r="I22" s="316" t="s">
        <v>12</v>
      </c>
    </row>
    <row r="23" spans="1:11" ht="15" customHeight="1">
      <c r="A23" s="294" t="s">
        <v>145</v>
      </c>
      <c r="B23" s="293">
        <f>+('CA1'!C40)/1000</f>
        <v>2100</v>
      </c>
      <c r="C23" s="293">
        <f>+('CA1'!D40)/1000</f>
        <v>2100</v>
      </c>
      <c r="D23" s="293" t="e">
        <f>+('CA1'!#REF!)/1000</f>
        <v>#REF!</v>
      </c>
      <c r="E23" s="293">
        <f>+('CA1'!D40)/1000</f>
        <v>2100</v>
      </c>
      <c r="F23" s="293">
        <f>+('CA1'!E40)/1000</f>
        <v>2100</v>
      </c>
      <c r="G23" s="293">
        <f>+('CA1'!G40)/1000</f>
        <v>2100</v>
      </c>
      <c r="H23" s="295">
        <f>+G23-E23</f>
        <v>0</v>
      </c>
      <c r="I23" s="317">
        <f t="shared" si="0"/>
        <v>100</v>
      </c>
    </row>
    <row r="24" spans="1:11" ht="15" customHeight="1">
      <c r="A24" s="294" t="s">
        <v>146</v>
      </c>
      <c r="B24" s="293">
        <v>0</v>
      </c>
      <c r="C24" s="293">
        <v>0</v>
      </c>
      <c r="D24" s="293">
        <v>0</v>
      </c>
      <c r="E24" s="293">
        <v>0</v>
      </c>
      <c r="F24" s="293">
        <v>0</v>
      </c>
      <c r="G24" s="293">
        <v>0</v>
      </c>
      <c r="H24" s="295">
        <f>+G24-E24</f>
        <v>0</v>
      </c>
      <c r="I24" s="317" t="s">
        <v>12</v>
      </c>
    </row>
    <row r="25" spans="1:11" ht="15" customHeight="1">
      <c r="A25" s="287" t="s">
        <v>147</v>
      </c>
      <c r="B25" s="293">
        <f t="shared" ref="B25:G25" si="2">SUM(B26)</f>
        <v>54805.194000000003</v>
      </c>
      <c r="C25" s="289">
        <f t="shared" si="2"/>
        <v>24608.940999999999</v>
      </c>
      <c r="D25" s="289" t="e">
        <f t="shared" si="2"/>
        <v>#REF!</v>
      </c>
      <c r="E25" s="289">
        <f t="shared" si="2"/>
        <v>5210.5339999999997</v>
      </c>
      <c r="F25" s="289">
        <f t="shared" si="2"/>
        <v>24608.940999999999</v>
      </c>
      <c r="G25" s="289">
        <f t="shared" si="2"/>
        <v>11206.673000000001</v>
      </c>
      <c r="H25" s="290">
        <f>+G25-E25</f>
        <v>5996.139000000001</v>
      </c>
      <c r="I25" s="315">
        <f t="shared" si="0"/>
        <v>45.539029899742538</v>
      </c>
    </row>
    <row r="26" spans="1:11" ht="15" customHeight="1">
      <c r="A26" s="294" t="s">
        <v>148</v>
      </c>
      <c r="B26" s="293">
        <f>+('CA1'!C37)/1000</f>
        <v>54805.194000000003</v>
      </c>
      <c r="C26" s="293">
        <f>+('CA1'!D37)/1000</f>
        <v>24608.940999999999</v>
      </c>
      <c r="D26" s="293" t="e">
        <f>+('CA1'!#REF!)/1000</f>
        <v>#REF!</v>
      </c>
      <c r="E26" s="293">
        <f>+('CA1'!D45)/1000</f>
        <v>5210.5339999999997</v>
      </c>
      <c r="F26" s="293">
        <f>+('CA1'!E37)/1000</f>
        <v>24608.940999999999</v>
      </c>
      <c r="G26" s="293">
        <f>+('CA1'!G37)/1000</f>
        <v>11206.673000000001</v>
      </c>
      <c r="H26" s="295">
        <f>+G26-E26</f>
        <v>5996.139000000001</v>
      </c>
      <c r="I26" s="317">
        <f t="shared" si="0"/>
        <v>45.539029899742538</v>
      </c>
    </row>
    <row r="27" spans="1:11" ht="15" customHeight="1">
      <c r="A27" s="294" t="s">
        <v>149</v>
      </c>
      <c r="B27" s="293"/>
      <c r="C27" s="293"/>
      <c r="D27" s="293"/>
      <c r="E27" s="293"/>
      <c r="F27" s="293"/>
      <c r="G27" s="293"/>
      <c r="H27" s="295"/>
      <c r="I27" s="317" t="s">
        <v>12</v>
      </c>
    </row>
    <row r="28" spans="1:11" ht="9" customHeight="1">
      <c r="A28" s="294"/>
      <c r="B28" s="293"/>
      <c r="C28" s="293"/>
      <c r="D28" s="293"/>
      <c r="E28" s="293"/>
      <c r="F28" s="293"/>
      <c r="G28" s="293"/>
      <c r="H28" s="295"/>
      <c r="I28" s="317" t="s">
        <v>12</v>
      </c>
    </row>
    <row r="29" spans="1:11" ht="18" customHeight="1">
      <c r="A29" s="287" t="s">
        <v>150</v>
      </c>
      <c r="B29" s="289">
        <f t="shared" ref="B29:G29" si="3">+B12+B21</f>
        <v>198000</v>
      </c>
      <c r="C29" s="289">
        <f t="shared" si="3"/>
        <v>167166.63400000002</v>
      </c>
      <c r="D29" s="289" t="e">
        <f t="shared" si="3"/>
        <v>#REF!</v>
      </c>
      <c r="E29" s="289" t="e">
        <f t="shared" si="3"/>
        <v>#REF!</v>
      </c>
      <c r="F29" s="289">
        <f t="shared" si="3"/>
        <v>143406.43100000001</v>
      </c>
      <c r="G29" s="289">
        <f t="shared" si="3"/>
        <v>87552.201039999985</v>
      </c>
      <c r="H29" s="290" t="e">
        <f>+G29-E29</f>
        <v>#REF!</v>
      </c>
      <c r="I29" s="315">
        <f t="shared" si="0"/>
        <v>61.051795536282448</v>
      </c>
    </row>
    <row r="30" spans="1:11" ht="9" customHeight="1">
      <c r="A30" s="294"/>
      <c r="B30" s="297"/>
      <c r="C30" s="297"/>
      <c r="D30" s="293"/>
      <c r="E30" s="293"/>
      <c r="F30" s="293"/>
      <c r="G30" s="293"/>
      <c r="H30" s="293"/>
      <c r="I30" s="317" t="s">
        <v>12</v>
      </c>
    </row>
    <row r="31" spans="1:11" ht="18" customHeight="1">
      <c r="A31" s="284" t="s">
        <v>56</v>
      </c>
      <c r="B31" s="298"/>
      <c r="C31" s="298"/>
      <c r="D31" s="293"/>
      <c r="E31" s="293"/>
      <c r="F31" s="293"/>
      <c r="G31" s="293"/>
      <c r="H31" s="293"/>
      <c r="I31" s="317" t="s">
        <v>12</v>
      </c>
    </row>
    <row r="32" spans="1:11" ht="9" customHeight="1">
      <c r="A32" s="294"/>
      <c r="B32" s="297"/>
      <c r="C32" s="297"/>
      <c r="D32" s="293"/>
      <c r="E32" s="293"/>
      <c r="F32" s="293"/>
      <c r="G32" s="293"/>
      <c r="H32" s="293"/>
      <c r="I32" s="317" t="s">
        <v>12</v>
      </c>
    </row>
    <row r="33" spans="1:10" ht="15" customHeight="1">
      <c r="A33" s="287" t="s">
        <v>57</v>
      </c>
      <c r="B33" s="289">
        <f>+B35+B41</f>
        <v>141094.80599999998</v>
      </c>
      <c r="C33" s="289">
        <f>+C35+C41</f>
        <v>140457.693</v>
      </c>
      <c r="D33" s="289" t="e">
        <f>+D35+D41+#REF!</f>
        <v>#REF!</v>
      </c>
      <c r="E33" s="289" t="e">
        <f>+E35+E41+#REF!</f>
        <v>#REF!</v>
      </c>
      <c r="F33" s="289">
        <f>+F35+F41</f>
        <v>117960.318</v>
      </c>
      <c r="G33" s="289">
        <f>+G35+G41</f>
        <v>100399.27020999997</v>
      </c>
      <c r="H33" s="289" t="e">
        <f>+E33-G33</f>
        <v>#REF!</v>
      </c>
      <c r="I33" s="315">
        <f t="shared" si="0"/>
        <v>85.112749704523495</v>
      </c>
    </row>
    <row r="34" spans="1:10" ht="15" customHeight="1">
      <c r="A34" s="294"/>
      <c r="B34" s="297"/>
      <c r="C34" s="297"/>
      <c r="D34" s="293"/>
      <c r="E34" s="293"/>
      <c r="F34" s="293"/>
      <c r="G34" s="293"/>
      <c r="H34" s="293"/>
      <c r="I34" s="317"/>
    </row>
    <row r="35" spans="1:10" ht="18" customHeight="1">
      <c r="A35" s="287" t="s">
        <v>151</v>
      </c>
      <c r="B35" s="289">
        <f t="shared" ref="B35:G35" si="4">SUM(B36:B39)</f>
        <v>138843.21199999997</v>
      </c>
      <c r="C35" s="289">
        <f t="shared" si="4"/>
        <v>136424.25200000001</v>
      </c>
      <c r="D35" s="289">
        <f t="shared" si="4"/>
        <v>136424.25200000001</v>
      </c>
      <c r="E35" s="289">
        <f t="shared" si="4"/>
        <v>136424.25200000001</v>
      </c>
      <c r="F35" s="289">
        <f t="shared" si="4"/>
        <v>113946.571</v>
      </c>
      <c r="G35" s="289">
        <f t="shared" si="4"/>
        <v>98185.524649999978</v>
      </c>
      <c r="H35" s="289">
        <f t="shared" ref="H35:H39" si="5">+E35-G35</f>
        <v>38238.72735000003</v>
      </c>
      <c r="I35" s="315">
        <f t="shared" si="0"/>
        <v>86.168038044778001</v>
      </c>
      <c r="J35" s="120"/>
    </row>
    <row r="36" spans="1:10" ht="20.25" customHeight="1">
      <c r="A36" s="294" t="s">
        <v>152</v>
      </c>
      <c r="B36" s="293">
        <f>(+'C-A6'!C11)/1000</f>
        <v>125299.72900000001</v>
      </c>
      <c r="C36" s="293">
        <f>(+'C-A6'!E11)/1000</f>
        <v>122980.084</v>
      </c>
      <c r="D36" s="293">
        <f>(+'C-A6'!E11)/1000</f>
        <v>122980.084</v>
      </c>
      <c r="E36" s="293">
        <f>(+'C-A6'!E11)/1000</f>
        <v>122980.084</v>
      </c>
      <c r="F36" s="293">
        <f>(+'C-A6'!F11)/1000</f>
        <v>100721.659</v>
      </c>
      <c r="G36" s="293">
        <f>(+'C-A6'!H11)/1000</f>
        <v>88516.480719999992</v>
      </c>
      <c r="H36" s="293">
        <f t="shared" si="5"/>
        <v>34463.60328000001</v>
      </c>
      <c r="I36" s="317">
        <f t="shared" si="0"/>
        <v>87.882270406209244</v>
      </c>
      <c r="J36" s="120"/>
    </row>
    <row r="37" spans="1:10" ht="17.25" customHeight="1">
      <c r="A37" s="294" t="s">
        <v>153</v>
      </c>
      <c r="B37" s="293">
        <f>(+'C-A6'!C37)/1000</f>
        <v>7293.0079999999998</v>
      </c>
      <c r="C37" s="293">
        <f>(+'C-A6'!E37)/1000</f>
        <v>7251.8729999999996</v>
      </c>
      <c r="D37" s="293">
        <f>(+'C-A6'!E37)/1000</f>
        <v>7251.8729999999996</v>
      </c>
      <c r="E37" s="293">
        <f>(+'C-A6'!E37)/1000</f>
        <v>7251.8729999999996</v>
      </c>
      <c r="F37" s="293">
        <f>(+'C-A6'!F37)/1000</f>
        <v>7032.6170000000002</v>
      </c>
      <c r="G37" s="293">
        <f>(+'C-A6'!H37)/1000</f>
        <v>5294.8702599999997</v>
      </c>
      <c r="H37" s="293">
        <f t="shared" si="5"/>
        <v>1957.0027399999999</v>
      </c>
      <c r="I37" s="317">
        <f t="shared" si="0"/>
        <v>75.290183725347177</v>
      </c>
      <c r="J37" s="120"/>
    </row>
    <row r="38" spans="1:10" ht="15.75" customHeight="1">
      <c r="A38" s="294" t="s">
        <v>154</v>
      </c>
      <c r="B38" s="293">
        <f>(+'C-A6'!C94)/1000</f>
        <v>3042.5610000000001</v>
      </c>
      <c r="C38" s="293">
        <f>(+'C-A6'!E94)/1000</f>
        <v>3897.2550000000001</v>
      </c>
      <c r="D38" s="293">
        <f>(+'C-A6'!E94)/1000</f>
        <v>3897.2550000000001</v>
      </c>
      <c r="E38" s="293">
        <f>(+'C-A6'!E94)/1000</f>
        <v>3897.2550000000001</v>
      </c>
      <c r="F38" s="293">
        <f>(+'C-A6'!F94)/1000</f>
        <v>3897.2550000000001</v>
      </c>
      <c r="G38" s="293">
        <f>(+'C-A6'!H94)/1000</f>
        <v>2941.2174399999999</v>
      </c>
      <c r="H38" s="293">
        <f t="shared" si="5"/>
        <v>956.03756000000021</v>
      </c>
      <c r="I38" s="317">
        <f t="shared" si="0"/>
        <v>75.468950325293051</v>
      </c>
      <c r="J38" s="120"/>
    </row>
    <row r="39" spans="1:10" ht="17.25" customHeight="1">
      <c r="A39" s="294" t="s">
        <v>155</v>
      </c>
      <c r="B39" s="293">
        <f>(+'C-A6'!C154)/1000</f>
        <v>3207.9140000000002</v>
      </c>
      <c r="C39" s="293">
        <f>(+'C-A6'!E154)/1000</f>
        <v>2295.04</v>
      </c>
      <c r="D39" s="293">
        <f>(+'C-A6'!E154)/1000</f>
        <v>2295.04</v>
      </c>
      <c r="E39" s="293">
        <f>(+'C-A6'!E154)/1000</f>
        <v>2295.04</v>
      </c>
      <c r="F39" s="293">
        <f>(+'C-A6'!F154)/1000</f>
        <v>2295.04</v>
      </c>
      <c r="G39" s="293">
        <f>(+'C-A6'!H154)/1000</f>
        <v>1432.95623</v>
      </c>
      <c r="H39" s="293">
        <f t="shared" si="5"/>
        <v>862.08376999999996</v>
      </c>
      <c r="I39" s="317">
        <f t="shared" si="0"/>
        <v>62.437091728248753</v>
      </c>
      <c r="J39" s="120"/>
    </row>
    <row r="40" spans="1:10" ht="9" customHeight="1">
      <c r="A40" s="294" t="s">
        <v>12</v>
      </c>
      <c r="B40" s="297"/>
      <c r="C40" s="297"/>
      <c r="D40" s="293">
        <v>0</v>
      </c>
      <c r="E40" s="293">
        <v>0</v>
      </c>
      <c r="F40" s="293" t="s">
        <v>12</v>
      </c>
      <c r="G40" s="293" t="s">
        <v>12</v>
      </c>
      <c r="H40" s="293"/>
      <c r="I40" s="317" t="s">
        <v>12</v>
      </c>
    </row>
    <row r="41" spans="1:10" ht="15" customHeight="1">
      <c r="A41" s="287" t="s">
        <v>156</v>
      </c>
      <c r="B41" s="289">
        <f>(+'C-A6'!C159)/1000</f>
        <v>2251.5940000000001</v>
      </c>
      <c r="C41" s="289">
        <f>(+'C-A6'!E159)/1000</f>
        <v>4033.4409999999998</v>
      </c>
      <c r="D41" s="289">
        <f>(+'C-A6'!E159)/1000</f>
        <v>4033.4409999999998</v>
      </c>
      <c r="E41" s="289">
        <f>(+'C-A6'!E159)/1000</f>
        <v>4033.4409999999998</v>
      </c>
      <c r="F41" s="289">
        <f>(+'C-A6'!F159)/1000</f>
        <v>4013.7469999999998</v>
      </c>
      <c r="G41" s="289">
        <f>(+'C-A6'!H159)/1000</f>
        <v>2213.7455599999998</v>
      </c>
      <c r="H41" s="289">
        <f>+E41-G41</f>
        <v>1819.69544</v>
      </c>
      <c r="I41" s="315">
        <f t="shared" si="0"/>
        <v>55.154088187421877</v>
      </c>
    </row>
    <row r="42" spans="1:10" ht="8.25" customHeight="1">
      <c r="A42" s="294"/>
      <c r="B42" s="297"/>
      <c r="C42" s="297"/>
      <c r="D42" s="293"/>
      <c r="E42" s="293"/>
      <c r="F42" s="293"/>
      <c r="G42" s="293"/>
      <c r="H42" s="293"/>
      <c r="I42" s="317" t="s">
        <v>12</v>
      </c>
    </row>
    <row r="43" spans="1:10" ht="15" customHeight="1">
      <c r="A43" s="287" t="s">
        <v>58</v>
      </c>
      <c r="B43" s="289">
        <f t="shared" ref="B43:G43" si="6">SUM(B45)</f>
        <v>56905.194000000003</v>
      </c>
      <c r="C43" s="289">
        <f t="shared" si="6"/>
        <v>26708.940999999999</v>
      </c>
      <c r="D43" s="289">
        <f t="shared" si="6"/>
        <v>26708.940999999999</v>
      </c>
      <c r="E43" s="289" t="e">
        <f t="shared" si="6"/>
        <v>#REF!</v>
      </c>
      <c r="F43" s="289">
        <f t="shared" si="6"/>
        <v>26708.940999999999</v>
      </c>
      <c r="G43" s="289">
        <f t="shared" si="6"/>
        <v>24333.074370000006</v>
      </c>
      <c r="H43" s="289" t="e">
        <f>+E43-G43</f>
        <v>#REF!</v>
      </c>
      <c r="I43" s="315">
        <f t="shared" si="0"/>
        <v>91.104601900914034</v>
      </c>
      <c r="J43" t="s">
        <v>12</v>
      </c>
    </row>
    <row r="44" spans="1:10" ht="15" customHeight="1">
      <c r="A44" s="294"/>
      <c r="B44" s="297"/>
      <c r="C44" s="297"/>
      <c r="D44" s="293"/>
      <c r="E44" s="293"/>
      <c r="F44" s="293"/>
      <c r="G44" s="293"/>
      <c r="H44" s="293"/>
      <c r="I44" s="317" t="s">
        <v>12</v>
      </c>
    </row>
    <row r="45" spans="1:10" ht="15" customHeight="1">
      <c r="A45" s="294" t="s">
        <v>157</v>
      </c>
      <c r="B45" s="293">
        <f>+('C-A8A'!B42)/1000</f>
        <v>56905.194000000003</v>
      </c>
      <c r="C45" s="293">
        <f>+('C-A8A'!D42)/1000</f>
        <v>26708.940999999999</v>
      </c>
      <c r="D45" s="293">
        <f>+('C-A8A'!D42)/1000</f>
        <v>26708.940999999999</v>
      </c>
      <c r="E45" s="293" t="e">
        <f>+(#REF!)/1000</f>
        <v>#REF!</v>
      </c>
      <c r="F45" s="293">
        <f>+('C-A8A'!E42)/1000</f>
        <v>26708.940999999999</v>
      </c>
      <c r="G45" s="293">
        <f>+('C-A8A'!G42)/1000</f>
        <v>24333.074370000006</v>
      </c>
      <c r="H45" s="293" t="e">
        <f>+E45-G45</f>
        <v>#REF!</v>
      </c>
      <c r="I45" s="317">
        <f t="shared" si="0"/>
        <v>91.104601900914034</v>
      </c>
    </row>
    <row r="46" spans="1:10" ht="14.25" customHeight="1">
      <c r="A46" s="294" t="s">
        <v>158</v>
      </c>
      <c r="B46" s="297"/>
      <c r="C46" s="293">
        <f>+('C-A8A'!B43)/1000</f>
        <v>0</v>
      </c>
      <c r="D46" s="293">
        <v>0</v>
      </c>
      <c r="E46" s="293">
        <v>0</v>
      </c>
      <c r="F46" s="293">
        <v>0</v>
      </c>
      <c r="G46" s="293">
        <v>0</v>
      </c>
      <c r="H46" s="293">
        <f>+E46-G46</f>
        <v>0</v>
      </c>
      <c r="I46" s="317" t="s">
        <v>12</v>
      </c>
    </row>
    <row r="47" spans="1:10" ht="15" customHeight="1">
      <c r="A47" s="294" t="s">
        <v>159</v>
      </c>
      <c r="B47" s="297"/>
      <c r="C47" s="293">
        <f>+('C-A8A'!B44)/1000</f>
        <v>0</v>
      </c>
      <c r="D47" s="293" t="s">
        <v>12</v>
      </c>
      <c r="E47" s="293" t="s">
        <v>12</v>
      </c>
      <c r="F47" s="293" t="s">
        <v>12</v>
      </c>
      <c r="G47" s="293" t="s">
        <v>12</v>
      </c>
      <c r="H47" s="293" t="s">
        <v>12</v>
      </c>
      <c r="I47" s="317" t="s">
        <v>12</v>
      </c>
    </row>
    <row r="48" spans="1:10" ht="15" customHeight="1">
      <c r="A48" s="294" t="s">
        <v>160</v>
      </c>
      <c r="B48" s="297"/>
      <c r="C48" s="297"/>
      <c r="D48" s="293">
        <v>0</v>
      </c>
      <c r="E48" s="293">
        <v>0</v>
      </c>
      <c r="F48" s="293">
        <v>0</v>
      </c>
      <c r="G48" s="293">
        <v>0</v>
      </c>
      <c r="H48" s="293">
        <f>+E48-G48</f>
        <v>0</v>
      </c>
      <c r="I48" s="317" t="s">
        <v>12</v>
      </c>
    </row>
    <row r="49" spans="1:9" ht="8.25" customHeight="1">
      <c r="A49" s="294"/>
      <c r="B49" s="297"/>
      <c r="C49" s="297"/>
      <c r="D49" s="293"/>
      <c r="E49" s="293"/>
      <c r="F49" s="293"/>
      <c r="G49" s="293"/>
      <c r="H49" s="293"/>
      <c r="I49" s="317" t="s">
        <v>12</v>
      </c>
    </row>
    <row r="50" spans="1:9" ht="18" customHeight="1">
      <c r="A50" s="287" t="s">
        <v>161</v>
      </c>
      <c r="B50" s="289">
        <f t="shared" ref="B50:H50" si="7">+B33+B43</f>
        <v>198000</v>
      </c>
      <c r="C50" s="289">
        <f t="shared" si="7"/>
        <v>167166.63399999999</v>
      </c>
      <c r="D50" s="289" t="e">
        <f t="shared" si="7"/>
        <v>#REF!</v>
      </c>
      <c r="E50" s="289" t="e">
        <f t="shared" si="7"/>
        <v>#REF!</v>
      </c>
      <c r="F50" s="289">
        <f t="shared" si="7"/>
        <v>144669.25899999999</v>
      </c>
      <c r="G50" s="289">
        <f t="shared" si="7"/>
        <v>124732.34457999998</v>
      </c>
      <c r="H50" s="289" t="e">
        <f t="shared" si="7"/>
        <v>#REF!</v>
      </c>
      <c r="I50" s="315">
        <f t="shared" si="0"/>
        <v>86.218969698324074</v>
      </c>
    </row>
    <row r="51" spans="1:9" ht="9" customHeight="1">
      <c r="A51" s="294"/>
      <c r="B51" s="294"/>
      <c r="C51" s="297"/>
      <c r="D51" s="293"/>
      <c r="E51" s="293"/>
      <c r="F51" s="293"/>
      <c r="G51" s="293"/>
      <c r="H51" s="293"/>
      <c r="I51" s="317" t="s">
        <v>12</v>
      </c>
    </row>
    <row r="52" spans="1:9" ht="21.75" customHeight="1">
      <c r="A52" s="299" t="s">
        <v>59</v>
      </c>
      <c r="B52" s="299"/>
      <c r="C52" s="300"/>
      <c r="D52" s="301" t="s">
        <v>12</v>
      </c>
      <c r="E52" s="301" t="e">
        <f>E29-E50</f>
        <v>#REF!</v>
      </c>
      <c r="F52" s="302" t="s">
        <v>12</v>
      </c>
      <c r="G52" s="303">
        <f>G29-G50</f>
        <v>-37180.14353999999</v>
      </c>
      <c r="H52" s="302" t="s">
        <v>12</v>
      </c>
      <c r="I52" s="318" t="s">
        <v>12</v>
      </c>
    </row>
    <row r="53" spans="1:9" ht="15" customHeight="1">
      <c r="A53" s="304"/>
      <c r="B53" s="6"/>
      <c r="C53" s="6"/>
      <c r="D53" s="304"/>
      <c r="E53" s="305"/>
      <c r="F53" s="305"/>
      <c r="G53" s="305"/>
      <c r="H53" s="306"/>
      <c r="I53" s="319"/>
    </row>
    <row r="54" spans="1:9" ht="15" customHeight="1">
      <c r="A54" s="640" t="s">
        <v>41</v>
      </c>
      <c r="B54" s="640"/>
      <c r="C54" s="154"/>
      <c r="D54" s="154"/>
      <c r="E54" s="6"/>
      <c r="F54" s="6" t="s">
        <v>12</v>
      </c>
      <c r="G54" s="6"/>
      <c r="H54" s="307"/>
      <c r="I54" s="3"/>
    </row>
    <row r="55" spans="1:9" ht="15" customHeight="1">
      <c r="A55" s="4" t="s">
        <v>12</v>
      </c>
      <c r="H55" s="308"/>
      <c r="I55" s="272"/>
    </row>
    <row r="56" spans="1:9" ht="15" customHeight="1">
      <c r="F56" s="309" t="s">
        <v>12</v>
      </c>
      <c r="G56" s="309"/>
      <c r="H56" s="308"/>
      <c r="I56" s="272"/>
    </row>
    <row r="57" spans="1:9" ht="15" customHeight="1">
      <c r="A57" s="310"/>
      <c r="B57" s="310"/>
      <c r="C57" s="310"/>
      <c r="D57" s="310"/>
      <c r="E57" s="311"/>
      <c r="F57" s="311"/>
      <c r="G57" s="311" t="s">
        <v>12</v>
      </c>
      <c r="H57" s="308"/>
      <c r="I57" s="272"/>
    </row>
    <row r="58" spans="1:9" ht="15" customHeight="1">
      <c r="A58" s="310"/>
      <c r="B58" s="310"/>
      <c r="C58" s="310"/>
      <c r="D58" s="310"/>
      <c r="E58" s="311"/>
      <c r="F58" s="311"/>
      <c r="G58" s="311"/>
      <c r="H58" s="308"/>
      <c r="I58" s="272"/>
    </row>
    <row r="59" spans="1:9" ht="15" customHeight="1">
      <c r="A59" s="310"/>
      <c r="B59" s="310"/>
      <c r="C59" s="310"/>
      <c r="D59" s="310"/>
      <c r="E59" s="311"/>
      <c r="F59" s="311"/>
      <c r="G59" s="311"/>
      <c r="H59" s="308"/>
      <c r="I59" s="272"/>
    </row>
    <row r="60" spans="1:9" ht="15" customHeight="1">
      <c r="A60" s="261"/>
      <c r="B60" s="261"/>
      <c r="C60" s="261"/>
      <c r="D60" s="261"/>
      <c r="E60" s="261"/>
      <c r="F60" s="261"/>
      <c r="H60" s="308"/>
      <c r="I60" s="272"/>
    </row>
    <row r="61" spans="1:9" ht="15" customHeight="1">
      <c r="A61" s="261"/>
      <c r="B61" s="261"/>
      <c r="C61" s="261"/>
      <c r="D61" s="261"/>
      <c r="E61" s="261"/>
      <c r="F61" s="261"/>
      <c r="I61" s="272"/>
    </row>
    <row r="62" spans="1:9" ht="15" customHeight="1">
      <c r="A62" s="261"/>
      <c r="B62" s="261"/>
      <c r="C62" s="261"/>
      <c r="D62" s="261"/>
      <c r="I62" s="272"/>
    </row>
    <row r="63" spans="1:9">
      <c r="A63" s="261"/>
      <c r="B63" s="261"/>
      <c r="C63" s="261"/>
      <c r="D63" s="261"/>
      <c r="I63" s="272"/>
    </row>
    <row r="64" spans="1:9">
      <c r="A64" s="261"/>
      <c r="B64" s="261"/>
      <c r="C64" s="261"/>
      <c r="D64" s="261"/>
      <c r="I64" s="272"/>
    </row>
    <row r="65" spans="1:9">
      <c r="A65" s="261"/>
      <c r="B65" s="261"/>
      <c r="C65" s="261"/>
      <c r="D65" s="261"/>
      <c r="I65" s="272"/>
    </row>
    <row r="66" spans="1:9" ht="15">
      <c r="A66" s="261"/>
      <c r="B66" s="261"/>
      <c r="C66" s="261"/>
      <c r="D66" s="261"/>
      <c r="E66" s="10"/>
      <c r="F66" s="10"/>
      <c r="G66" s="10"/>
      <c r="H66" s="320"/>
      <c r="I66" s="272"/>
    </row>
    <row r="67" spans="1:9" ht="15">
      <c r="A67" s="261"/>
      <c r="B67" s="261"/>
      <c r="C67" s="261"/>
      <c r="D67" s="261"/>
      <c r="E67" s="10"/>
      <c r="F67" s="10"/>
      <c r="G67" s="10"/>
      <c r="H67" s="320"/>
      <c r="I67" s="272"/>
    </row>
    <row r="68" spans="1:9">
      <c r="A68" s="261"/>
      <c r="B68" s="261"/>
      <c r="C68" s="261"/>
      <c r="D68" s="261"/>
      <c r="I68" s="272"/>
    </row>
    <row r="69" spans="1:9">
      <c r="I69" s="272"/>
    </row>
    <row r="70" spans="1:9">
      <c r="I70" s="272"/>
    </row>
    <row r="71" spans="1:9">
      <c r="I71" s="272"/>
    </row>
    <row r="72" spans="1:9">
      <c r="I72" s="272"/>
    </row>
    <row r="73" spans="1:9">
      <c r="I73" s="272"/>
    </row>
    <row r="74" spans="1:9">
      <c r="I74" s="272"/>
    </row>
    <row r="75" spans="1:9">
      <c r="I75" s="272"/>
    </row>
    <row r="76" spans="1:9">
      <c r="I76" s="272"/>
    </row>
    <row r="77" spans="1:9">
      <c r="I77" s="272"/>
    </row>
    <row r="78" spans="1:9">
      <c r="I78" s="272"/>
    </row>
    <row r="79" spans="1:9">
      <c r="I79" s="272"/>
    </row>
    <row r="80" spans="1:9">
      <c r="I80" s="272"/>
    </row>
    <row r="81" spans="9:9">
      <c r="I81" s="272"/>
    </row>
    <row r="82" spans="9:9">
      <c r="I82" s="272"/>
    </row>
    <row r="83" spans="9:9">
      <c r="I83" s="272"/>
    </row>
    <row r="84" spans="9:9">
      <c r="I84" s="272"/>
    </row>
    <row r="85" spans="9:9">
      <c r="I85" s="272"/>
    </row>
    <row r="86" spans="9:9">
      <c r="I86" s="272"/>
    </row>
    <row r="87" spans="9:9">
      <c r="I87" s="272"/>
    </row>
    <row r="88" spans="9:9">
      <c r="I88" s="272"/>
    </row>
  </sheetData>
  <mergeCells count="8">
    <mergeCell ref="A54:B54"/>
    <mergeCell ref="A7:A8"/>
    <mergeCell ref="I7:I8"/>
    <mergeCell ref="A1:I1"/>
    <mergeCell ref="A2:I2"/>
    <mergeCell ref="A3:I3"/>
    <mergeCell ref="A4:I4"/>
    <mergeCell ref="B7:G7"/>
  </mergeCells>
  <pageMargins left="1.14173228346457" right="0.86614173228346403" top="0.66929133858267698" bottom="0.59055118110236204" header="0.511811023622047" footer="0.511811023622047"/>
  <pageSetup paperSize="5" scale="85" firstPageNumber="0" orientation="portrait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tabColor theme="4" tint="0.59999389629810485"/>
  </sheetPr>
  <dimension ref="A1:Q179"/>
  <sheetViews>
    <sheetView showGridLines="0" showZeros="0" workbookViewId="0">
      <selection activeCell="R31" sqref="R30:R31"/>
    </sheetView>
  </sheetViews>
  <sheetFormatPr baseColWidth="10" defaultColWidth="11.42578125" defaultRowHeight="12.75"/>
  <cols>
    <col min="1" max="1" width="35.28515625" style="4" customWidth="1"/>
    <col min="2" max="2" width="13" style="4" customWidth="1"/>
    <col min="3" max="3" width="13.5703125" style="4" customWidth="1"/>
    <col min="4" max="4" width="12.140625" style="4" customWidth="1"/>
    <col min="5" max="5" width="15.140625" style="4" hidden="1" customWidth="1"/>
    <col min="6" max="6" width="15" style="4" customWidth="1"/>
    <col min="7" max="8" width="12.28515625" style="4" customWidth="1"/>
    <col min="9" max="9" width="12.42578125" style="4" customWidth="1"/>
    <col min="10" max="10" width="1.140625" style="4" hidden="1" customWidth="1"/>
    <col min="11" max="11" width="13.140625" style="4" customWidth="1"/>
    <col min="12" max="12" width="0.140625" customWidth="1"/>
    <col min="13" max="13" width="13.5703125" customWidth="1"/>
  </cols>
  <sheetData>
    <row r="1" spans="1:14" ht="12" customHeight="1">
      <c r="A1" s="236"/>
      <c r="B1" s="236"/>
      <c r="C1" s="236"/>
      <c r="D1" s="237"/>
      <c r="E1" s="237"/>
      <c r="F1" s="238"/>
      <c r="G1" s="238"/>
      <c r="H1" s="238"/>
      <c r="I1" s="238"/>
      <c r="J1" s="238"/>
      <c r="K1" s="238"/>
    </row>
    <row r="2" spans="1:14" ht="18" customHeight="1">
      <c r="A2" s="645" t="s">
        <v>60</v>
      </c>
      <c r="B2" s="645"/>
      <c r="C2" s="645"/>
      <c r="D2" s="645"/>
      <c r="E2" s="645"/>
      <c r="F2" s="645"/>
      <c r="G2" s="645"/>
      <c r="H2" s="645"/>
      <c r="I2" s="645"/>
      <c r="J2" s="645"/>
      <c r="K2" s="645"/>
    </row>
    <row r="3" spans="1:14" ht="15.75" customHeight="1">
      <c r="A3" s="645" t="s">
        <v>61</v>
      </c>
      <c r="B3" s="645"/>
      <c r="C3" s="645"/>
      <c r="D3" s="645"/>
      <c r="E3" s="645"/>
      <c r="F3" s="645"/>
      <c r="G3" s="645"/>
      <c r="H3" s="645"/>
      <c r="I3" s="645"/>
      <c r="J3" s="645"/>
      <c r="K3" s="645"/>
    </row>
    <row r="4" spans="1:14" ht="15">
      <c r="A4" s="646" t="s">
        <v>162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</row>
    <row r="5" spans="1:14" ht="15">
      <c r="A5" s="646" t="s">
        <v>543</v>
      </c>
      <c r="B5" s="646"/>
      <c r="C5" s="646"/>
      <c r="D5" s="646"/>
      <c r="E5" s="646"/>
      <c r="F5" s="646"/>
      <c r="G5" s="646"/>
      <c r="H5" s="646"/>
      <c r="I5" s="646"/>
      <c r="J5" s="646"/>
      <c r="K5" s="646"/>
    </row>
    <row r="6" spans="1:14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686" t="s">
        <v>0</v>
      </c>
      <c r="B7" s="691" t="s">
        <v>163</v>
      </c>
      <c r="C7" s="692"/>
      <c r="D7" s="692"/>
      <c r="E7" s="692"/>
      <c r="F7" s="692"/>
      <c r="G7" s="692"/>
      <c r="H7" s="693"/>
      <c r="I7" s="688" t="s">
        <v>42</v>
      </c>
      <c r="J7" s="686"/>
      <c r="K7" s="688" t="s">
        <v>43</v>
      </c>
      <c r="L7" t="s">
        <v>12</v>
      </c>
    </row>
    <row r="8" spans="1:14" ht="31.5" customHeight="1">
      <c r="A8" s="687"/>
      <c r="B8" s="73" t="s">
        <v>2</v>
      </c>
      <c r="C8" s="73" t="s">
        <v>3</v>
      </c>
      <c r="D8" s="77" t="s">
        <v>25</v>
      </c>
      <c r="E8" s="239" t="s">
        <v>66</v>
      </c>
      <c r="F8" s="240" t="s">
        <v>44</v>
      </c>
      <c r="G8" s="241" t="s">
        <v>48</v>
      </c>
      <c r="H8" s="241" t="s">
        <v>45</v>
      </c>
      <c r="I8" s="689"/>
      <c r="J8" s="690"/>
      <c r="K8" s="689"/>
      <c r="L8" t="s">
        <v>67</v>
      </c>
      <c r="M8" t="s">
        <v>12</v>
      </c>
    </row>
    <row r="9" spans="1:14" ht="24.75" customHeight="1">
      <c r="A9" s="242" t="s">
        <v>164</v>
      </c>
      <c r="B9" s="243">
        <f>+B11+B36</f>
        <v>198000000</v>
      </c>
      <c r="C9" s="244">
        <f>+C11+C36</f>
        <v>167166634</v>
      </c>
      <c r="D9" s="244">
        <f>++D11+D36</f>
        <v>144669259</v>
      </c>
      <c r="E9" s="244">
        <f>+E11+E36</f>
        <v>10026954.310000001</v>
      </c>
      <c r="F9" s="244">
        <f>+F11+F36-1</f>
        <v>124732343.58000001</v>
      </c>
      <c r="G9" s="244">
        <f>+G11+G36</f>
        <v>99313098.180000007</v>
      </c>
      <c r="H9" s="244">
        <f>++H11+H36</f>
        <v>101114611.92000002</v>
      </c>
      <c r="I9" s="244">
        <f>+D9-F9</f>
        <v>19936915.419999987</v>
      </c>
      <c r="J9" s="244" t="e">
        <f>+#REF!-F9</f>
        <v>#REF!</v>
      </c>
      <c r="K9" s="263">
        <f>+F9/D9*100</f>
        <v>86.218969007092255</v>
      </c>
      <c r="L9">
        <v>84817701.783999994</v>
      </c>
    </row>
    <row r="10" spans="1:14" ht="11.1" customHeight="1">
      <c r="A10" s="242"/>
      <c r="B10" s="243"/>
      <c r="C10" s="244"/>
      <c r="D10" s="244"/>
      <c r="E10" s="244"/>
      <c r="F10" s="244" t="s">
        <v>12</v>
      </c>
      <c r="G10" s="244"/>
      <c r="H10" s="244" t="s">
        <v>12</v>
      </c>
      <c r="I10" s="244" t="s">
        <v>12</v>
      </c>
      <c r="J10" s="244" t="s">
        <v>12</v>
      </c>
      <c r="K10" s="263" t="s">
        <v>12</v>
      </c>
      <c r="L10" t="s">
        <v>12</v>
      </c>
    </row>
    <row r="11" spans="1:14" ht="15">
      <c r="A11" s="242" t="s">
        <v>165</v>
      </c>
      <c r="B11" s="243">
        <f>+B13+B20+B34</f>
        <v>141094806</v>
      </c>
      <c r="C11" s="244">
        <f>+C13+C20+C34</f>
        <v>140457693</v>
      </c>
      <c r="D11" s="245">
        <f>+D13+D20</f>
        <v>117960318</v>
      </c>
      <c r="E11" s="245">
        <f>+E20+E13</f>
        <v>9865502.0600000005</v>
      </c>
      <c r="F11" s="245">
        <f>+F20+F13+1</f>
        <v>100399270.21000001</v>
      </c>
      <c r="G11" s="245">
        <f>+G20+G13</f>
        <v>86897883.600000009</v>
      </c>
      <c r="H11" s="245">
        <f>+H20+H13+H34</f>
        <v>94083213.180000022</v>
      </c>
      <c r="I11" s="245">
        <f>+D11-F11</f>
        <v>17561047.789999992</v>
      </c>
      <c r="J11" s="245" t="e">
        <f>+#REF!-F11</f>
        <v>#REF!</v>
      </c>
      <c r="K11" s="264">
        <f>+F11/D11*100</f>
        <v>85.112749704523523</v>
      </c>
      <c r="L11">
        <v>71948551.653999999</v>
      </c>
      <c r="N11" t="s">
        <v>12</v>
      </c>
    </row>
    <row r="12" spans="1:14" ht="10.35" customHeight="1">
      <c r="A12" s="242"/>
      <c r="B12" s="243"/>
      <c r="C12" s="244"/>
      <c r="D12" s="244"/>
      <c r="E12" s="244"/>
      <c r="F12" s="244" t="s">
        <v>12</v>
      </c>
      <c r="G12" s="244"/>
      <c r="H12" s="244"/>
      <c r="I12" s="244"/>
      <c r="J12" s="244" t="s">
        <v>12</v>
      </c>
      <c r="K12" s="263"/>
      <c r="L12" t="s">
        <v>12</v>
      </c>
    </row>
    <row r="13" spans="1:14" ht="18" customHeight="1">
      <c r="A13" s="242" t="s">
        <v>166</v>
      </c>
      <c r="B13" s="243">
        <f t="shared" ref="B13:H13" si="0">SUM(B15:B18)</f>
        <v>138843212</v>
      </c>
      <c r="C13" s="244">
        <f t="shared" si="0"/>
        <v>136424252</v>
      </c>
      <c r="D13" s="244">
        <f t="shared" si="0"/>
        <v>113946571</v>
      </c>
      <c r="E13" s="244">
        <f t="shared" si="0"/>
        <v>9541464.6400000006</v>
      </c>
      <c r="F13" s="244">
        <f>SUM(F15:F18)</f>
        <v>98185524.650000006</v>
      </c>
      <c r="G13" s="244">
        <f t="shared" si="0"/>
        <v>84785218.760000005</v>
      </c>
      <c r="H13" s="244">
        <f t="shared" si="0"/>
        <v>91984459.670000017</v>
      </c>
      <c r="I13" s="244">
        <f>+D13-F13</f>
        <v>15761046.349999994</v>
      </c>
      <c r="J13" s="244" t="e">
        <f>+#REF!-F13</f>
        <v>#REF!</v>
      </c>
      <c r="K13" s="263">
        <f>+F13/D13*100</f>
        <v>86.168038044778029</v>
      </c>
      <c r="L13">
        <v>71049250.593999997</v>
      </c>
      <c r="M13" s="1" t="s">
        <v>12</v>
      </c>
    </row>
    <row r="14" spans="1:14" ht="11.1" customHeight="1">
      <c r="A14" s="242"/>
      <c r="B14" s="243"/>
      <c r="C14" s="244"/>
      <c r="D14" s="244"/>
      <c r="E14" s="244"/>
      <c r="F14" s="244" t="s">
        <v>12</v>
      </c>
      <c r="G14" s="244"/>
      <c r="H14" s="244"/>
      <c r="I14" s="244"/>
      <c r="J14" s="244"/>
      <c r="K14" s="263"/>
      <c r="L14" t="s">
        <v>12</v>
      </c>
    </row>
    <row r="15" spans="1:14" ht="20.100000000000001" customHeight="1">
      <c r="A15" s="246" t="s">
        <v>167</v>
      </c>
      <c r="B15" s="247">
        <f>+'C-A6'!C11</f>
        <v>125299729</v>
      </c>
      <c r="C15" s="247">
        <f>+'C-A6'!E11</f>
        <v>122980084</v>
      </c>
      <c r="D15" s="247">
        <f>+'C-A6'!F11</f>
        <v>100721659</v>
      </c>
      <c r="E15" s="247">
        <f>+'C-A6'!G11</f>
        <v>8987503.1799999997</v>
      </c>
      <c r="F15" s="247">
        <f>+'C-A6'!H11</f>
        <v>88516480.719999999</v>
      </c>
      <c r="G15" s="247">
        <f>+'C-A6'!I11</f>
        <v>76889526.810000002</v>
      </c>
      <c r="H15" s="247">
        <f>+'C-A6'!J11</f>
        <v>85183610.980000019</v>
      </c>
      <c r="I15" s="247">
        <f>+D15-F15</f>
        <v>12205178.280000001</v>
      </c>
      <c r="J15" s="247" t="e">
        <f>+#REF!-F15</f>
        <v>#REF!</v>
      </c>
      <c r="K15" s="265">
        <f>+F15/D15*100</f>
        <v>87.882270406209244</v>
      </c>
      <c r="L15">
        <v>67328817.609999999</v>
      </c>
    </row>
    <row r="16" spans="1:14" ht="20.100000000000001" customHeight="1">
      <c r="A16" s="246" t="s">
        <v>168</v>
      </c>
      <c r="B16" s="247">
        <f>+'C-A6'!C37</f>
        <v>7293008</v>
      </c>
      <c r="C16" s="247">
        <f>+'C-A6'!E37</f>
        <v>7251873</v>
      </c>
      <c r="D16" s="247">
        <f>+'C-A6'!F37</f>
        <v>7032617</v>
      </c>
      <c r="E16" s="247">
        <f>+'C-A6'!G37</f>
        <v>419060.91</v>
      </c>
      <c r="F16" s="247">
        <f>+'C-A6'!H37</f>
        <v>5294870.26</v>
      </c>
      <c r="G16" s="247">
        <f>+'C-A6'!I37</f>
        <v>4466585.4000000004</v>
      </c>
      <c r="H16" s="247">
        <f>+'C-A6'!J37</f>
        <v>3794599.4099999997</v>
      </c>
      <c r="I16" s="247">
        <f>+D16-F16</f>
        <v>1737746.7400000002</v>
      </c>
      <c r="J16" s="247" t="e">
        <f>+#REF!-F16</f>
        <v>#REF!</v>
      </c>
      <c r="K16" s="265">
        <f>+F16/D16*100</f>
        <v>75.290183725347191</v>
      </c>
      <c r="L16">
        <v>2361674.91</v>
      </c>
    </row>
    <row r="17" spans="1:16" ht="20.100000000000001" customHeight="1">
      <c r="A17" s="246" t="s">
        <v>169</v>
      </c>
      <c r="B17" s="247">
        <f>+'C-A6'!C94</f>
        <v>3042561</v>
      </c>
      <c r="C17" s="247">
        <f>+'C-A6'!E94</f>
        <v>3897255</v>
      </c>
      <c r="D17" s="247">
        <f>+'C-A6'!F94</f>
        <v>3897255</v>
      </c>
      <c r="E17" s="247">
        <f>+'C-A6'!G94</f>
        <v>82052.899999999994</v>
      </c>
      <c r="F17" s="247">
        <f>+'C-A6'!H94</f>
        <v>2941217.44</v>
      </c>
      <c r="G17" s="247">
        <f>+'C-A6'!I94</f>
        <v>2257393.8199999998</v>
      </c>
      <c r="H17" s="248">
        <f>+'C-A6'!J94</f>
        <v>2021845.14</v>
      </c>
      <c r="I17" s="247">
        <f>+D17-F17</f>
        <v>956037.56</v>
      </c>
      <c r="J17" s="247" t="e">
        <f>+#REF!-F17</f>
        <v>#REF!</v>
      </c>
      <c r="K17" s="265">
        <f>+F17/D17*100</f>
        <v>75.468950325293065</v>
      </c>
      <c r="L17">
        <v>1178096.594</v>
      </c>
      <c r="N17" t="s">
        <v>12</v>
      </c>
    </row>
    <row r="18" spans="1:16" ht="20.100000000000001" customHeight="1">
      <c r="A18" s="246" t="s">
        <v>170</v>
      </c>
      <c r="B18" s="247">
        <f>+'C-A6'!C154</f>
        <v>3207914</v>
      </c>
      <c r="C18" s="247">
        <f>+'C-A6'!E154</f>
        <v>2295040</v>
      </c>
      <c r="D18" s="247">
        <f>+'C-A6'!F154</f>
        <v>2295040</v>
      </c>
      <c r="E18" s="247">
        <f>+'C-A6'!G154</f>
        <v>52847.65</v>
      </c>
      <c r="F18" s="247">
        <f>+'C-A6'!H154</f>
        <v>1432956.23</v>
      </c>
      <c r="G18" s="247">
        <f>+'C-A6'!I154</f>
        <v>1171712.7300000002</v>
      </c>
      <c r="H18" s="247">
        <f>+'C-A6'!J154</f>
        <v>984404.14</v>
      </c>
      <c r="I18" s="247">
        <f>+D18-F18</f>
        <v>862083.77</v>
      </c>
      <c r="J18" s="247" t="e">
        <f>+#REF!-F18</f>
        <v>#REF!</v>
      </c>
      <c r="K18" s="265">
        <f>+F18/D18*100</f>
        <v>62.437091728248738</v>
      </c>
      <c r="L18">
        <v>105848.37</v>
      </c>
    </row>
    <row r="19" spans="1:16" ht="9.75" customHeight="1">
      <c r="A19" s="242"/>
      <c r="B19" s="243"/>
      <c r="C19" s="244"/>
      <c r="D19" s="244"/>
      <c r="E19" s="244" t="s">
        <v>12</v>
      </c>
      <c r="F19" s="244" t="s">
        <v>12</v>
      </c>
      <c r="G19" s="244" t="s">
        <v>12</v>
      </c>
      <c r="H19" s="244"/>
      <c r="I19" s="244"/>
      <c r="J19" s="244"/>
      <c r="K19" s="263" t="s">
        <v>12</v>
      </c>
      <c r="L19" t="s">
        <v>12</v>
      </c>
    </row>
    <row r="20" spans="1:16" ht="18" customHeight="1">
      <c r="A20" s="242" t="s">
        <v>171</v>
      </c>
      <c r="B20" s="244">
        <f>+'C-A6'!C159</f>
        <v>2251594</v>
      </c>
      <c r="C20" s="244">
        <f>+'C-A6'!E159</f>
        <v>4033441</v>
      </c>
      <c r="D20" s="244">
        <f>+'C-A6'!F159</f>
        <v>4013747</v>
      </c>
      <c r="E20" s="244">
        <f>+'C-A6'!G159</f>
        <v>324037.42</v>
      </c>
      <c r="F20" s="249">
        <f>+'C-A6'!H159-1</f>
        <v>2213744.56</v>
      </c>
      <c r="G20" s="244">
        <f>+'C-A6'!I159</f>
        <v>2112664.84</v>
      </c>
      <c r="H20" s="244">
        <f>+'C-A6'!J159</f>
        <v>2098753.5099999998</v>
      </c>
      <c r="I20" s="244">
        <f>+D20-F20</f>
        <v>1800002.44</v>
      </c>
      <c r="J20" s="244" t="e">
        <f>+#REF!-F20</f>
        <v>#REF!</v>
      </c>
      <c r="K20" s="263">
        <f>+F20/D20*100</f>
        <v>55.154063273046361</v>
      </c>
      <c r="L20">
        <v>899301.06</v>
      </c>
      <c r="P20" s="1" t="s">
        <v>12</v>
      </c>
    </row>
    <row r="21" spans="1:16" ht="12.75" customHeight="1">
      <c r="A21" s="242" t="s">
        <v>172</v>
      </c>
      <c r="B21" s="243"/>
      <c r="C21" s="244"/>
      <c r="D21" s="244"/>
      <c r="E21" s="244" t="s">
        <v>12</v>
      </c>
      <c r="F21" s="244" t="s">
        <v>12</v>
      </c>
      <c r="G21" s="244" t="s">
        <v>12</v>
      </c>
      <c r="H21" s="244"/>
      <c r="I21" s="244"/>
      <c r="J21" s="244"/>
      <c r="K21" s="263" t="s">
        <v>12</v>
      </c>
      <c r="L21" t="s">
        <v>12</v>
      </c>
    </row>
    <row r="22" spans="1:16" ht="18" customHeight="1">
      <c r="A22" s="242" t="s">
        <v>173</v>
      </c>
      <c r="B22" s="243">
        <f>+B28</f>
        <v>1964594</v>
      </c>
      <c r="C22" s="244">
        <f>SUM(C28)</f>
        <v>3898361</v>
      </c>
      <c r="D22" s="244">
        <f t="shared" ref="D22:H22" si="1">SUM(D28)</f>
        <v>3719401</v>
      </c>
      <c r="E22" s="244">
        <f t="shared" si="1"/>
        <v>324037.42</v>
      </c>
      <c r="F22" s="244">
        <f t="shared" si="1"/>
        <v>2188321.35</v>
      </c>
      <c r="G22" s="244">
        <f t="shared" ref="G22" si="2">SUM(G28)</f>
        <v>2111764.84</v>
      </c>
      <c r="H22" s="244">
        <f t="shared" si="1"/>
        <v>2097853.5099999998</v>
      </c>
      <c r="I22" s="244">
        <f>+D22-F22</f>
        <v>1531079.65</v>
      </c>
      <c r="J22" s="244" t="e">
        <f>+#REF!-F22</f>
        <v>#REF!</v>
      </c>
      <c r="K22" s="263">
        <f>+F22/D22*100</f>
        <v>58.835316493166509</v>
      </c>
      <c r="L22">
        <v>59671.519999999997</v>
      </c>
    </row>
    <row r="23" spans="1:16" ht="12.75" hidden="1" customHeight="1">
      <c r="A23" s="242" t="s">
        <v>174</v>
      </c>
      <c r="B23" s="243"/>
      <c r="C23" s="244"/>
      <c r="D23" s="244" t="s">
        <v>12</v>
      </c>
      <c r="E23" s="244">
        <f ca="1">+F23-L23</f>
        <v>134579</v>
      </c>
      <c r="F23" s="244">
        <f t="shared" ref="F23:F35" ca="1" si="3">+E23+L23</f>
        <v>1231</v>
      </c>
      <c r="G23" s="244">
        <f>+H23-N23</f>
        <v>0</v>
      </c>
      <c r="H23" s="244"/>
      <c r="I23" s="244"/>
      <c r="J23" s="244"/>
      <c r="K23" s="263" t="s">
        <v>12</v>
      </c>
      <c r="L23">
        <v>1231</v>
      </c>
    </row>
    <row r="24" spans="1:16" ht="12.75" hidden="1" customHeight="1">
      <c r="A24" s="242" t="s">
        <v>175</v>
      </c>
      <c r="B24" s="243"/>
      <c r="C24" s="244"/>
      <c r="D24" s="244"/>
      <c r="E24" s="244">
        <f ca="1">+F24-L24</f>
        <v>134579</v>
      </c>
      <c r="F24" s="244">
        <f t="shared" ca="1" si="3"/>
        <v>1231</v>
      </c>
      <c r="G24" s="244">
        <f>+H24-N24</f>
        <v>0</v>
      </c>
      <c r="H24" s="244"/>
      <c r="I24" s="244"/>
      <c r="J24" s="244"/>
      <c r="K24" s="263" t="s">
        <v>12</v>
      </c>
      <c r="L24">
        <v>1231</v>
      </c>
    </row>
    <row r="25" spans="1:16" ht="12.75" hidden="1" customHeight="1">
      <c r="A25" s="242" t="s">
        <v>176</v>
      </c>
      <c r="B25" s="243"/>
      <c r="C25" s="244"/>
      <c r="D25" s="244"/>
      <c r="E25" s="244">
        <f ca="1">+F25-L25</f>
        <v>134579</v>
      </c>
      <c r="F25" s="244">
        <f t="shared" ca="1" si="3"/>
        <v>1231</v>
      </c>
      <c r="G25" s="244">
        <f>+H25-N25</f>
        <v>0</v>
      </c>
      <c r="H25" s="244"/>
      <c r="I25" s="244"/>
      <c r="J25" s="244"/>
      <c r="K25" s="263" t="s">
        <v>12</v>
      </c>
      <c r="L25">
        <v>1231</v>
      </c>
    </row>
    <row r="26" spans="1:16" ht="12.75" hidden="1" customHeight="1">
      <c r="A26" s="242" t="s">
        <v>177</v>
      </c>
      <c r="B26" s="243"/>
      <c r="C26" s="244"/>
      <c r="D26" s="244"/>
      <c r="E26" s="244">
        <f ca="1">+F26-L26</f>
        <v>134579</v>
      </c>
      <c r="F26" s="244">
        <f t="shared" ca="1" si="3"/>
        <v>1231</v>
      </c>
      <c r="G26" s="244">
        <f>+H26-N26</f>
        <v>0</v>
      </c>
      <c r="H26" s="244"/>
      <c r="I26" s="244"/>
      <c r="J26" s="244"/>
      <c r="K26" s="263" t="s">
        <v>12</v>
      </c>
      <c r="L26">
        <v>1231</v>
      </c>
    </row>
    <row r="27" spans="1:16" ht="12.75" customHeight="1">
      <c r="A27" s="242"/>
      <c r="B27" s="243"/>
      <c r="C27" s="244"/>
      <c r="D27" s="244"/>
      <c r="E27" s="244"/>
      <c r="F27" s="244"/>
      <c r="G27" s="244"/>
      <c r="H27" s="244"/>
      <c r="I27" s="244"/>
      <c r="J27" s="244"/>
      <c r="K27" s="263"/>
    </row>
    <row r="28" spans="1:16" ht="18" customHeight="1">
      <c r="A28" s="246" t="s">
        <v>178</v>
      </c>
      <c r="B28" s="247">
        <f>+'C-A6'!C160+'C-A6'!C162++'C-A6'!C168+'C-A6'!C172</f>
        <v>1964594</v>
      </c>
      <c r="C28" s="247">
        <f>+'C-A6'!E160+'C-A6'!E162++'C-A6'!E168+'C-A6'!E172</f>
        <v>3898361</v>
      </c>
      <c r="D28" s="247">
        <f>+'C-A6'!F160+'C-A6'!F162++'C-A6'!F168</f>
        <v>3719401</v>
      </c>
      <c r="E28" s="247">
        <f>+'C-A6'!G160+'C-A6'!G162++'C-A6'!G168</f>
        <v>324037.42</v>
      </c>
      <c r="F28" s="247">
        <f>2213745.56-25424.21</f>
        <v>2188321.35</v>
      </c>
      <c r="G28" s="247">
        <f>+'C-A6'!I160+'C-A6'!I162++'C-A6'!I168</f>
        <v>2111764.84</v>
      </c>
      <c r="H28" s="247">
        <f>+'C-A6'!J160+'C-A6'!J162++'C-A6'!J168</f>
        <v>2097853.5099999998</v>
      </c>
      <c r="I28" s="247">
        <f>+I22</f>
        <v>1531079.65</v>
      </c>
      <c r="J28" s="247" t="e">
        <f>+J22</f>
        <v>#REF!</v>
      </c>
      <c r="K28" s="265">
        <f>+F28/D28*100</f>
        <v>58.835316493166509</v>
      </c>
      <c r="L28">
        <v>59671.519999999997</v>
      </c>
    </row>
    <row r="29" spans="1:16" ht="18" customHeight="1">
      <c r="A29" s="246" t="s">
        <v>179</v>
      </c>
      <c r="B29" s="250"/>
      <c r="C29" s="247"/>
      <c r="D29" s="247" t="s">
        <v>12</v>
      </c>
      <c r="E29" s="247" t="s">
        <v>12</v>
      </c>
      <c r="F29" s="247" t="s">
        <v>12</v>
      </c>
      <c r="G29" s="247" t="s">
        <v>12</v>
      </c>
      <c r="H29" s="247"/>
      <c r="I29" s="247"/>
      <c r="J29" s="247"/>
      <c r="K29" s="265" t="s">
        <v>12</v>
      </c>
      <c r="L29" t="s">
        <v>12</v>
      </c>
    </row>
    <row r="30" spans="1:16" ht="18" customHeight="1">
      <c r="A30" s="246" t="s">
        <v>180</v>
      </c>
      <c r="B30" s="250"/>
      <c r="C30" s="247"/>
      <c r="D30" s="247" t="s">
        <v>12</v>
      </c>
      <c r="E30" s="247"/>
      <c r="F30" s="247">
        <f t="shared" si="3"/>
        <v>0</v>
      </c>
      <c r="G30" s="247"/>
      <c r="H30" s="247"/>
      <c r="I30" s="247"/>
      <c r="J30" s="247"/>
      <c r="K30" s="265" t="s">
        <v>12</v>
      </c>
      <c r="L30">
        <v>0</v>
      </c>
    </row>
    <row r="31" spans="1:16" ht="9" customHeight="1">
      <c r="A31" s="246"/>
      <c r="B31" s="250"/>
      <c r="C31" s="247"/>
      <c r="D31" s="247"/>
      <c r="E31" s="247"/>
      <c r="F31" s="247"/>
      <c r="G31" s="247"/>
      <c r="H31" s="247"/>
      <c r="I31" s="247"/>
      <c r="J31" s="247"/>
      <c r="K31" s="265"/>
    </row>
    <row r="32" spans="1:16" ht="22.5" customHeight="1">
      <c r="A32" s="251" t="s">
        <v>181</v>
      </c>
      <c r="B32" s="252">
        <f>+'C-A6'!C174</f>
        <v>287000</v>
      </c>
      <c r="C32" s="252">
        <f>+'C-A6'!E174</f>
        <v>93500</v>
      </c>
      <c r="D32" s="252">
        <f>+'C-A6'!F174</f>
        <v>93500</v>
      </c>
      <c r="E32" s="252">
        <f>+'C-A6'!G174</f>
        <v>0</v>
      </c>
      <c r="F32" s="252">
        <f>+'C-A6'!H174</f>
        <v>25424.21</v>
      </c>
      <c r="G32" s="252">
        <f>+'C-A6'!I174</f>
        <v>900</v>
      </c>
      <c r="H32" s="252">
        <f>+'C-A6'!J163+'C-A6'!J165++'C-A6'!J174</f>
        <v>900</v>
      </c>
      <c r="I32" s="252">
        <f>+D32-F32</f>
        <v>68075.790000000008</v>
      </c>
      <c r="J32" s="252" t="e">
        <f>+#REF!-F32</f>
        <v>#REF!</v>
      </c>
      <c r="K32" s="266">
        <f>+F32/D32*100</f>
        <v>27.191668449197859</v>
      </c>
      <c r="L32">
        <v>5963.56</v>
      </c>
    </row>
    <row r="33" spans="1:17" ht="12.6" customHeight="1">
      <c r="A33" s="242"/>
      <c r="B33" s="243"/>
      <c r="C33" s="244"/>
      <c r="D33" s="244"/>
      <c r="E33" s="244"/>
      <c r="F33" s="244"/>
      <c r="G33" s="244"/>
      <c r="H33" s="244"/>
      <c r="I33" s="244"/>
      <c r="J33" s="244"/>
      <c r="K33" s="263"/>
    </row>
    <row r="34" spans="1:17" ht="15.75" customHeight="1">
      <c r="A34" s="242" t="s">
        <v>12</v>
      </c>
      <c r="B34" s="243"/>
      <c r="C34" s="244"/>
      <c r="D34" s="244" t="s">
        <v>12</v>
      </c>
      <c r="E34" s="244" t="s">
        <v>12</v>
      </c>
      <c r="F34" s="244" t="s">
        <v>12</v>
      </c>
      <c r="G34" s="244" t="s">
        <v>12</v>
      </c>
      <c r="H34" s="244">
        <v>0</v>
      </c>
      <c r="I34" s="244" t="s">
        <v>12</v>
      </c>
      <c r="J34" s="244" t="s">
        <v>12</v>
      </c>
      <c r="K34" s="263">
        <v>0</v>
      </c>
      <c r="L34" t="s">
        <v>12</v>
      </c>
    </row>
    <row r="35" spans="1:17" ht="7.9" customHeight="1">
      <c r="A35" s="242" t="s">
        <v>12</v>
      </c>
      <c r="B35" s="243"/>
      <c r="C35" s="244"/>
      <c r="D35" s="244"/>
      <c r="E35" s="244"/>
      <c r="F35" s="244">
        <f t="shared" si="3"/>
        <v>0</v>
      </c>
      <c r="G35" s="244"/>
      <c r="H35" s="244"/>
      <c r="I35" s="244" t="s">
        <v>12</v>
      </c>
      <c r="J35" s="244" t="s">
        <v>12</v>
      </c>
      <c r="K35" s="263" t="s">
        <v>12</v>
      </c>
      <c r="L35">
        <v>0</v>
      </c>
    </row>
    <row r="36" spans="1:17" ht="15">
      <c r="A36" s="253" t="s">
        <v>182</v>
      </c>
      <c r="B36" s="245">
        <f>+B39</f>
        <v>56905194</v>
      </c>
      <c r="C36" s="245">
        <f>+C39+C44</f>
        <v>26708941</v>
      </c>
      <c r="D36" s="245">
        <f>+D44+D39</f>
        <v>26708941</v>
      </c>
      <c r="E36" s="245">
        <f>+E39+E44</f>
        <v>161452.25</v>
      </c>
      <c r="F36" s="245">
        <f>+F39</f>
        <v>24333074.370000005</v>
      </c>
      <c r="G36" s="245">
        <f>+G39+G44</f>
        <v>12415214.580000002</v>
      </c>
      <c r="H36" s="245">
        <f>+H44+H39</f>
        <v>7031398.7400000002</v>
      </c>
      <c r="I36" s="245">
        <f>+D36-F36</f>
        <v>2375866.6299999952</v>
      </c>
      <c r="J36" s="245" t="e">
        <f>+#REF!-F36</f>
        <v>#REF!</v>
      </c>
      <c r="K36" s="264">
        <f>+F36/D36*100</f>
        <v>91.10460190091402</v>
      </c>
      <c r="L36" s="267">
        <f>12869150.13-1</f>
        <v>12869149.130000001</v>
      </c>
    </row>
    <row r="37" spans="1:17" ht="4.5" customHeight="1">
      <c r="A37" s="242"/>
      <c r="B37" s="243"/>
      <c r="C37" s="244"/>
      <c r="D37" s="254" t="s">
        <v>12</v>
      </c>
      <c r="E37" s="244" t="s">
        <v>12</v>
      </c>
      <c r="F37" s="244" t="s">
        <v>12</v>
      </c>
      <c r="G37" s="244" t="s">
        <v>12</v>
      </c>
      <c r="H37" s="244"/>
      <c r="I37" s="244"/>
      <c r="J37" s="244"/>
      <c r="K37" s="263" t="s">
        <v>12</v>
      </c>
      <c r="L37" t="s">
        <v>12</v>
      </c>
    </row>
    <row r="38" spans="1:17" ht="15.75" customHeight="1">
      <c r="A38" s="242"/>
      <c r="B38" s="243"/>
      <c r="C38" s="244"/>
      <c r="D38" s="254"/>
      <c r="E38" s="244"/>
      <c r="F38" s="244"/>
      <c r="G38" s="244"/>
      <c r="H38" s="244"/>
      <c r="I38" s="244"/>
      <c r="J38" s="244"/>
      <c r="K38" s="263"/>
    </row>
    <row r="39" spans="1:17" ht="13.5">
      <c r="A39" s="242" t="s">
        <v>183</v>
      </c>
      <c r="B39" s="243">
        <f>+B41+B42+B43</f>
        <v>56905194</v>
      </c>
      <c r="C39" s="244">
        <f t="shared" ref="C39:H39" si="4">+C41+C42+C43</f>
        <v>26708941</v>
      </c>
      <c r="D39" s="244">
        <f t="shared" si="4"/>
        <v>26708941</v>
      </c>
      <c r="E39" s="244">
        <f t="shared" si="4"/>
        <v>161452.25</v>
      </c>
      <c r="F39" s="244">
        <f t="shared" si="4"/>
        <v>24333074.370000005</v>
      </c>
      <c r="G39" s="244">
        <f t="shared" si="4"/>
        <v>12415214.580000002</v>
      </c>
      <c r="H39" s="244">
        <f t="shared" si="4"/>
        <v>7031398.7400000002</v>
      </c>
      <c r="I39" s="244">
        <f>+D39-F39</f>
        <v>2375866.6299999952</v>
      </c>
      <c r="J39" s="244" t="e">
        <f>+#REF!-F39</f>
        <v>#REF!</v>
      </c>
      <c r="K39" s="263">
        <f>+F39/D39*100</f>
        <v>91.10460190091402</v>
      </c>
      <c r="L39">
        <v>12869150.130000001</v>
      </c>
      <c r="N39" t="s">
        <v>12</v>
      </c>
    </row>
    <row r="40" spans="1:17" ht="6" customHeight="1">
      <c r="A40" s="242"/>
      <c r="B40" s="243"/>
      <c r="C40" s="244"/>
      <c r="D40" s="244"/>
      <c r="E40" s="244" t="s">
        <v>12</v>
      </c>
      <c r="F40" s="244" t="s">
        <v>12</v>
      </c>
      <c r="G40" s="244" t="s">
        <v>12</v>
      </c>
      <c r="H40" s="244"/>
      <c r="I40" s="244" t="s">
        <v>12</v>
      </c>
      <c r="J40" s="244" t="s">
        <v>12</v>
      </c>
      <c r="K40" s="263"/>
      <c r="L40" t="s">
        <v>12</v>
      </c>
    </row>
    <row r="41" spans="1:17" ht="18" customHeight="1">
      <c r="A41" s="242" t="s">
        <v>184</v>
      </c>
      <c r="B41" s="247">
        <f>+'C-A8A'!B8</f>
        <v>27799680</v>
      </c>
      <c r="C41" s="247">
        <f>+'C-A8A'!D8</f>
        <v>9855138</v>
      </c>
      <c r="D41" s="247">
        <f>+'C-A8A'!E8</f>
        <v>9855138</v>
      </c>
      <c r="E41" s="247">
        <f>+'C-A8A'!F8</f>
        <v>155135.10999999999</v>
      </c>
      <c r="F41" s="247">
        <f>+'C-A8A'!G8</f>
        <v>9139354.5100000016</v>
      </c>
      <c r="G41" s="247">
        <f>+'C-A8A'!H8</f>
        <v>1587647.3699999999</v>
      </c>
      <c r="H41" s="247">
        <f>+'C-A8A'!I8</f>
        <v>808972.49999999988</v>
      </c>
      <c r="I41" s="247">
        <f>+D41-F41</f>
        <v>715783.48999999836</v>
      </c>
      <c r="J41" s="247" t="e">
        <f>+#REF!-F41</f>
        <v>#REF!</v>
      </c>
      <c r="K41" s="265">
        <f>+F41/D41*100</f>
        <v>92.736951121333888</v>
      </c>
      <c r="L41" s="268">
        <v>12221531.41</v>
      </c>
      <c r="N41" s="1"/>
      <c r="O41" s="1"/>
      <c r="Q41" s="273"/>
    </row>
    <row r="42" spans="1:17" ht="18" customHeight="1">
      <c r="A42" s="242" t="s">
        <v>185</v>
      </c>
      <c r="B42" s="247">
        <f>+'C-A8A'!B16</f>
        <v>15761574</v>
      </c>
      <c r="C42" s="247">
        <f>+'C-A8A'!D16</f>
        <v>8644808</v>
      </c>
      <c r="D42" s="247">
        <f>+'C-A8A'!E16</f>
        <v>8644808</v>
      </c>
      <c r="E42" s="247">
        <f>+'C-A8A'!F16</f>
        <v>1496.66</v>
      </c>
      <c r="F42" s="247">
        <f>+'C-A8A'!G16</f>
        <v>8039639.5300000012</v>
      </c>
      <c r="G42" s="247">
        <f>+'C-A8A'!H16</f>
        <v>5530541.3600000013</v>
      </c>
      <c r="H42" s="247">
        <f>+'C-A8A'!I16</f>
        <v>4126832.5999999996</v>
      </c>
      <c r="I42" s="247">
        <f>+D42-F42</f>
        <v>605168.46999999881</v>
      </c>
      <c r="J42" s="247" t="e">
        <f>+#REF!-F42</f>
        <v>#REF!</v>
      </c>
      <c r="K42" s="265">
        <f>+F42/D42*100</f>
        <v>92.99963087670659</v>
      </c>
      <c r="L42" s="268">
        <v>647618.72</v>
      </c>
      <c r="N42" s="1"/>
      <c r="O42" s="1"/>
      <c r="Q42" s="273"/>
    </row>
    <row r="43" spans="1:17" ht="19.5" customHeight="1">
      <c r="A43" s="255" t="s">
        <v>186</v>
      </c>
      <c r="B43" s="256">
        <f>+'C-A8A'!B33</f>
        <v>13343940</v>
      </c>
      <c r="C43" s="256">
        <f>+'C-A8A'!D33</f>
        <v>8208995</v>
      </c>
      <c r="D43" s="256">
        <f>+'C-A8A'!E33</f>
        <v>8208995</v>
      </c>
      <c r="E43" s="256">
        <f>+'C-A8A'!F33</f>
        <v>4820.4799999999996</v>
      </c>
      <c r="F43" s="256">
        <f>+'C-A8A'!G33</f>
        <v>7154080.3300000001</v>
      </c>
      <c r="G43" s="256">
        <f>+'C-A8A'!H33</f>
        <v>5297025.8499999996</v>
      </c>
      <c r="H43" s="256">
        <f>+'C-A8A'!I33</f>
        <v>2095593.6400000001</v>
      </c>
      <c r="I43" s="269">
        <f>+D43-F43</f>
        <v>1054914.67</v>
      </c>
      <c r="J43" s="256" t="e">
        <f>+#REF!-F43</f>
        <v>#REF!</v>
      </c>
      <c r="K43" s="270">
        <f>+F43/D43*100</f>
        <v>87.14928356028966</v>
      </c>
      <c r="L43" s="268">
        <v>0</v>
      </c>
      <c r="N43" s="1"/>
      <c r="O43" s="1"/>
    </row>
    <row r="44" spans="1:17" ht="10.5" customHeight="1">
      <c r="A44" s="257"/>
      <c r="B44" s="257"/>
      <c r="C44" s="258"/>
      <c r="D44" s="258"/>
      <c r="E44" s="258"/>
      <c r="F44" s="258"/>
      <c r="G44" s="258"/>
      <c r="H44" s="259"/>
      <c r="I44" s="258"/>
      <c r="J44" s="258"/>
      <c r="K44" s="271"/>
      <c r="L44" t="s">
        <v>12</v>
      </c>
    </row>
    <row r="45" spans="1:17" ht="7.5" hidden="1" customHeight="1">
      <c r="A45" s="257"/>
      <c r="B45" s="257"/>
      <c r="C45" s="258"/>
      <c r="D45" s="258"/>
      <c r="E45" s="258"/>
      <c r="F45" s="258"/>
      <c r="G45" s="258"/>
      <c r="H45" s="259"/>
      <c r="I45" s="258"/>
      <c r="J45" s="258"/>
      <c r="K45" s="271"/>
      <c r="L45" t="s">
        <v>12</v>
      </c>
    </row>
    <row r="46" spans="1:17" ht="13.5" hidden="1">
      <c r="A46" s="257"/>
      <c r="B46" s="257"/>
      <c r="C46" s="258"/>
      <c r="D46" s="258"/>
      <c r="E46" s="258"/>
      <c r="F46" s="258"/>
      <c r="G46" s="258"/>
      <c r="H46" s="258"/>
      <c r="I46" s="258"/>
      <c r="J46" s="258"/>
      <c r="K46" s="271"/>
      <c r="L46" t="s">
        <v>12</v>
      </c>
    </row>
    <row r="47" spans="1:17" ht="13.5" hidden="1">
      <c r="A47" s="257"/>
      <c r="B47" s="257"/>
      <c r="C47" s="258"/>
      <c r="D47" s="258"/>
      <c r="E47" s="258"/>
      <c r="F47" s="258"/>
      <c r="G47" s="258"/>
      <c r="H47" s="258"/>
      <c r="I47" s="258"/>
      <c r="J47" s="258"/>
      <c r="K47" s="271"/>
      <c r="L47" t="s">
        <v>12</v>
      </c>
    </row>
    <row r="48" spans="1:17" ht="3.75" customHeight="1">
      <c r="A48" s="257"/>
      <c r="B48" s="257"/>
      <c r="C48" s="258"/>
      <c r="D48" s="258"/>
      <c r="E48" s="258"/>
      <c r="F48" s="258"/>
      <c r="G48" s="258"/>
      <c r="H48" s="258"/>
      <c r="I48" s="258"/>
      <c r="J48" s="258"/>
      <c r="K48" s="271"/>
      <c r="L48" t="s">
        <v>12</v>
      </c>
    </row>
    <row r="49" spans="1:12" ht="1.5" customHeight="1">
      <c r="A49" s="352"/>
      <c r="B49" s="352"/>
      <c r="C49" s="526"/>
      <c r="D49" s="527"/>
      <c r="E49" s="527"/>
      <c r="F49" s="527"/>
      <c r="G49" s="527"/>
      <c r="H49" s="527"/>
      <c r="I49" s="527"/>
      <c r="J49" s="527"/>
      <c r="K49" s="528"/>
      <c r="L49" t="s">
        <v>12</v>
      </c>
    </row>
    <row r="50" spans="1:12" ht="12" hidden="1" customHeight="1">
      <c r="A50" s="260"/>
      <c r="B50" s="260"/>
      <c r="C50" s="260"/>
      <c r="D50" s="111"/>
      <c r="E50" s="111"/>
      <c r="F50" s="113"/>
      <c r="G50" s="113"/>
      <c r="H50" s="111"/>
      <c r="I50" s="111"/>
      <c r="J50" s="113"/>
      <c r="K50" s="529"/>
    </row>
    <row r="51" spans="1:12">
      <c r="A51" s="685" t="s">
        <v>41</v>
      </c>
      <c r="B51" s="685"/>
      <c r="C51" s="6"/>
      <c r="D51" s="1"/>
      <c r="E51" s="1"/>
      <c r="F51" s="188"/>
      <c r="G51" s="188"/>
      <c r="H51" s="188"/>
      <c r="I51" s="188"/>
      <c r="J51" s="188"/>
      <c r="K51" s="3"/>
    </row>
    <row r="52" spans="1:12">
      <c r="A52" s="261" cm="1">
        <f t="array" aca="1" ref="A52" ca="1">A1:K52</f>
        <v>0</v>
      </c>
      <c r="B52" s="261"/>
      <c r="C52" s="261"/>
      <c r="D52" s="71"/>
      <c r="E52" s="71"/>
      <c r="F52" s="262"/>
      <c r="G52" s="262"/>
      <c r="H52" s="262"/>
      <c r="I52" s="262"/>
      <c r="J52" s="262"/>
      <c r="K52" s="272"/>
    </row>
    <row r="53" spans="1:12">
      <c r="A53" s="261" t="s">
        <v>12</v>
      </c>
      <c r="B53" s="261"/>
      <c r="C53" s="261"/>
      <c r="D53" s="71"/>
      <c r="E53" s="71"/>
      <c r="F53" s="262"/>
      <c r="G53" s="262"/>
      <c r="H53" s="262"/>
      <c r="I53" s="262"/>
      <c r="J53" s="262"/>
      <c r="K53" s="272"/>
    </row>
    <row r="54" spans="1:12">
      <c r="A54" s="261" t="s">
        <v>12</v>
      </c>
      <c r="B54" s="261"/>
      <c r="C54" s="261"/>
      <c r="D54" s="158"/>
      <c r="E54" s="158"/>
      <c r="F54" s="158"/>
      <c r="G54" s="158"/>
      <c r="H54" s="158"/>
      <c r="I54" s="158"/>
      <c r="J54" s="158"/>
      <c r="K54" s="272"/>
    </row>
    <row r="55" spans="1:12">
      <c r="A55" s="261" t="s">
        <v>12</v>
      </c>
      <c r="B55" s="261"/>
      <c r="C55" s="261"/>
      <c r="D55" s="158"/>
      <c r="E55" s="158"/>
      <c r="F55" s="158"/>
      <c r="G55" s="158"/>
      <c r="H55" s="158"/>
      <c r="I55" s="158"/>
      <c r="J55" s="158"/>
      <c r="K55" s="272"/>
    </row>
    <row r="56" spans="1:12">
      <c r="A56" s="261" t="s">
        <v>12</v>
      </c>
      <c r="B56" s="261"/>
      <c r="C56" s="261"/>
      <c r="D56" s="158"/>
      <c r="E56" s="158"/>
      <c r="F56" s="158"/>
      <c r="G56" s="158"/>
      <c r="H56" s="158"/>
      <c r="I56" s="158"/>
      <c r="J56" s="158"/>
      <c r="K56" s="272"/>
    </row>
    <row r="57" spans="1:12">
      <c r="A57" s="261" t="s">
        <v>12</v>
      </c>
      <c r="B57" s="261"/>
      <c r="C57" s="261"/>
      <c r="D57" s="158"/>
      <c r="E57" s="158"/>
      <c r="F57" s="158"/>
      <c r="G57" s="158"/>
      <c r="H57" s="158"/>
      <c r="I57" s="158"/>
      <c r="J57" s="158"/>
      <c r="K57" s="272"/>
    </row>
    <row r="58" spans="1:12">
      <c r="A58" s="261" t="s">
        <v>12</v>
      </c>
      <c r="B58" s="261"/>
      <c r="C58" s="261"/>
      <c r="D58" s="158"/>
      <c r="E58" s="158"/>
      <c r="F58" s="158"/>
      <c r="G58" s="158"/>
      <c r="H58" s="158"/>
      <c r="I58" s="158"/>
      <c r="J58" s="158"/>
      <c r="K58" s="272"/>
    </row>
    <row r="59" spans="1:12">
      <c r="A59" s="261" t="s">
        <v>12</v>
      </c>
      <c r="B59" s="261"/>
      <c r="C59" s="261"/>
      <c r="D59" s="158"/>
      <c r="E59" s="158"/>
      <c r="F59" s="158"/>
      <c r="G59" s="158"/>
      <c r="H59" s="158"/>
      <c r="I59" s="158"/>
      <c r="J59" s="158"/>
      <c r="K59" s="272"/>
    </row>
    <row r="60" spans="1:12" ht="74.25" customHeight="1">
      <c r="A60" s="261" t="s">
        <v>12</v>
      </c>
      <c r="B60" s="261"/>
      <c r="C60" s="261"/>
      <c r="D60" s="158"/>
      <c r="E60" s="158"/>
      <c r="F60" s="158"/>
      <c r="G60" s="158"/>
      <c r="H60" s="158"/>
      <c r="I60" s="158"/>
      <c r="J60" s="158"/>
      <c r="K60" s="272"/>
    </row>
    <row r="61" spans="1:12">
      <c r="A61" s="4" t="s">
        <v>12</v>
      </c>
      <c r="D61" s="158"/>
      <c r="E61" s="158"/>
      <c r="F61" s="158"/>
      <c r="G61" s="158"/>
      <c r="H61" s="158"/>
      <c r="I61" s="158"/>
      <c r="J61" s="158"/>
      <c r="K61" s="272"/>
    </row>
    <row r="62" spans="1:12">
      <c r="D62" s="158"/>
      <c r="E62" s="158"/>
      <c r="F62" s="158"/>
      <c r="G62" s="158"/>
      <c r="H62" s="158"/>
      <c r="I62" s="158"/>
      <c r="J62" s="158"/>
      <c r="K62" s="272"/>
    </row>
    <row r="63" spans="1:12">
      <c r="A63" s="4" t="s">
        <v>12</v>
      </c>
      <c r="D63" s="158"/>
      <c r="E63" s="158"/>
      <c r="F63" s="158"/>
      <c r="G63" s="158"/>
      <c r="H63" s="158"/>
      <c r="I63" s="158"/>
      <c r="J63" s="158"/>
      <c r="K63" s="272"/>
    </row>
    <row r="64" spans="1:12">
      <c r="A64" s="4" t="s">
        <v>12</v>
      </c>
      <c r="D64" s="158"/>
      <c r="E64" s="158"/>
      <c r="F64" s="158"/>
      <c r="G64" s="158"/>
      <c r="H64" s="158"/>
      <c r="I64" s="158"/>
      <c r="J64" s="158"/>
      <c r="K64" s="272"/>
    </row>
    <row r="65" spans="4:11">
      <c r="D65" s="158"/>
      <c r="E65" s="158"/>
      <c r="F65" s="158"/>
      <c r="G65" s="158"/>
      <c r="H65" s="158"/>
      <c r="I65" s="158"/>
      <c r="J65" s="158"/>
      <c r="K65" s="272"/>
    </row>
    <row r="66" spans="4:11">
      <c r="D66" s="158"/>
      <c r="E66" s="158"/>
      <c r="F66" s="158"/>
      <c r="G66" s="158"/>
      <c r="H66" s="158"/>
      <c r="I66" s="158"/>
      <c r="J66" s="158"/>
      <c r="K66" s="272"/>
    </row>
    <row r="67" spans="4:11">
      <c r="D67" s="158"/>
      <c r="E67" s="158"/>
      <c r="F67" s="158"/>
      <c r="G67" s="158"/>
      <c r="H67" s="158"/>
      <c r="I67" s="158"/>
      <c r="J67" s="158"/>
      <c r="K67" s="272"/>
    </row>
    <row r="68" spans="4:11">
      <c r="D68" s="158"/>
      <c r="E68" s="158"/>
      <c r="F68" s="158"/>
      <c r="G68" s="158"/>
      <c r="H68" s="158"/>
      <c r="I68" s="158"/>
      <c r="J68" s="158"/>
      <c r="K68" s="272"/>
    </row>
    <row r="69" spans="4:11">
      <c r="D69" s="158"/>
      <c r="E69" s="158"/>
      <c r="F69" s="158"/>
      <c r="G69" s="158"/>
      <c r="H69" s="158"/>
      <c r="I69" s="158"/>
      <c r="J69" s="158"/>
      <c r="K69" s="272"/>
    </row>
    <row r="70" spans="4:11">
      <c r="D70" s="158"/>
      <c r="E70" s="158"/>
      <c r="F70" s="158"/>
      <c r="G70" s="158"/>
      <c r="H70" s="158"/>
      <c r="I70" s="158"/>
      <c r="J70" s="158"/>
      <c r="K70" s="272"/>
    </row>
    <row r="71" spans="4:11">
      <c r="D71" s="158"/>
      <c r="E71" s="158"/>
      <c r="F71" s="158"/>
      <c r="G71" s="158"/>
      <c r="H71" s="158"/>
      <c r="I71" s="158"/>
      <c r="J71" s="158"/>
      <c r="K71" s="272"/>
    </row>
    <row r="72" spans="4:11">
      <c r="D72" s="158"/>
      <c r="E72" s="158"/>
      <c r="F72" s="158"/>
      <c r="G72" s="158"/>
      <c r="H72" s="158"/>
      <c r="I72" s="158"/>
      <c r="J72" s="158"/>
      <c r="K72" s="272"/>
    </row>
    <row r="73" spans="4:11">
      <c r="D73" s="158"/>
      <c r="E73" s="158"/>
      <c r="F73" s="158"/>
      <c r="G73" s="158"/>
      <c r="H73" s="158"/>
      <c r="I73" s="158"/>
      <c r="J73" s="158"/>
      <c r="K73" s="272"/>
    </row>
    <row r="74" spans="4:11">
      <c r="D74" s="158"/>
      <c r="E74" s="158"/>
      <c r="F74" s="158"/>
      <c r="G74" s="158"/>
      <c r="H74" s="158"/>
      <c r="I74" s="158"/>
      <c r="J74" s="158"/>
      <c r="K74" s="272"/>
    </row>
    <row r="75" spans="4:11">
      <c r="D75" s="158"/>
      <c r="E75" s="158"/>
      <c r="F75" s="158"/>
      <c r="G75" s="158"/>
      <c r="H75" s="158"/>
      <c r="I75" s="158"/>
      <c r="J75" s="158"/>
      <c r="K75" s="272"/>
    </row>
    <row r="76" spans="4:11">
      <c r="D76" s="158"/>
      <c r="E76" s="158"/>
      <c r="F76" s="158"/>
      <c r="G76" s="158"/>
      <c r="H76" s="158"/>
      <c r="I76" s="158"/>
      <c r="J76" s="158"/>
      <c r="K76" s="272"/>
    </row>
    <row r="77" spans="4:11">
      <c r="D77" s="158"/>
      <c r="E77" s="158"/>
      <c r="F77" s="158"/>
      <c r="G77" s="158"/>
      <c r="H77" s="158"/>
      <c r="I77" s="158"/>
      <c r="J77" s="158"/>
      <c r="K77" s="272"/>
    </row>
    <row r="78" spans="4:11">
      <c r="D78" s="158"/>
      <c r="E78" s="158"/>
      <c r="F78" s="158"/>
      <c r="G78" s="158"/>
      <c r="H78" s="158"/>
      <c r="I78" s="158"/>
      <c r="J78" s="158"/>
      <c r="K78" s="272"/>
    </row>
    <row r="79" spans="4:11">
      <c r="D79" s="158"/>
      <c r="E79" s="158"/>
      <c r="F79" s="158"/>
      <c r="G79" s="158"/>
      <c r="H79" s="158"/>
      <c r="I79" s="158"/>
      <c r="J79" s="158"/>
      <c r="K79" s="272"/>
    </row>
    <row r="80" spans="4:11">
      <c r="D80" s="158"/>
      <c r="E80" s="158"/>
      <c r="F80" s="158"/>
      <c r="G80" s="158"/>
      <c r="H80" s="158"/>
      <c r="I80" s="158"/>
      <c r="J80" s="158"/>
      <c r="K80" s="272"/>
    </row>
    <row r="81" spans="4:11">
      <c r="D81" s="158"/>
      <c r="E81" s="158"/>
      <c r="F81" s="158"/>
      <c r="G81" s="158"/>
      <c r="H81" s="158"/>
      <c r="I81" s="158"/>
      <c r="J81" s="158"/>
      <c r="K81" s="272"/>
    </row>
    <row r="82" spans="4:11">
      <c r="D82" s="158"/>
      <c r="E82" s="158"/>
      <c r="F82" s="158"/>
      <c r="G82" s="158"/>
      <c r="H82" s="158"/>
      <c r="I82" s="158"/>
      <c r="J82" s="158"/>
      <c r="K82" s="272"/>
    </row>
    <row r="83" spans="4:11">
      <c r="D83" s="158"/>
      <c r="E83" s="158"/>
      <c r="F83" s="158"/>
      <c r="G83" s="158"/>
      <c r="H83" s="158"/>
      <c r="I83" s="158"/>
      <c r="J83" s="158"/>
      <c r="K83" s="272"/>
    </row>
    <row r="84" spans="4:11">
      <c r="D84" s="158"/>
      <c r="E84" s="158"/>
      <c r="F84" s="158"/>
      <c r="G84" s="158"/>
      <c r="H84" s="158"/>
      <c r="I84" s="158"/>
      <c r="J84" s="158"/>
      <c r="K84" s="272"/>
    </row>
    <row r="85" spans="4:11">
      <c r="D85" s="158"/>
      <c r="E85" s="158"/>
      <c r="F85" s="158"/>
      <c r="G85" s="158"/>
      <c r="H85" s="158"/>
      <c r="I85" s="158"/>
      <c r="J85" s="158"/>
      <c r="K85" s="272"/>
    </row>
    <row r="86" spans="4:11">
      <c r="D86" s="158"/>
      <c r="E86" s="158"/>
      <c r="F86" s="158"/>
      <c r="G86" s="158"/>
      <c r="H86" s="158"/>
      <c r="I86" s="158"/>
      <c r="J86" s="158"/>
      <c r="K86" s="272"/>
    </row>
    <row r="87" spans="4:11">
      <c r="D87" s="158"/>
      <c r="E87" s="158"/>
      <c r="F87" s="158"/>
      <c r="G87" s="158"/>
      <c r="H87" s="158"/>
      <c r="I87" s="158"/>
      <c r="J87" s="158"/>
      <c r="K87" s="272"/>
    </row>
    <row r="88" spans="4:11">
      <c r="D88" s="158"/>
      <c r="E88" s="158"/>
      <c r="F88" s="158"/>
      <c r="G88" s="158"/>
      <c r="H88" s="158"/>
      <c r="I88" s="158"/>
      <c r="J88" s="158"/>
      <c r="K88" s="272"/>
    </row>
    <row r="89" spans="4:11">
      <c r="D89" s="158"/>
      <c r="E89" s="158"/>
      <c r="F89" s="158"/>
      <c r="G89" s="158"/>
      <c r="H89" s="158"/>
      <c r="I89" s="158"/>
      <c r="J89" s="158"/>
      <c r="K89" s="272"/>
    </row>
    <row r="90" spans="4:11">
      <c r="D90" s="158"/>
      <c r="E90" s="158"/>
      <c r="F90" s="158"/>
      <c r="G90" s="158"/>
      <c r="H90" s="158"/>
      <c r="I90" s="158"/>
      <c r="J90" s="158"/>
      <c r="K90" s="272"/>
    </row>
    <row r="91" spans="4:11">
      <c r="D91" s="158"/>
      <c r="E91" s="158"/>
      <c r="F91" s="158"/>
      <c r="G91" s="158"/>
      <c r="H91" s="158"/>
      <c r="I91" s="158"/>
      <c r="J91" s="158"/>
      <c r="K91" s="272"/>
    </row>
    <row r="92" spans="4:11">
      <c r="D92" s="158"/>
      <c r="E92" s="158"/>
      <c r="F92" s="158"/>
      <c r="G92" s="158"/>
      <c r="H92" s="158"/>
      <c r="I92" s="158"/>
      <c r="J92" s="158"/>
      <c r="K92" s="272"/>
    </row>
    <row r="93" spans="4:11">
      <c r="D93" s="158"/>
      <c r="E93" s="158"/>
      <c r="F93" s="158"/>
      <c r="G93" s="158"/>
      <c r="H93" s="158"/>
      <c r="I93" s="158"/>
      <c r="J93" s="158"/>
      <c r="K93" s="272"/>
    </row>
    <row r="94" spans="4:11">
      <c r="D94" s="158"/>
      <c r="E94" s="158"/>
      <c r="F94" s="158"/>
      <c r="G94" s="158"/>
      <c r="H94" s="158"/>
      <c r="I94" s="158"/>
      <c r="J94" s="158"/>
      <c r="K94" s="272"/>
    </row>
    <row r="95" spans="4:11">
      <c r="D95" s="158"/>
      <c r="E95" s="158"/>
      <c r="F95" s="158"/>
      <c r="G95" s="158"/>
      <c r="H95" s="158"/>
      <c r="I95" s="158"/>
      <c r="J95" s="158"/>
      <c r="K95" s="272"/>
    </row>
    <row r="96" spans="4:11">
      <c r="D96" s="158"/>
      <c r="E96" s="158"/>
      <c r="F96" s="158"/>
      <c r="G96" s="158"/>
      <c r="H96" s="158"/>
      <c r="I96" s="158"/>
      <c r="J96" s="158"/>
      <c r="K96" s="272"/>
    </row>
    <row r="97" spans="4:11">
      <c r="D97" s="158"/>
      <c r="E97" s="158"/>
      <c r="F97" s="158"/>
      <c r="G97" s="158"/>
      <c r="H97" s="158"/>
      <c r="I97" s="158"/>
      <c r="J97" s="158"/>
      <c r="K97" s="272"/>
    </row>
    <row r="98" spans="4:11">
      <c r="D98" s="158"/>
      <c r="E98" s="158"/>
      <c r="F98" s="158"/>
      <c r="G98" s="158"/>
      <c r="H98" s="158"/>
      <c r="I98" s="158"/>
      <c r="J98" s="158"/>
      <c r="K98" s="272"/>
    </row>
    <row r="99" spans="4:11">
      <c r="D99" s="158"/>
      <c r="E99" s="158"/>
      <c r="F99" s="158"/>
      <c r="G99" s="158"/>
      <c r="H99" s="158"/>
      <c r="I99" s="158"/>
      <c r="J99" s="158"/>
      <c r="K99" s="272"/>
    </row>
    <row r="100" spans="4:11">
      <c r="D100" s="158"/>
      <c r="E100" s="158"/>
      <c r="F100" s="158"/>
      <c r="G100" s="158"/>
      <c r="H100" s="158"/>
      <c r="I100" s="158"/>
      <c r="J100" s="158"/>
      <c r="K100" s="272"/>
    </row>
    <row r="101" spans="4:11">
      <c r="D101" s="158"/>
      <c r="E101" s="158"/>
      <c r="F101" s="158"/>
      <c r="G101" s="158"/>
      <c r="H101" s="158"/>
      <c r="I101" s="158"/>
      <c r="J101" s="158"/>
      <c r="K101" s="272"/>
    </row>
    <row r="102" spans="4:11">
      <c r="D102" s="158"/>
      <c r="E102" s="158"/>
      <c r="F102" s="158"/>
      <c r="G102" s="158"/>
      <c r="H102" s="158"/>
      <c r="I102" s="158"/>
      <c r="J102" s="158"/>
      <c r="K102" s="272"/>
    </row>
    <row r="103" spans="4:11">
      <c r="D103" s="158"/>
      <c r="E103" s="158"/>
      <c r="F103" s="158"/>
      <c r="G103" s="158"/>
      <c r="H103" s="158"/>
      <c r="I103" s="158"/>
      <c r="J103" s="158"/>
      <c r="K103" s="272"/>
    </row>
    <row r="104" spans="4:11">
      <c r="D104" s="158"/>
      <c r="E104" s="158"/>
      <c r="F104" s="158"/>
      <c r="G104" s="158"/>
      <c r="H104" s="158"/>
      <c r="I104" s="158"/>
      <c r="J104" s="158"/>
      <c r="K104" s="272"/>
    </row>
    <row r="105" spans="4:11">
      <c r="D105" s="158"/>
      <c r="E105" s="158"/>
      <c r="F105" s="158"/>
      <c r="G105" s="158"/>
      <c r="H105" s="158"/>
      <c r="I105" s="158"/>
      <c r="J105" s="158"/>
      <c r="K105" s="272"/>
    </row>
    <row r="106" spans="4:11">
      <c r="D106" s="158"/>
      <c r="E106" s="158"/>
      <c r="F106" s="158"/>
      <c r="G106" s="158"/>
      <c r="H106" s="158"/>
      <c r="I106" s="158"/>
      <c r="J106" s="158"/>
      <c r="K106" s="272"/>
    </row>
    <row r="107" spans="4:11">
      <c r="D107" s="158"/>
      <c r="E107" s="158"/>
      <c r="F107" s="158"/>
      <c r="G107" s="158"/>
      <c r="H107" s="158"/>
      <c r="I107" s="158"/>
      <c r="J107" s="158"/>
      <c r="K107" s="272"/>
    </row>
    <row r="108" spans="4:11">
      <c r="D108" s="158"/>
      <c r="E108" s="158"/>
      <c r="F108" s="158"/>
      <c r="G108" s="158"/>
      <c r="H108" s="158"/>
      <c r="I108" s="158"/>
      <c r="J108" s="158"/>
      <c r="K108" s="272"/>
    </row>
    <row r="109" spans="4:11">
      <c r="D109" s="158"/>
      <c r="E109" s="158"/>
      <c r="F109" s="158"/>
      <c r="G109" s="158"/>
      <c r="H109" s="158"/>
      <c r="I109" s="158"/>
      <c r="J109" s="158"/>
      <c r="K109" s="272"/>
    </row>
    <row r="110" spans="4:11">
      <c r="D110" s="158"/>
      <c r="E110" s="158"/>
      <c r="F110" s="158"/>
      <c r="G110" s="158"/>
      <c r="H110" s="158"/>
      <c r="I110" s="158"/>
      <c r="J110" s="158"/>
      <c r="K110" s="272"/>
    </row>
    <row r="111" spans="4:11">
      <c r="D111" s="158"/>
      <c r="E111" s="158"/>
      <c r="F111" s="158"/>
      <c r="G111" s="158"/>
      <c r="H111" s="158"/>
      <c r="I111" s="158"/>
      <c r="J111" s="158"/>
      <c r="K111" s="272"/>
    </row>
    <row r="112" spans="4:11">
      <c r="D112" s="158"/>
      <c r="E112" s="158"/>
      <c r="F112" s="158"/>
      <c r="G112" s="158"/>
      <c r="H112" s="158"/>
      <c r="I112" s="158"/>
      <c r="J112" s="158"/>
      <c r="K112" s="272"/>
    </row>
    <row r="113" spans="4:11">
      <c r="D113" s="158"/>
      <c r="E113" s="158"/>
      <c r="F113" s="158"/>
      <c r="G113" s="158"/>
      <c r="H113" s="158"/>
      <c r="I113" s="158"/>
      <c r="J113" s="158"/>
      <c r="K113" s="272"/>
    </row>
    <row r="114" spans="4:11">
      <c r="D114" s="158"/>
      <c r="E114" s="158"/>
      <c r="F114" s="158"/>
      <c r="G114" s="158"/>
      <c r="H114" s="158"/>
      <c r="I114" s="158"/>
      <c r="J114" s="158"/>
      <c r="K114" s="272"/>
    </row>
    <row r="115" spans="4:11">
      <c r="D115" s="158"/>
      <c r="E115" s="158"/>
      <c r="F115" s="158"/>
      <c r="G115" s="158"/>
      <c r="H115" s="158"/>
      <c r="I115" s="158"/>
      <c r="J115" s="158"/>
      <c r="K115" s="272"/>
    </row>
    <row r="116" spans="4:11">
      <c r="D116" s="158"/>
      <c r="E116" s="158"/>
      <c r="F116" s="158"/>
      <c r="G116" s="158"/>
      <c r="H116" s="158"/>
      <c r="I116" s="158"/>
      <c r="J116" s="158"/>
      <c r="K116" s="272"/>
    </row>
    <row r="117" spans="4:11">
      <c r="D117" s="158"/>
      <c r="E117" s="158"/>
      <c r="F117" s="158"/>
      <c r="G117" s="158"/>
      <c r="H117" s="158"/>
      <c r="I117" s="158"/>
      <c r="J117" s="158"/>
      <c r="K117" s="272"/>
    </row>
    <row r="118" spans="4:11">
      <c r="D118" s="158"/>
      <c r="E118" s="158"/>
      <c r="F118" s="158"/>
      <c r="G118" s="158"/>
      <c r="H118" s="158"/>
      <c r="I118" s="158"/>
      <c r="J118" s="158"/>
      <c r="K118" s="272"/>
    </row>
    <row r="119" spans="4:11">
      <c r="D119" s="158"/>
      <c r="E119" s="158"/>
      <c r="F119" s="158"/>
      <c r="G119" s="158"/>
      <c r="H119" s="158"/>
      <c r="I119" s="158"/>
      <c r="J119" s="158"/>
      <c r="K119" s="272"/>
    </row>
    <row r="120" spans="4:11">
      <c r="K120" s="272"/>
    </row>
    <row r="121" spans="4:11">
      <c r="K121" s="272"/>
    </row>
    <row r="122" spans="4:11">
      <c r="K122" s="272"/>
    </row>
    <row r="123" spans="4:11">
      <c r="K123" s="272"/>
    </row>
    <row r="124" spans="4:11">
      <c r="K124" s="272"/>
    </row>
    <row r="125" spans="4:11">
      <c r="K125" s="272"/>
    </row>
    <row r="126" spans="4:11">
      <c r="K126" s="272"/>
    </row>
    <row r="127" spans="4:11">
      <c r="K127" s="272"/>
    </row>
    <row r="128" spans="4:11">
      <c r="K128" s="272"/>
    </row>
    <row r="129" spans="11:11">
      <c r="K129" s="272"/>
    </row>
    <row r="130" spans="11:11">
      <c r="K130" s="272"/>
    </row>
    <row r="131" spans="11:11">
      <c r="K131" s="272"/>
    </row>
    <row r="132" spans="11:11">
      <c r="K132" s="272"/>
    </row>
    <row r="133" spans="11:11">
      <c r="K133" s="272"/>
    </row>
    <row r="134" spans="11:11">
      <c r="K134" s="272"/>
    </row>
    <row r="135" spans="11:11">
      <c r="K135" s="272"/>
    </row>
    <row r="136" spans="11:11">
      <c r="K136" s="272"/>
    </row>
    <row r="137" spans="11:11">
      <c r="K137" s="272"/>
    </row>
    <row r="138" spans="11:11">
      <c r="K138" s="272"/>
    </row>
    <row r="139" spans="11:11">
      <c r="K139" s="272"/>
    </row>
    <row r="140" spans="11:11">
      <c r="K140" s="272"/>
    </row>
    <row r="141" spans="11:11">
      <c r="K141" s="272"/>
    </row>
    <row r="142" spans="11:11">
      <c r="K142" s="272"/>
    </row>
    <row r="143" spans="11:11">
      <c r="K143" s="272"/>
    </row>
    <row r="144" spans="11:11">
      <c r="K144" s="272"/>
    </row>
    <row r="145" spans="11:11">
      <c r="K145" s="272"/>
    </row>
    <row r="146" spans="11:11">
      <c r="K146" s="272"/>
    </row>
    <row r="147" spans="11:11">
      <c r="K147" s="272"/>
    </row>
    <row r="148" spans="11:11">
      <c r="K148" s="272"/>
    </row>
    <row r="149" spans="11:11">
      <c r="K149" s="272"/>
    </row>
    <row r="150" spans="11:11">
      <c r="K150" s="272"/>
    </row>
    <row r="151" spans="11:11">
      <c r="K151" s="272"/>
    </row>
    <row r="152" spans="11:11">
      <c r="K152" s="272"/>
    </row>
    <row r="153" spans="11:11">
      <c r="K153" s="272"/>
    </row>
    <row r="154" spans="11:11">
      <c r="K154" s="272"/>
    </row>
    <row r="155" spans="11:11">
      <c r="K155" s="272"/>
    </row>
    <row r="156" spans="11:11">
      <c r="K156" s="272"/>
    </row>
    <row r="157" spans="11:11">
      <c r="K157" s="272"/>
    </row>
    <row r="158" spans="11:11">
      <c r="K158" s="272"/>
    </row>
    <row r="159" spans="11:11">
      <c r="K159" s="272"/>
    </row>
    <row r="160" spans="11:11">
      <c r="K160" s="272"/>
    </row>
    <row r="161" spans="11:11">
      <c r="K161" s="272"/>
    </row>
    <row r="162" spans="11:11">
      <c r="K162" s="272"/>
    </row>
    <row r="163" spans="11:11">
      <c r="K163" s="272"/>
    </row>
    <row r="164" spans="11:11">
      <c r="K164" s="272"/>
    </row>
    <row r="165" spans="11:11">
      <c r="K165" s="272"/>
    </row>
    <row r="166" spans="11:11">
      <c r="K166" s="272"/>
    </row>
    <row r="167" spans="11:11">
      <c r="K167" s="272"/>
    </row>
    <row r="168" spans="11:11">
      <c r="K168" s="272"/>
    </row>
    <row r="169" spans="11:11">
      <c r="K169" s="272"/>
    </row>
    <row r="170" spans="11:11">
      <c r="K170" s="272"/>
    </row>
    <row r="171" spans="11:11">
      <c r="K171" s="272"/>
    </row>
    <row r="172" spans="11:11">
      <c r="K172" s="272"/>
    </row>
    <row r="173" spans="11:11">
      <c r="K173" s="272"/>
    </row>
    <row r="174" spans="11:11">
      <c r="K174" s="272"/>
    </row>
    <row r="175" spans="11:11">
      <c r="K175" s="272"/>
    </row>
    <row r="176" spans="11:11">
      <c r="K176" s="272"/>
    </row>
    <row r="177" spans="11:11">
      <c r="K177" s="272"/>
    </row>
    <row r="178" spans="11:11">
      <c r="K178" s="272"/>
    </row>
    <row r="179" spans="11:11">
      <c r="K179" s="272"/>
    </row>
  </sheetData>
  <mergeCells count="9">
    <mergeCell ref="A51:B51"/>
    <mergeCell ref="A7:A8"/>
    <mergeCell ref="K7:K8"/>
    <mergeCell ref="I7:J8"/>
    <mergeCell ref="A2:K2"/>
    <mergeCell ref="A3:K3"/>
    <mergeCell ref="A4:K4"/>
    <mergeCell ref="A5:K5"/>
    <mergeCell ref="B7:H7"/>
  </mergeCells>
  <pageMargins left="0.196850393700787" right="7.8740157480315001E-2" top="0.98425196850393704" bottom="0.78740157480314998" header="0.511811023622047" footer="0.511811023622047"/>
  <pageSetup paperSize="5" scale="75" firstPageNumber="0" orientation="portrait" useFirstPageNumber="1" r:id="rId1"/>
  <headerFooter alignWithMargins="0"/>
  <ignoredErrors>
    <ignoredError sqref="D9 F36 D36 F9:F1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7">
    <tabColor theme="8" tint="0.59999389629810485"/>
  </sheetPr>
  <dimension ref="A1:V201"/>
  <sheetViews>
    <sheetView showGridLines="0" showZeros="0" topLeftCell="A164" zoomScale="124" zoomScaleNormal="124" workbookViewId="0">
      <selection activeCell="H182" sqref="H182"/>
    </sheetView>
  </sheetViews>
  <sheetFormatPr baseColWidth="10" defaultColWidth="11.42578125" defaultRowHeight="12.75"/>
  <cols>
    <col min="1" max="1" width="4.85546875" style="157" customWidth="1"/>
    <col min="2" max="2" width="33.42578125" style="157" customWidth="1"/>
    <col min="3" max="3" width="11.42578125" style="157" customWidth="1"/>
    <col min="4" max="4" width="12.7109375" style="157" hidden="1" customWidth="1"/>
    <col min="5" max="5" width="14" style="157" customWidth="1"/>
    <col min="6" max="6" width="14.42578125" style="157" customWidth="1"/>
    <col min="7" max="7" width="12.42578125" style="157" customWidth="1"/>
    <col min="8" max="8" width="14.28515625" style="157" customWidth="1"/>
    <col min="9" max="9" width="12.85546875" style="157" customWidth="1"/>
    <col min="10" max="10" width="14.140625" style="157" customWidth="1"/>
    <col min="11" max="11" width="11.140625" style="157" customWidth="1"/>
    <col min="12" max="12" width="6.85546875" style="157" hidden="1" customWidth="1"/>
    <col min="13" max="13" width="13.28515625" style="157" customWidth="1"/>
    <col min="14" max="14" width="5.140625" hidden="1" customWidth="1"/>
    <col min="15" max="15" width="15.7109375" customWidth="1"/>
    <col min="16" max="16" width="12.5703125" customWidth="1"/>
    <col min="17" max="17" width="13.140625" customWidth="1"/>
    <col min="18" max="18" width="12.140625" bestFit="1" customWidth="1"/>
  </cols>
  <sheetData>
    <row r="1" spans="1:18" hidden="1"/>
    <row r="2" spans="1:18" ht="15.75">
      <c r="A2" s="645" t="s">
        <v>60</v>
      </c>
      <c r="B2" s="645"/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645"/>
    </row>
    <row r="3" spans="1:18" ht="15.75">
      <c r="A3" s="645" t="s">
        <v>61</v>
      </c>
      <c r="B3" s="645"/>
      <c r="C3" s="645"/>
      <c r="D3" s="645"/>
      <c r="E3" s="645"/>
      <c r="F3" s="645"/>
      <c r="G3" s="645"/>
      <c r="H3" s="645"/>
      <c r="I3" s="645"/>
      <c r="J3" s="645"/>
      <c r="K3" s="645"/>
      <c r="L3" s="645"/>
      <c r="M3" s="645"/>
    </row>
    <row r="4" spans="1:18" ht="15">
      <c r="A4" s="646" t="s">
        <v>187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Q4" t="s">
        <v>12</v>
      </c>
    </row>
    <row r="5" spans="1:18" ht="15">
      <c r="A5" s="646" t="s">
        <v>534</v>
      </c>
      <c r="B5" s="646"/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</row>
    <row r="6" spans="1:18" ht="6.75" customHeight="1">
      <c r="A6" s="158"/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</row>
    <row r="7" spans="1:18" ht="0.75" customHeight="1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</row>
    <row r="8" spans="1:18" ht="12.75" customHeight="1">
      <c r="A8" s="705" t="s">
        <v>188</v>
      </c>
      <c r="B8" s="708" t="s">
        <v>0</v>
      </c>
      <c r="C8" s="695" t="s">
        <v>50</v>
      </c>
      <c r="D8" s="695"/>
      <c r="E8" s="695"/>
      <c r="F8" s="695"/>
      <c r="G8" s="697" t="s">
        <v>189</v>
      </c>
      <c r="H8" s="697"/>
      <c r="I8" s="711" t="s">
        <v>190</v>
      </c>
      <c r="J8" s="697" t="s">
        <v>191</v>
      </c>
      <c r="K8" s="699" t="s">
        <v>42</v>
      </c>
      <c r="L8" s="700"/>
      <c r="M8" s="716" t="s">
        <v>192</v>
      </c>
      <c r="O8" s="694" t="s">
        <v>193</v>
      </c>
    </row>
    <row r="9" spans="1:18" ht="4.5" customHeight="1">
      <c r="A9" s="706"/>
      <c r="B9" s="709"/>
      <c r="C9" s="696"/>
      <c r="D9" s="696"/>
      <c r="E9" s="696"/>
      <c r="F9" s="696"/>
      <c r="G9" s="698"/>
      <c r="H9" s="698"/>
      <c r="I9" s="712"/>
      <c r="J9" s="714"/>
      <c r="K9" s="701"/>
      <c r="L9" s="702"/>
      <c r="M9" s="717"/>
      <c r="O9" s="694"/>
    </row>
    <row r="10" spans="1:18" ht="23.25" customHeight="1">
      <c r="A10" s="707"/>
      <c r="B10" s="710"/>
      <c r="C10" s="159" t="s">
        <v>2</v>
      </c>
      <c r="D10" s="159" t="s">
        <v>536</v>
      </c>
      <c r="E10" s="159" t="s">
        <v>3</v>
      </c>
      <c r="F10" s="159" t="s">
        <v>25</v>
      </c>
      <c r="G10" s="160" t="s">
        <v>66</v>
      </c>
      <c r="H10" s="160" t="s">
        <v>118</v>
      </c>
      <c r="I10" s="713"/>
      <c r="J10" s="715"/>
      <c r="K10" s="703"/>
      <c r="L10" s="704"/>
      <c r="M10" s="718"/>
      <c r="O10" s="694"/>
    </row>
    <row r="11" spans="1:18" ht="19.5" customHeight="1">
      <c r="A11" s="161" t="s">
        <v>194</v>
      </c>
      <c r="B11" s="162" t="s">
        <v>195</v>
      </c>
      <c r="C11" s="163">
        <f>SUM(C12+C16+C20+C21+C22+C27+C29)</f>
        <v>125299729</v>
      </c>
      <c r="D11" s="163"/>
      <c r="E11" s="552">
        <f>+E12+E16+E20+E21+E22+E29</f>
        <v>122980084</v>
      </c>
      <c r="F11" s="552">
        <f>SUM(F12+F16+F20+F21+F22+F27+F29)</f>
        <v>100721659</v>
      </c>
      <c r="G11" s="552">
        <f>+G12+G16+G20+G22+G29+G21</f>
        <v>8987503.1799999997</v>
      </c>
      <c r="H11" s="552">
        <f>+O11+G11</f>
        <v>88516480.719999999</v>
      </c>
      <c r="I11" s="552">
        <f>+I12+I16+I20+I21+I22+I29</f>
        <v>76889526.810000002</v>
      </c>
      <c r="J11" s="552">
        <f>SUM(J12+J16+J20+J21+J22+J27+J29)</f>
        <v>85183610.980000019</v>
      </c>
      <c r="K11" s="163">
        <f>+F11-H11</f>
        <v>12205178.280000001</v>
      </c>
      <c r="L11" s="163">
        <f t="shared" ref="L11:L26" si="0">+E11-H11</f>
        <v>34463603.280000001</v>
      </c>
      <c r="M11" s="177">
        <f t="shared" ref="M11:M20" si="1">+H11*100/F11</f>
        <v>87.882270406209258</v>
      </c>
      <c r="N11" s="9" t="s">
        <v>12</v>
      </c>
      <c r="O11" s="9">
        <f>79528977.14+0.4</f>
        <v>79528977.540000007</v>
      </c>
      <c r="P11" t="s">
        <v>12</v>
      </c>
      <c r="Q11" s="1">
        <v>0</v>
      </c>
      <c r="R11" s="1" t="s">
        <v>12</v>
      </c>
    </row>
    <row r="12" spans="1:18" ht="17.25" customHeight="1">
      <c r="A12" s="164" t="s">
        <v>196</v>
      </c>
      <c r="B12" s="165" t="s">
        <v>197</v>
      </c>
      <c r="C12" s="166">
        <f>SUM(C13:C15)</f>
        <v>83395405</v>
      </c>
      <c r="D12" s="166"/>
      <c r="E12" s="553">
        <f>+E13+E14+E15</f>
        <v>81773320</v>
      </c>
      <c r="F12" s="553">
        <f>SUM(F13:F15)</f>
        <v>68032321</v>
      </c>
      <c r="G12" s="553">
        <f>SUM(G13:G15)</f>
        <v>6331550.0300000003</v>
      </c>
      <c r="H12" s="553">
        <f>+G12+O12</f>
        <v>59758854.93</v>
      </c>
      <c r="I12" s="553">
        <f>SUM(I13:I15)</f>
        <v>59758854.930000007</v>
      </c>
      <c r="J12" s="553">
        <f>SUM(J13:J15)</f>
        <v>59758854.930000007</v>
      </c>
      <c r="K12" s="166">
        <f t="shared" ref="K12:K33" si="2">+F12-H12</f>
        <v>8273466.0700000003</v>
      </c>
      <c r="L12" s="166">
        <f t="shared" si="0"/>
        <v>22014465.07</v>
      </c>
      <c r="M12" s="178">
        <f t="shared" si="1"/>
        <v>87.838918401740258</v>
      </c>
      <c r="O12" s="117">
        <v>53427304.899999999</v>
      </c>
      <c r="R12" t="s">
        <v>12</v>
      </c>
    </row>
    <row r="13" spans="1:18">
      <c r="A13" s="167" t="s">
        <v>198</v>
      </c>
      <c r="B13" s="168" t="s">
        <v>197</v>
      </c>
      <c r="C13" s="169">
        <v>71073045</v>
      </c>
      <c r="D13" s="169"/>
      <c r="E13" s="554">
        <v>69124045</v>
      </c>
      <c r="F13" s="554">
        <v>57199059</v>
      </c>
      <c r="G13" s="554">
        <v>5250759.8899999997</v>
      </c>
      <c r="H13" s="554">
        <f t="shared" ref="H13:H15" si="3">+O13+G13</f>
        <v>51207269.280000001</v>
      </c>
      <c r="I13" s="554">
        <v>51207269.280000001</v>
      </c>
      <c r="J13" s="554">
        <v>51207269.280000001</v>
      </c>
      <c r="K13" s="169">
        <f t="shared" si="2"/>
        <v>5991789.7199999988</v>
      </c>
      <c r="L13" s="169">
        <f t="shared" si="0"/>
        <v>17916775.719999999</v>
      </c>
      <c r="M13" s="179">
        <f t="shared" si="1"/>
        <v>89.524670816699981</v>
      </c>
      <c r="O13" s="9">
        <v>45956509.390000001</v>
      </c>
      <c r="P13" t="s">
        <v>12</v>
      </c>
    </row>
    <row r="14" spans="1:18">
      <c r="A14" s="167" t="s">
        <v>199</v>
      </c>
      <c r="B14" s="168" t="s">
        <v>200</v>
      </c>
      <c r="C14" s="169">
        <v>3944236</v>
      </c>
      <c r="D14" s="169"/>
      <c r="E14" s="554">
        <v>3844236</v>
      </c>
      <c r="F14" s="554">
        <v>3176228</v>
      </c>
      <c r="G14" s="554">
        <v>274400.94</v>
      </c>
      <c r="H14" s="554">
        <f t="shared" si="3"/>
        <v>2524859.2000000002</v>
      </c>
      <c r="I14" s="555">
        <v>2524859.2000000002</v>
      </c>
      <c r="J14" s="554">
        <v>2524859.2000000002</v>
      </c>
      <c r="K14" s="169">
        <f t="shared" si="2"/>
        <v>651368.79999999981</v>
      </c>
      <c r="L14" s="169">
        <f t="shared" si="0"/>
        <v>1319376.7999999998</v>
      </c>
      <c r="M14" s="179">
        <f t="shared" si="1"/>
        <v>79.492379010574822</v>
      </c>
      <c r="O14" s="9">
        <v>2250458.2600000002</v>
      </c>
    </row>
    <row r="15" spans="1:18">
      <c r="A15" s="167" t="s">
        <v>201</v>
      </c>
      <c r="B15" s="168" t="s">
        <v>202</v>
      </c>
      <c r="C15" s="169">
        <v>8378124</v>
      </c>
      <c r="D15" s="169"/>
      <c r="E15" s="554">
        <v>8805039</v>
      </c>
      <c r="F15" s="554">
        <v>7657034</v>
      </c>
      <c r="G15" s="554">
        <v>806389.2</v>
      </c>
      <c r="H15" s="554">
        <f t="shared" si="3"/>
        <v>6026726.4500000002</v>
      </c>
      <c r="I15" s="554">
        <v>6026726.4500000002</v>
      </c>
      <c r="J15" s="554">
        <v>6026726.4500000002</v>
      </c>
      <c r="K15" s="169">
        <f t="shared" si="2"/>
        <v>1630307.5499999998</v>
      </c>
      <c r="L15" s="169">
        <f t="shared" si="0"/>
        <v>2778312.55</v>
      </c>
      <c r="M15" s="179">
        <f t="shared" si="1"/>
        <v>78.708367365222614</v>
      </c>
      <c r="O15" s="9">
        <v>5220337.25</v>
      </c>
    </row>
    <row r="16" spans="1:18" ht="15" customHeight="1">
      <c r="A16" s="170" t="s">
        <v>203</v>
      </c>
      <c r="B16" s="165" t="s">
        <v>204</v>
      </c>
      <c r="C16" s="166">
        <f t="shared" ref="C16:J16" si="4">SUM(C17:C19)</f>
        <v>17439165</v>
      </c>
      <c r="D16" s="166"/>
      <c r="E16" s="553">
        <f t="shared" si="4"/>
        <v>16946165</v>
      </c>
      <c r="F16" s="553">
        <f t="shared" si="4"/>
        <v>13814258</v>
      </c>
      <c r="G16" s="553">
        <f t="shared" si="4"/>
        <v>1380214.35</v>
      </c>
      <c r="H16" s="553">
        <f t="shared" ref="H16:H22" si="5">+G16+O16</f>
        <v>12443796.369999999</v>
      </c>
      <c r="I16" s="553">
        <f t="shared" ref="I16" si="6">SUM(I17:I19)</f>
        <v>12443796.369999999</v>
      </c>
      <c r="J16" s="553">
        <f t="shared" si="4"/>
        <v>12443796.369999999</v>
      </c>
      <c r="K16" s="166">
        <f t="shared" si="2"/>
        <v>1370461.6300000008</v>
      </c>
      <c r="L16" s="166">
        <f t="shared" si="0"/>
        <v>4502368.6300000008</v>
      </c>
      <c r="M16" s="178">
        <f t="shared" si="1"/>
        <v>90.07936850462761</v>
      </c>
      <c r="O16" s="117">
        <f>11063581.62+0.4</f>
        <v>11063582.02</v>
      </c>
    </row>
    <row r="17" spans="1:18" ht="13.9" customHeight="1">
      <c r="A17" s="167" t="s">
        <v>205</v>
      </c>
      <c r="B17" s="168" t="s">
        <v>206</v>
      </c>
      <c r="C17" s="169">
        <v>223154</v>
      </c>
      <c r="D17" s="169"/>
      <c r="E17" s="554">
        <v>223154</v>
      </c>
      <c r="F17" s="554">
        <v>170838</v>
      </c>
      <c r="G17" s="554">
        <v>21395.07</v>
      </c>
      <c r="H17" s="554">
        <f t="shared" si="5"/>
        <v>141471.91</v>
      </c>
      <c r="I17" s="554">
        <v>141471.91</v>
      </c>
      <c r="J17" s="554">
        <v>141471.91</v>
      </c>
      <c r="K17" s="169">
        <f t="shared" si="2"/>
        <v>29366.089999999997</v>
      </c>
      <c r="L17" s="169">
        <f t="shared" si="0"/>
        <v>81682.09</v>
      </c>
      <c r="M17" s="179">
        <f t="shared" si="1"/>
        <v>82.810563223638766</v>
      </c>
      <c r="O17" s="9">
        <v>120076.84</v>
      </c>
    </row>
    <row r="18" spans="1:18" ht="13.9" customHeight="1">
      <c r="A18" s="171" t="s">
        <v>207</v>
      </c>
      <c r="B18" s="168" t="s">
        <v>208</v>
      </c>
      <c r="C18" s="169">
        <v>1488300</v>
      </c>
      <c r="D18" s="169"/>
      <c r="E18" s="554">
        <v>1443300</v>
      </c>
      <c r="F18" s="554">
        <v>1195250</v>
      </c>
      <c r="G18" s="555">
        <v>98590.06</v>
      </c>
      <c r="H18" s="554">
        <f t="shared" si="5"/>
        <v>962066.17999999993</v>
      </c>
      <c r="I18" s="554">
        <v>962066.18</v>
      </c>
      <c r="J18" s="554">
        <v>962066.18</v>
      </c>
      <c r="K18" s="169">
        <f t="shared" si="2"/>
        <v>233183.82000000007</v>
      </c>
      <c r="L18" s="169">
        <f t="shared" si="0"/>
        <v>481233.82000000007</v>
      </c>
      <c r="M18" s="179">
        <f t="shared" si="1"/>
        <v>80.490791047897929</v>
      </c>
      <c r="O18" s="9">
        <v>863476.12</v>
      </c>
    </row>
    <row r="19" spans="1:18" ht="15.6" customHeight="1">
      <c r="A19" s="167" t="s">
        <v>209</v>
      </c>
      <c r="B19" s="168" t="s">
        <v>210</v>
      </c>
      <c r="C19" s="169">
        <v>15727711</v>
      </c>
      <c r="D19" s="169"/>
      <c r="E19" s="554">
        <v>15279711</v>
      </c>
      <c r="F19" s="554">
        <v>12448170</v>
      </c>
      <c r="G19" s="555">
        <v>1260229.22</v>
      </c>
      <c r="H19" s="554">
        <f t="shared" si="5"/>
        <v>11340258.280000001</v>
      </c>
      <c r="I19" s="554">
        <v>11340258.279999999</v>
      </c>
      <c r="J19" s="554">
        <v>11340258.279999999</v>
      </c>
      <c r="K19" s="169">
        <f t="shared" si="2"/>
        <v>1107911.7199999988</v>
      </c>
      <c r="L19" s="169">
        <f t="shared" si="0"/>
        <v>3939452.7199999988</v>
      </c>
      <c r="M19" s="179">
        <f t="shared" si="1"/>
        <v>91.099802460923982</v>
      </c>
      <c r="O19" s="9">
        <f>10080028.66+0.4</f>
        <v>10080029.060000001</v>
      </c>
    </row>
    <row r="20" spans="1:18">
      <c r="A20" s="170" t="s">
        <v>211</v>
      </c>
      <c r="B20" s="165" t="s">
        <v>212</v>
      </c>
      <c r="C20" s="166">
        <v>228000</v>
      </c>
      <c r="D20" s="166"/>
      <c r="E20" s="553">
        <f>228000+19000</f>
        <v>247000</v>
      </c>
      <c r="F20" s="553">
        <v>209000</v>
      </c>
      <c r="G20" s="553">
        <v>18493.330000000002</v>
      </c>
      <c r="H20" s="553">
        <f t="shared" si="5"/>
        <v>187410</v>
      </c>
      <c r="I20" s="553">
        <v>190360</v>
      </c>
      <c r="J20" s="553">
        <v>187410</v>
      </c>
      <c r="K20" s="166">
        <f t="shared" si="2"/>
        <v>21590</v>
      </c>
      <c r="L20" s="166">
        <f t="shared" si="0"/>
        <v>59590</v>
      </c>
      <c r="M20" s="178">
        <f t="shared" si="1"/>
        <v>89.669856459330148</v>
      </c>
      <c r="O20" s="117">
        <v>168916.67</v>
      </c>
    </row>
    <row r="21" spans="1:18">
      <c r="A21" s="170" t="s">
        <v>213</v>
      </c>
      <c r="B21" s="165" t="s">
        <v>214</v>
      </c>
      <c r="C21" s="166">
        <v>8407425</v>
      </c>
      <c r="D21" s="166"/>
      <c r="E21" s="553">
        <v>7820865</v>
      </c>
      <c r="F21" s="553">
        <v>5018406</v>
      </c>
      <c r="G21" s="553">
        <v>16996.939999999999</v>
      </c>
      <c r="H21" s="553">
        <f t="shared" si="5"/>
        <v>4255449.83</v>
      </c>
      <c r="I21" s="553">
        <v>4255501.91</v>
      </c>
      <c r="J21" s="553">
        <v>4255449.83</v>
      </c>
      <c r="K21" s="166">
        <f t="shared" si="2"/>
        <v>762956.16999999993</v>
      </c>
      <c r="L21" s="166">
        <f t="shared" si="0"/>
        <v>3565415.17</v>
      </c>
      <c r="M21" s="178">
        <f t="shared" ref="M21:M26" si="7">+H21*100/F21</f>
        <v>84.796842463523276</v>
      </c>
      <c r="O21" s="117">
        <v>4238452.8899999997</v>
      </c>
    </row>
    <row r="22" spans="1:18" ht="14.25" customHeight="1">
      <c r="A22" s="164" t="s">
        <v>215</v>
      </c>
      <c r="B22" s="165" t="s">
        <v>216</v>
      </c>
      <c r="C22" s="166">
        <f t="shared" ref="C22:J22" si="8">SUM(C23:C26)</f>
        <v>15829734</v>
      </c>
      <c r="D22" s="166"/>
      <c r="E22" s="553">
        <f t="shared" si="8"/>
        <v>15779734</v>
      </c>
      <c r="F22" s="553">
        <f t="shared" si="8"/>
        <v>13234674</v>
      </c>
      <c r="G22" s="553">
        <f t="shared" si="8"/>
        <v>1212091.94</v>
      </c>
      <c r="H22" s="553">
        <f t="shared" si="5"/>
        <v>11592904.619999999</v>
      </c>
      <c r="I22" s="553"/>
      <c r="J22" s="553">
        <f t="shared" si="8"/>
        <v>8272607.3700000001</v>
      </c>
      <c r="K22" s="166">
        <f t="shared" si="2"/>
        <v>1641769.3800000008</v>
      </c>
      <c r="L22" s="166">
        <f t="shared" si="0"/>
        <v>4186829.3800000008</v>
      </c>
      <c r="M22" s="178">
        <f t="shared" si="7"/>
        <v>87.594939021542956</v>
      </c>
      <c r="N22" s="6"/>
      <c r="O22" s="117">
        <v>10380812.68</v>
      </c>
      <c r="R22">
        <f>258.28-257.88</f>
        <v>0.39999999999997726</v>
      </c>
    </row>
    <row r="23" spans="1:18" ht="15" customHeight="1">
      <c r="A23" s="167" t="s">
        <v>217</v>
      </c>
      <c r="B23" s="169" t="s">
        <v>218</v>
      </c>
      <c r="C23" s="169">
        <v>13304646</v>
      </c>
      <c r="D23" s="169"/>
      <c r="E23" s="554">
        <v>13254646</v>
      </c>
      <c r="F23" s="554">
        <v>11115387</v>
      </c>
      <c r="G23" s="554">
        <v>1026691.75</v>
      </c>
      <c r="H23" s="554">
        <f>+O23+G23</f>
        <v>9860312.5199999996</v>
      </c>
      <c r="I23" s="554">
        <v>0</v>
      </c>
      <c r="J23" s="554">
        <v>7036671.0899999999</v>
      </c>
      <c r="K23" s="169">
        <f t="shared" si="2"/>
        <v>1255074.4800000004</v>
      </c>
      <c r="L23" s="169">
        <f t="shared" si="0"/>
        <v>3394333.4800000004</v>
      </c>
      <c r="M23" s="179">
        <f t="shared" si="7"/>
        <v>88.708674920630287</v>
      </c>
      <c r="O23" s="9">
        <v>8833620.7699999996</v>
      </c>
    </row>
    <row r="24" spans="1:18" ht="13.5" customHeight="1">
      <c r="A24" s="167" t="s">
        <v>219</v>
      </c>
      <c r="B24" s="168" t="s">
        <v>220</v>
      </c>
      <c r="C24" s="169">
        <v>1515055</v>
      </c>
      <c r="D24" s="169"/>
      <c r="E24" s="554">
        <v>1515055</v>
      </c>
      <c r="F24" s="554">
        <v>1272248</v>
      </c>
      <c r="G24" s="554">
        <v>115727.23</v>
      </c>
      <c r="H24" s="554">
        <f t="shared" ref="H24:H33" si="9">+O24+G24</f>
        <v>1083379.78</v>
      </c>
      <c r="I24" s="554">
        <v>0</v>
      </c>
      <c r="J24" s="554">
        <v>756965.78</v>
      </c>
      <c r="K24" s="169">
        <f t="shared" si="2"/>
        <v>188868.21999999997</v>
      </c>
      <c r="L24" s="169">
        <f t="shared" si="0"/>
        <v>431675.22</v>
      </c>
      <c r="M24" s="179">
        <f t="shared" si="7"/>
        <v>85.154763851073056</v>
      </c>
      <c r="O24" s="9">
        <v>967652.55</v>
      </c>
    </row>
    <row r="25" spans="1:18" ht="13.5" customHeight="1">
      <c r="A25" s="167" t="s">
        <v>221</v>
      </c>
      <c r="B25" s="168" t="s">
        <v>222</v>
      </c>
      <c r="C25" s="169">
        <v>707023</v>
      </c>
      <c r="D25" s="169"/>
      <c r="E25" s="554">
        <v>707023</v>
      </c>
      <c r="F25" s="554">
        <v>593032</v>
      </c>
      <c r="G25" s="554">
        <v>54138.78</v>
      </c>
      <c r="H25" s="554">
        <f t="shared" si="9"/>
        <v>506950.88</v>
      </c>
      <c r="I25" s="554">
        <v>0</v>
      </c>
      <c r="J25" s="554">
        <v>352193.69</v>
      </c>
      <c r="K25" s="169">
        <v>42469.75</v>
      </c>
      <c r="L25" s="169">
        <f t="shared" si="0"/>
        <v>200072.12</v>
      </c>
      <c r="M25" s="179">
        <f t="shared" si="7"/>
        <v>85.484574188239421</v>
      </c>
      <c r="O25" s="9">
        <v>452812.1</v>
      </c>
    </row>
    <row r="26" spans="1:18" ht="13.5" customHeight="1">
      <c r="A26" s="167" t="s">
        <v>223</v>
      </c>
      <c r="B26" s="168" t="s">
        <v>224</v>
      </c>
      <c r="C26" s="169">
        <v>303010</v>
      </c>
      <c r="D26" s="169"/>
      <c r="E26" s="554">
        <v>303010</v>
      </c>
      <c r="F26" s="554">
        <v>254007</v>
      </c>
      <c r="G26" s="554">
        <v>15534.18</v>
      </c>
      <c r="H26" s="554">
        <f t="shared" si="9"/>
        <v>142261.44</v>
      </c>
      <c r="I26" s="554">
        <v>0</v>
      </c>
      <c r="J26" s="554">
        <v>126776.81</v>
      </c>
      <c r="K26" s="169">
        <f t="shared" si="2"/>
        <v>111745.56</v>
      </c>
      <c r="L26" s="169">
        <f t="shared" si="0"/>
        <v>160748.56</v>
      </c>
      <c r="M26" s="179">
        <f t="shared" si="7"/>
        <v>56.006897447708134</v>
      </c>
      <c r="O26" s="9">
        <v>126727.26000000001</v>
      </c>
    </row>
    <row r="27" spans="1:18" ht="1.5" hidden="1" customHeight="1">
      <c r="A27" s="164" t="s">
        <v>225</v>
      </c>
      <c r="B27" s="165" t="s">
        <v>226</v>
      </c>
      <c r="C27" s="166">
        <f>SUM(C28:C28)</f>
        <v>0</v>
      </c>
      <c r="D27" s="166"/>
      <c r="E27" s="553" t="e">
        <f>SUM(E28:E28)</f>
        <v>#REF!</v>
      </c>
      <c r="F27" s="553">
        <v>0</v>
      </c>
      <c r="G27" s="553">
        <v>0</v>
      </c>
      <c r="H27" s="553">
        <f t="shared" si="9"/>
        <v>0</v>
      </c>
      <c r="I27" s="553"/>
      <c r="J27" s="553">
        <f>SUM(J28)</f>
        <v>0</v>
      </c>
      <c r="K27" s="166">
        <f t="shared" si="2"/>
        <v>0</v>
      </c>
      <c r="L27" s="166" t="e">
        <f>SUM(L28:L28)</f>
        <v>#REF!</v>
      </c>
      <c r="M27" s="179"/>
      <c r="O27" s="9">
        <v>0</v>
      </c>
    </row>
    <row r="28" spans="1:18" ht="9.75" hidden="1" customHeight="1">
      <c r="A28" s="167" t="s">
        <v>227</v>
      </c>
      <c r="B28" s="168" t="s">
        <v>228</v>
      </c>
      <c r="C28" s="169">
        <v>0</v>
      </c>
      <c r="D28" s="169"/>
      <c r="E28" s="554" t="e">
        <f>+C28+#REF!</f>
        <v>#REF!</v>
      </c>
      <c r="F28" s="554">
        <v>0</v>
      </c>
      <c r="G28" s="554">
        <v>0</v>
      </c>
      <c r="H28" s="554">
        <f t="shared" si="9"/>
        <v>0</v>
      </c>
      <c r="I28" s="554"/>
      <c r="J28" s="554">
        <v>0</v>
      </c>
      <c r="K28" s="169">
        <f t="shared" si="2"/>
        <v>0</v>
      </c>
      <c r="L28" s="169" t="e">
        <f t="shared" ref="L28:L33" si="10">+E28-H28</f>
        <v>#REF!</v>
      </c>
      <c r="M28" s="179"/>
      <c r="O28" s="9">
        <v>0</v>
      </c>
    </row>
    <row r="29" spans="1:18" ht="13.5" customHeight="1">
      <c r="A29" s="164" t="s">
        <v>229</v>
      </c>
      <c r="B29" s="165" t="s">
        <v>230</v>
      </c>
      <c r="C29" s="169">
        <v>0</v>
      </c>
      <c r="D29" s="169"/>
      <c r="E29" s="553">
        <f>SUM(E30:E35)</f>
        <v>413000</v>
      </c>
      <c r="F29" s="553">
        <f>SUM(F30:F35)</f>
        <v>413000</v>
      </c>
      <c r="G29" s="553">
        <f>SUM(G30:G35)</f>
        <v>28156.590000000004</v>
      </c>
      <c r="H29" s="553">
        <f t="shared" si="9"/>
        <v>278064.97000000003</v>
      </c>
      <c r="I29" s="553">
        <f>+I30+I31+I32+I33</f>
        <v>241013.6</v>
      </c>
      <c r="J29" s="553">
        <f>SUM(J30:J35)</f>
        <v>265492.47999999998</v>
      </c>
      <c r="K29" s="166">
        <f t="shared" si="2"/>
        <v>134935.02999999997</v>
      </c>
      <c r="L29" s="166">
        <f t="shared" si="10"/>
        <v>134935.02999999997</v>
      </c>
      <c r="M29" s="178">
        <f t="shared" ref="M29" si="11">+H29*100/F29</f>
        <v>67.32807990314771</v>
      </c>
      <c r="O29" s="117">
        <v>249908.38</v>
      </c>
    </row>
    <row r="30" spans="1:18" ht="14.1" customHeight="1">
      <c r="A30" s="167" t="s">
        <v>231</v>
      </c>
      <c r="B30" s="168" t="s">
        <v>232</v>
      </c>
      <c r="C30" s="169">
        <v>0</v>
      </c>
      <c r="D30" s="169"/>
      <c r="E30" s="554">
        <v>266000</v>
      </c>
      <c r="F30" s="554">
        <v>266000</v>
      </c>
      <c r="G30" s="554">
        <v>5502.1</v>
      </c>
      <c r="H30" s="554">
        <f t="shared" si="9"/>
        <v>193702.5</v>
      </c>
      <c r="I30" s="554">
        <v>193702.5</v>
      </c>
      <c r="J30" s="554">
        <v>193702.5</v>
      </c>
      <c r="K30" s="169">
        <f t="shared" si="2"/>
        <v>72297.5</v>
      </c>
      <c r="L30" s="169">
        <f t="shared" si="10"/>
        <v>72297.5</v>
      </c>
      <c r="M30" s="179">
        <f t="shared" ref="M30:M35" si="12">+H30*100/F30</f>
        <v>72.820488721804509</v>
      </c>
      <c r="O30" s="9">
        <v>188200.4</v>
      </c>
    </row>
    <row r="31" spans="1:18" ht="14.1" customHeight="1">
      <c r="A31" s="167" t="s">
        <v>233</v>
      </c>
      <c r="B31" s="168" t="s">
        <v>234</v>
      </c>
      <c r="C31" s="169">
        <v>0</v>
      </c>
      <c r="D31" s="169"/>
      <c r="E31" s="554">
        <v>12000</v>
      </c>
      <c r="F31" s="554">
        <v>12000</v>
      </c>
      <c r="G31" s="554"/>
      <c r="H31" s="554">
        <f t="shared" si="9"/>
        <v>10478.280000000001</v>
      </c>
      <c r="I31" s="554">
        <v>10478.280000000001</v>
      </c>
      <c r="J31" s="554">
        <v>10478.280000000001</v>
      </c>
      <c r="K31" s="169">
        <f t="shared" si="2"/>
        <v>1521.7199999999993</v>
      </c>
      <c r="L31" s="169">
        <f t="shared" si="10"/>
        <v>1521.7199999999993</v>
      </c>
      <c r="M31" s="179">
        <f t="shared" si="12"/>
        <v>87.319000000000003</v>
      </c>
      <c r="O31" s="9">
        <v>10478.280000000001</v>
      </c>
    </row>
    <row r="32" spans="1:18" ht="14.1" customHeight="1">
      <c r="A32" s="167" t="s">
        <v>235</v>
      </c>
      <c r="B32" s="168" t="s">
        <v>236</v>
      </c>
      <c r="C32" s="169">
        <v>0</v>
      </c>
      <c r="D32" s="169"/>
      <c r="E32" s="554">
        <v>5000</v>
      </c>
      <c r="F32" s="554">
        <v>5000</v>
      </c>
      <c r="G32" s="554"/>
      <c r="H32" s="554">
        <f t="shared" si="9"/>
        <v>3356.67</v>
      </c>
      <c r="I32" s="554">
        <v>3356.67</v>
      </c>
      <c r="J32" s="554">
        <v>3356.67</v>
      </c>
      <c r="K32" s="169">
        <f t="shared" si="2"/>
        <v>1643.33</v>
      </c>
      <c r="L32" s="169">
        <f t="shared" si="10"/>
        <v>1643.33</v>
      </c>
      <c r="M32" s="179">
        <f t="shared" si="12"/>
        <v>67.133399999999995</v>
      </c>
      <c r="O32" s="9">
        <v>3356.67</v>
      </c>
    </row>
    <row r="33" spans="1:19" ht="12.75" customHeight="1">
      <c r="A33" s="167" t="s">
        <v>237</v>
      </c>
      <c r="B33" s="168" t="s">
        <v>238</v>
      </c>
      <c r="C33" s="169">
        <v>0</v>
      </c>
      <c r="D33" s="169"/>
      <c r="E33" s="554">
        <v>55000</v>
      </c>
      <c r="F33" s="554">
        <v>55000</v>
      </c>
      <c r="G33" s="554">
        <v>19667.77</v>
      </c>
      <c r="H33" s="554">
        <f t="shared" si="9"/>
        <v>33476.15</v>
      </c>
      <c r="I33" s="554">
        <v>33476.15</v>
      </c>
      <c r="J33" s="554">
        <v>33476.15</v>
      </c>
      <c r="K33" s="169">
        <f t="shared" si="2"/>
        <v>21523.85</v>
      </c>
      <c r="L33" s="169">
        <f t="shared" si="10"/>
        <v>21523.85</v>
      </c>
      <c r="M33" s="179">
        <f t="shared" si="12"/>
        <v>60.86572727272727</v>
      </c>
      <c r="O33" s="9">
        <v>13808.38</v>
      </c>
    </row>
    <row r="34" spans="1:19" ht="13.5" hidden="1" customHeight="1">
      <c r="A34" s="167" t="s">
        <v>239</v>
      </c>
      <c r="B34" s="168" t="s">
        <v>240</v>
      </c>
      <c r="C34" s="169">
        <v>0</v>
      </c>
      <c r="D34" s="169"/>
      <c r="E34" s="554"/>
      <c r="F34" s="554"/>
      <c r="G34" s="554"/>
      <c r="H34" s="554"/>
      <c r="I34" s="554"/>
      <c r="J34" s="554"/>
      <c r="K34" s="169"/>
      <c r="L34" s="169"/>
      <c r="M34" s="179" t="e">
        <f t="shared" si="12"/>
        <v>#DIV/0!</v>
      </c>
      <c r="O34" s="9"/>
    </row>
    <row r="35" spans="1:19" ht="14.1" customHeight="1">
      <c r="A35" s="167" t="s">
        <v>241</v>
      </c>
      <c r="B35" s="168" t="s">
        <v>242</v>
      </c>
      <c r="C35" s="169">
        <v>0</v>
      </c>
      <c r="D35" s="169"/>
      <c r="E35" s="554">
        <v>75000</v>
      </c>
      <c r="F35" s="554">
        <v>75000</v>
      </c>
      <c r="G35" s="554">
        <v>2986.72</v>
      </c>
      <c r="H35" s="554">
        <f>+O35+G35</f>
        <v>37051.370000000003</v>
      </c>
      <c r="I35" s="554">
        <v>0</v>
      </c>
      <c r="J35" s="555">
        <v>24478.880000000001</v>
      </c>
      <c r="K35" s="169">
        <f>+F35-H35</f>
        <v>37948.629999999997</v>
      </c>
      <c r="L35" s="169">
        <f>+E35-H35</f>
        <v>37948.629999999997</v>
      </c>
      <c r="M35" s="179">
        <f t="shared" si="12"/>
        <v>49.401826666666672</v>
      </c>
      <c r="O35" s="9">
        <v>34064.65</v>
      </c>
    </row>
    <row r="36" spans="1:19" ht="5.25" customHeight="1">
      <c r="A36" s="167"/>
      <c r="B36" s="168"/>
      <c r="C36" s="169"/>
      <c r="D36" s="169"/>
      <c r="E36" s="554"/>
      <c r="F36" s="554"/>
      <c r="G36" s="554">
        <v>0</v>
      </c>
      <c r="H36" s="554"/>
      <c r="I36" s="554"/>
      <c r="J36" s="554"/>
      <c r="K36" s="169"/>
      <c r="L36" s="169"/>
      <c r="M36" s="179"/>
      <c r="O36" s="9"/>
    </row>
    <row r="37" spans="1:19" ht="20.25" customHeight="1">
      <c r="A37" s="172" t="s">
        <v>243</v>
      </c>
      <c r="B37" s="173" t="s">
        <v>244</v>
      </c>
      <c r="C37" s="174">
        <f>C38+C45+C54++C55+C58+C67+C73+C76+C62+C83</f>
        <v>7293008</v>
      </c>
      <c r="D37" s="174">
        <f>+D55+D58+D62+D67+D73+D76</f>
        <v>99335</v>
      </c>
      <c r="E37" s="556">
        <f>E38+E45+E54++E55+E58+E67+E73+E76+E62+E83</f>
        <v>7251873</v>
      </c>
      <c r="F37" s="556">
        <f>F38+F45+F54++F55+F58+F67+F73+F76+F62+F83</f>
        <v>7032617</v>
      </c>
      <c r="G37" s="556">
        <f>G38+G45+G54++G55+G58+G67+G73+G76+G62+G83</f>
        <v>419060.91</v>
      </c>
      <c r="H37" s="556">
        <f>O37+G37</f>
        <v>5294870.26</v>
      </c>
      <c r="I37" s="556">
        <f>I38+I45+I54++I55+I58+I67+I73+I76+I62+I83</f>
        <v>4466585.4000000004</v>
      </c>
      <c r="J37" s="556">
        <f>J38+J45+J54++J55+J58+J67+J73+J76+J62+J83</f>
        <v>3794599.4099999997</v>
      </c>
      <c r="K37" s="174">
        <f>K38+K45+K54++K55+K58+K67+K73+K76+K62+K83</f>
        <v>1737746.7399999995</v>
      </c>
      <c r="L37" s="174">
        <f>L38+L45+L54++L55+L58+L67+L73+L76+L62+L83</f>
        <v>1957002.7399999995</v>
      </c>
      <c r="M37" s="180">
        <f>+H37*100/F37</f>
        <v>75.290183725347191</v>
      </c>
      <c r="N37" s="9" t="s">
        <v>12</v>
      </c>
      <c r="O37" s="9">
        <v>4875809.3499999996</v>
      </c>
      <c r="P37" s="596" t="s">
        <v>12</v>
      </c>
      <c r="Q37" s="9"/>
      <c r="R37" s="596" t="s">
        <v>12</v>
      </c>
      <c r="S37" s="9"/>
    </row>
    <row r="38" spans="1:19" ht="15.75" customHeight="1">
      <c r="A38" s="164">
        <v>100</v>
      </c>
      <c r="B38" s="165" t="s">
        <v>245</v>
      </c>
      <c r="C38" s="166">
        <f>SUM(C39:C44)</f>
        <v>151437</v>
      </c>
      <c r="D38" s="166"/>
      <c r="E38" s="553">
        <f>SUM(E39:E44)</f>
        <v>97787</v>
      </c>
      <c r="F38" s="553">
        <f>SUM(F39:F44)</f>
        <v>97787</v>
      </c>
      <c r="G38" s="598">
        <f>+G44</f>
        <v>-3745</v>
      </c>
      <c r="H38" s="553">
        <f>+O38+G38</f>
        <v>62931.11</v>
      </c>
      <c r="I38" s="553">
        <f>SUM(I39:I44)</f>
        <v>48201.479999999996</v>
      </c>
      <c r="J38" s="553">
        <f>SUM(J39:J44)</f>
        <v>45840.11</v>
      </c>
      <c r="K38" s="166">
        <f t="shared" ref="K38:K52" si="13">+F38-H38</f>
        <v>34855.89</v>
      </c>
      <c r="L38" s="166">
        <f t="shared" ref="L38:L51" si="14">+E38-H38</f>
        <v>34855.89</v>
      </c>
      <c r="M38" s="179">
        <f>+H38*100/F38</f>
        <v>64.355292625809156</v>
      </c>
      <c r="O38" s="117">
        <v>66676.11</v>
      </c>
      <c r="R38" s="1"/>
    </row>
    <row r="39" spans="1:19" ht="15" customHeight="1">
      <c r="A39" s="175" t="s">
        <v>246</v>
      </c>
      <c r="B39" s="169" t="s">
        <v>247</v>
      </c>
      <c r="C39" s="169">
        <v>3000</v>
      </c>
      <c r="D39" s="169"/>
      <c r="E39" s="554">
        <v>12500</v>
      </c>
      <c r="F39" s="554">
        <v>12500</v>
      </c>
      <c r="G39" s="554"/>
      <c r="H39" s="554">
        <f t="shared" ref="H39:H44" si="15">+O39+G39</f>
        <v>8153.53</v>
      </c>
      <c r="I39" s="554">
        <v>8153.53</v>
      </c>
      <c r="J39" s="554">
        <v>8153.53</v>
      </c>
      <c r="K39" s="169">
        <f t="shared" si="13"/>
        <v>4346.47</v>
      </c>
      <c r="L39" s="169">
        <f t="shared" si="14"/>
        <v>4346.47</v>
      </c>
      <c r="M39" s="179">
        <f>+H39*100/F39</f>
        <v>65.22824</v>
      </c>
      <c r="O39" s="9">
        <v>8153.53</v>
      </c>
    </row>
    <row r="40" spans="1:19" ht="13.5" customHeight="1">
      <c r="A40" s="167" t="s">
        <v>248</v>
      </c>
      <c r="B40" s="168" t="s">
        <v>249</v>
      </c>
      <c r="C40" s="169">
        <v>2000</v>
      </c>
      <c r="D40" s="169"/>
      <c r="E40" s="554">
        <f>15600+2000</f>
        <v>17600</v>
      </c>
      <c r="F40" s="554">
        <v>17600</v>
      </c>
      <c r="G40" s="554"/>
      <c r="H40" s="554">
        <f t="shared" si="15"/>
        <v>7183.98</v>
      </c>
      <c r="I40" s="554">
        <v>2728.5</v>
      </c>
      <c r="J40" s="554">
        <v>2728.5</v>
      </c>
      <c r="K40" s="169">
        <f t="shared" si="13"/>
        <v>10416.02</v>
      </c>
      <c r="L40" s="169">
        <f t="shared" si="14"/>
        <v>10416.02</v>
      </c>
      <c r="M40" s="179">
        <f>+H40*100/F40</f>
        <v>40.818068181818184</v>
      </c>
      <c r="O40" s="9">
        <v>7183.98</v>
      </c>
      <c r="Q40" s="9"/>
      <c r="R40" s="267" t="s">
        <v>12</v>
      </c>
    </row>
    <row r="41" spans="1:19" ht="11.25" customHeight="1">
      <c r="A41" s="167" t="s">
        <v>250</v>
      </c>
      <c r="B41" s="168" t="s">
        <v>251</v>
      </c>
      <c r="C41" s="169">
        <v>79362</v>
      </c>
      <c r="D41" s="169"/>
      <c r="E41" s="554">
        <f>16762+3000+10000+1300-10000</f>
        <v>21062</v>
      </c>
      <c r="F41" s="554">
        <v>21062</v>
      </c>
      <c r="G41" s="554">
        <v>0</v>
      </c>
      <c r="H41" s="554">
        <f t="shared" si="15"/>
        <v>10984.130000000001</v>
      </c>
      <c r="I41" s="554">
        <v>9934.11</v>
      </c>
      <c r="J41" s="554">
        <v>9934.11</v>
      </c>
      <c r="K41" s="169">
        <f t="shared" si="13"/>
        <v>10077.869999999999</v>
      </c>
      <c r="L41" s="169">
        <f t="shared" si="14"/>
        <v>10077.869999999999</v>
      </c>
      <c r="M41" s="179">
        <f>+H41*100/F41</f>
        <v>52.151410122495491</v>
      </c>
      <c r="O41" s="9">
        <v>10984.130000000001</v>
      </c>
    </row>
    <row r="42" spans="1:19" ht="15" customHeight="1">
      <c r="A42" s="167" t="s">
        <v>252</v>
      </c>
      <c r="B42" s="168" t="s">
        <v>253</v>
      </c>
      <c r="C42" s="169">
        <v>7450</v>
      </c>
      <c r="D42" s="169"/>
      <c r="E42" s="554">
        <v>0</v>
      </c>
      <c r="F42" s="554">
        <v>0</v>
      </c>
      <c r="G42" s="554"/>
      <c r="H42" s="554">
        <f t="shared" si="15"/>
        <v>0</v>
      </c>
      <c r="I42" s="554"/>
      <c r="J42" s="554">
        <v>0</v>
      </c>
      <c r="K42" s="169">
        <f t="shared" si="13"/>
        <v>0</v>
      </c>
      <c r="L42" s="169">
        <f t="shared" si="14"/>
        <v>0</v>
      </c>
      <c r="M42" s="179"/>
      <c r="O42" s="9">
        <v>0</v>
      </c>
    </row>
    <row r="43" spans="1:19" ht="15" customHeight="1">
      <c r="A43" s="167" t="s">
        <v>254</v>
      </c>
      <c r="B43" s="168" t="s">
        <v>255</v>
      </c>
      <c r="C43" s="169">
        <v>12400</v>
      </c>
      <c r="D43" s="169"/>
      <c r="E43" s="554">
        <v>1000</v>
      </c>
      <c r="F43" s="554">
        <v>1000</v>
      </c>
      <c r="G43" s="554"/>
      <c r="H43" s="554">
        <v>0</v>
      </c>
      <c r="I43" s="554">
        <v>0</v>
      </c>
      <c r="J43" s="554">
        <v>0</v>
      </c>
      <c r="K43" s="169">
        <f t="shared" si="13"/>
        <v>1000</v>
      </c>
      <c r="L43" s="169">
        <f t="shared" si="14"/>
        <v>1000</v>
      </c>
      <c r="M43" s="179"/>
      <c r="O43" s="9">
        <v>0</v>
      </c>
    </row>
    <row r="44" spans="1:19" ht="15.6" customHeight="1">
      <c r="A44" s="167" t="s">
        <v>256</v>
      </c>
      <c r="B44" s="168" t="s">
        <v>257</v>
      </c>
      <c r="C44" s="169">
        <v>47225</v>
      </c>
      <c r="D44" s="169"/>
      <c r="E44" s="554">
        <v>45625</v>
      </c>
      <c r="F44" s="554">
        <v>45625</v>
      </c>
      <c r="G44" s="597">
        <v>-3745</v>
      </c>
      <c r="H44" s="554">
        <f t="shared" si="15"/>
        <v>36609.47</v>
      </c>
      <c r="I44" s="554">
        <v>27385.34</v>
      </c>
      <c r="J44" s="554">
        <v>25023.97</v>
      </c>
      <c r="K44" s="169">
        <f t="shared" si="13"/>
        <v>9015.5299999999988</v>
      </c>
      <c r="L44" s="169">
        <f t="shared" si="14"/>
        <v>9015.5299999999988</v>
      </c>
      <c r="M44" s="179">
        <f t="shared" ref="M44:M52" si="16">+H44*100/F44</f>
        <v>80.239934246575345</v>
      </c>
      <c r="O44" s="9">
        <v>40354.47</v>
      </c>
    </row>
    <row r="45" spans="1:19">
      <c r="A45" s="176" t="s">
        <v>258</v>
      </c>
      <c r="B45" s="166" t="s">
        <v>259</v>
      </c>
      <c r="C45" s="166">
        <f>SUM(C46:C53)</f>
        <v>2652943</v>
      </c>
      <c r="D45" s="166"/>
      <c r="E45" s="553">
        <f>SUM(E46:E53)</f>
        <v>4136443</v>
      </c>
      <c r="F45" s="553">
        <f>SUM(F46:F53)</f>
        <v>3917187</v>
      </c>
      <c r="G45" s="553">
        <f>SUM(G46:G53)</f>
        <v>297144.2</v>
      </c>
      <c r="H45" s="553">
        <f>O45+G45</f>
        <v>3339673.8200000003</v>
      </c>
      <c r="I45" s="553">
        <f>SUM(I46:I53)</f>
        <v>3190242.8899999997</v>
      </c>
      <c r="J45" s="553">
        <f>SUM(J46:J53)</f>
        <v>2604940.92</v>
      </c>
      <c r="K45" s="166">
        <f t="shared" si="13"/>
        <v>577513.1799999997</v>
      </c>
      <c r="L45" s="166">
        <f t="shared" si="14"/>
        <v>796769.1799999997</v>
      </c>
      <c r="M45" s="178">
        <f t="shared" si="16"/>
        <v>85.256941269334348</v>
      </c>
      <c r="N45" s="9" t="s">
        <v>12</v>
      </c>
      <c r="O45" s="117">
        <v>3042529.62</v>
      </c>
      <c r="P45" s="9"/>
      <c r="Q45" s="9"/>
      <c r="R45" s="9"/>
    </row>
    <row r="46" spans="1:19" ht="12" customHeight="1">
      <c r="A46" s="175" t="s">
        <v>260</v>
      </c>
      <c r="B46" s="169" t="s">
        <v>261</v>
      </c>
      <c r="C46" s="169">
        <v>109200</v>
      </c>
      <c r="D46" s="169"/>
      <c r="E46" s="554">
        <v>109200</v>
      </c>
      <c r="F46" s="554">
        <v>99300</v>
      </c>
      <c r="G46" s="554">
        <v>10338.25</v>
      </c>
      <c r="H46" s="557">
        <f>+G46+O46</f>
        <v>86773.760000000009</v>
      </c>
      <c r="I46" s="554">
        <v>86773.759999999995</v>
      </c>
      <c r="J46" s="554">
        <v>76435.509999999995</v>
      </c>
      <c r="K46" s="169">
        <f t="shared" si="13"/>
        <v>12526.239999999991</v>
      </c>
      <c r="L46" s="169">
        <f t="shared" si="14"/>
        <v>22426.239999999991</v>
      </c>
      <c r="M46" s="179">
        <f t="shared" si="16"/>
        <v>87.38545820745216</v>
      </c>
      <c r="O46" s="9">
        <v>76435.510000000009</v>
      </c>
    </row>
    <row r="47" spans="1:19" ht="14.25" customHeight="1">
      <c r="A47" s="167" t="s">
        <v>262</v>
      </c>
      <c r="B47" s="168" t="s">
        <v>263</v>
      </c>
      <c r="C47" s="169">
        <v>43100</v>
      </c>
      <c r="D47" s="169"/>
      <c r="E47" s="554">
        <v>54600</v>
      </c>
      <c r="F47" s="554">
        <v>50800</v>
      </c>
      <c r="G47" s="554">
        <v>617.65</v>
      </c>
      <c r="H47" s="554">
        <f t="shared" ref="H47:H52" si="17">+O47+G47</f>
        <v>15492.689999999999</v>
      </c>
      <c r="I47" s="554">
        <v>12876.69</v>
      </c>
      <c r="J47" s="554">
        <v>9643.0400000000009</v>
      </c>
      <c r="K47" s="169">
        <f t="shared" si="13"/>
        <v>35307.31</v>
      </c>
      <c r="L47" s="169">
        <f t="shared" si="14"/>
        <v>39107.31</v>
      </c>
      <c r="M47" s="179">
        <f t="shared" si="16"/>
        <v>30.497421259842515</v>
      </c>
      <c r="O47" s="9">
        <v>14875.039999999999</v>
      </c>
    </row>
    <row r="48" spans="1:19" ht="13.5" customHeight="1">
      <c r="A48" s="167" t="s">
        <v>264</v>
      </c>
      <c r="B48" s="168" t="s">
        <v>265</v>
      </c>
      <c r="C48" s="169">
        <v>4500</v>
      </c>
      <c r="D48" s="169"/>
      <c r="E48" s="554">
        <v>4500</v>
      </c>
      <c r="F48" s="554">
        <v>4500</v>
      </c>
      <c r="G48" s="554"/>
      <c r="H48" s="554">
        <f t="shared" si="17"/>
        <v>50</v>
      </c>
      <c r="I48" s="554">
        <v>50</v>
      </c>
      <c r="J48" s="554">
        <v>50</v>
      </c>
      <c r="K48" s="169">
        <f t="shared" si="13"/>
        <v>4450</v>
      </c>
      <c r="L48" s="169">
        <f t="shared" si="14"/>
        <v>4450</v>
      </c>
      <c r="M48" s="179">
        <f t="shared" si="16"/>
        <v>1.1111111111111112</v>
      </c>
      <c r="O48" s="9">
        <v>50</v>
      </c>
    </row>
    <row r="49" spans="1:22" ht="13.5" customHeight="1">
      <c r="A49" s="167" t="s">
        <v>266</v>
      </c>
      <c r="B49" s="168" t="s">
        <v>267</v>
      </c>
      <c r="C49" s="169">
        <f>2717526-700000</f>
        <v>2017526</v>
      </c>
      <c r="D49" s="169"/>
      <c r="E49" s="554">
        <v>2965526</v>
      </c>
      <c r="F49" s="554">
        <v>2782115</v>
      </c>
      <c r="G49" s="554">
        <v>286188.3</v>
      </c>
      <c r="H49" s="554">
        <f t="shared" si="17"/>
        <v>2440730.59</v>
      </c>
      <c r="I49" s="554">
        <v>2440730.59</v>
      </c>
      <c r="J49" s="554">
        <v>2103758.9900000002</v>
      </c>
      <c r="K49" s="169">
        <f t="shared" si="13"/>
        <v>341384.41000000015</v>
      </c>
      <c r="L49" s="169">
        <f t="shared" si="14"/>
        <v>524795.41000000015</v>
      </c>
      <c r="M49" s="179">
        <f t="shared" si="16"/>
        <v>87.729320678692289</v>
      </c>
      <c r="O49" s="9">
        <v>2154542.29</v>
      </c>
    </row>
    <row r="50" spans="1:22" ht="15" customHeight="1">
      <c r="A50" s="167" t="s">
        <v>268</v>
      </c>
      <c r="B50" s="168" t="s">
        <v>269</v>
      </c>
      <c r="C50" s="169">
        <v>243600</v>
      </c>
      <c r="D50" s="169"/>
      <c r="E50" s="554">
        <v>313600</v>
      </c>
      <c r="F50" s="554">
        <v>291455</v>
      </c>
      <c r="G50" s="554">
        <v>0</v>
      </c>
      <c r="H50" s="558">
        <f t="shared" si="17"/>
        <v>177231.9</v>
      </c>
      <c r="I50" s="554">
        <v>177231.9</v>
      </c>
      <c r="J50" s="554">
        <v>177231.9</v>
      </c>
      <c r="K50" s="169">
        <f t="shared" si="13"/>
        <v>114223.1</v>
      </c>
      <c r="L50" s="169">
        <f t="shared" si="14"/>
        <v>136368.1</v>
      </c>
      <c r="M50" s="179">
        <f t="shared" si="16"/>
        <v>60.809353073373245</v>
      </c>
      <c r="O50" s="9">
        <v>177231.9</v>
      </c>
    </row>
    <row r="51" spans="1:22" ht="13.15" customHeight="1">
      <c r="A51" s="167">
        <v>116</v>
      </c>
      <c r="B51" s="168" t="s">
        <v>270</v>
      </c>
      <c r="C51" s="169">
        <v>204417</v>
      </c>
      <c r="D51" s="169"/>
      <c r="E51" s="554">
        <v>658417</v>
      </c>
      <c r="F51" s="554">
        <v>658417</v>
      </c>
      <c r="G51" s="554">
        <v>0</v>
      </c>
      <c r="H51" s="554">
        <f t="shared" si="17"/>
        <v>612796.72</v>
      </c>
      <c r="I51" s="554">
        <v>472002.15</v>
      </c>
      <c r="J51" s="554">
        <v>237243.68</v>
      </c>
      <c r="K51" s="169">
        <f t="shared" si="13"/>
        <v>45620.280000000028</v>
      </c>
      <c r="L51" s="169">
        <f t="shared" si="14"/>
        <v>45620.280000000028</v>
      </c>
      <c r="M51" s="179">
        <f t="shared" si="16"/>
        <v>93.071217784473973</v>
      </c>
      <c r="O51" s="9">
        <v>612796.72</v>
      </c>
    </row>
    <row r="52" spans="1:22" ht="13.5" customHeight="1">
      <c r="A52" s="167">
        <v>117</v>
      </c>
      <c r="B52" s="168" t="s">
        <v>271</v>
      </c>
      <c r="C52" s="169">
        <v>30000</v>
      </c>
      <c r="D52" s="169"/>
      <c r="E52" s="554">
        <v>30000</v>
      </c>
      <c r="F52" s="554">
        <v>30000</v>
      </c>
      <c r="G52" s="554"/>
      <c r="H52" s="554">
        <f t="shared" si="17"/>
        <v>6598.16</v>
      </c>
      <c r="I52" s="554">
        <v>577.79999999999995</v>
      </c>
      <c r="J52" s="554">
        <v>577.79999999999995</v>
      </c>
      <c r="K52" s="169">
        <f t="shared" si="13"/>
        <v>23401.84</v>
      </c>
      <c r="L52" s="169"/>
      <c r="M52" s="179">
        <f t="shared" si="16"/>
        <v>21.993866666666666</v>
      </c>
      <c r="O52" s="9">
        <v>6598.16</v>
      </c>
    </row>
    <row r="53" spans="1:22" ht="13.5" customHeight="1">
      <c r="A53" s="167">
        <v>119</v>
      </c>
      <c r="B53" s="168" t="s">
        <v>272</v>
      </c>
      <c r="C53" s="169">
        <v>600</v>
      </c>
      <c r="D53" s="169"/>
      <c r="E53" s="554">
        <v>600</v>
      </c>
      <c r="F53" s="554">
        <v>600</v>
      </c>
      <c r="G53" s="554"/>
      <c r="H53" s="554"/>
      <c r="I53" s="554"/>
      <c r="J53" s="554"/>
      <c r="K53" s="169"/>
      <c r="L53" s="169"/>
      <c r="M53" s="179"/>
      <c r="O53" s="9"/>
    </row>
    <row r="54" spans="1:22" ht="12.75" customHeight="1">
      <c r="A54" s="164">
        <v>120</v>
      </c>
      <c r="B54" s="166" t="s">
        <v>273</v>
      </c>
      <c r="C54" s="166">
        <v>87500</v>
      </c>
      <c r="D54" s="166"/>
      <c r="E54" s="553">
        <f>13000+1100+2000+700</f>
        <v>16800</v>
      </c>
      <c r="F54" s="553">
        <v>16800</v>
      </c>
      <c r="G54" s="553">
        <v>0</v>
      </c>
      <c r="H54" s="553">
        <f>+O54+G54</f>
        <v>9850.3799999999992</v>
      </c>
      <c r="I54" s="553">
        <v>9697.73</v>
      </c>
      <c r="J54" s="553">
        <v>9607.73</v>
      </c>
      <c r="K54" s="166">
        <f t="shared" ref="K54:K64" si="18">+F54-H54</f>
        <v>6949.6200000000008</v>
      </c>
      <c r="L54" s="166">
        <f t="shared" ref="L54:L67" si="19">+E54-H54</f>
        <v>6949.6200000000008</v>
      </c>
      <c r="M54" s="178">
        <f t="shared" ref="M54:M67" si="20">+H54*100/F54</f>
        <v>58.633214285714281</v>
      </c>
      <c r="N54" s="6"/>
      <c r="O54" s="117">
        <v>9850.3799999999992</v>
      </c>
      <c r="V54">
        <f ca="1">V54</f>
        <v>0</v>
      </c>
    </row>
    <row r="55" spans="1:22" ht="13.5" customHeight="1">
      <c r="A55" s="176" t="s">
        <v>274</v>
      </c>
      <c r="B55" s="166" t="s">
        <v>275</v>
      </c>
      <c r="C55" s="166">
        <f>SUM(C56:C57)</f>
        <v>163284</v>
      </c>
      <c r="D55" s="166">
        <f>+D57</f>
        <v>19200</v>
      </c>
      <c r="E55" s="553">
        <f>SUM(E56:E57)</f>
        <v>27189</v>
      </c>
      <c r="F55" s="553">
        <f>SUM(F56:F57)</f>
        <v>27189</v>
      </c>
      <c r="G55" s="553"/>
      <c r="H55" s="553">
        <f t="shared" ref="H55:H67" si="21">+O55+G55</f>
        <v>12607.779999999999</v>
      </c>
      <c r="I55" s="553">
        <f>+I56+I57</f>
        <v>11726.08</v>
      </c>
      <c r="J55" s="553">
        <f>SUM(J56:J57)</f>
        <v>11414.92</v>
      </c>
      <c r="K55" s="166">
        <f t="shared" si="18"/>
        <v>14581.220000000001</v>
      </c>
      <c r="L55" s="166">
        <f t="shared" si="19"/>
        <v>14581.220000000001</v>
      </c>
      <c r="M55" s="178">
        <f t="shared" si="20"/>
        <v>46.370885284490051</v>
      </c>
      <c r="N55" s="6"/>
      <c r="O55" s="117">
        <v>12607.779999999999</v>
      </c>
    </row>
    <row r="56" spans="1:22" ht="14.25" customHeight="1">
      <c r="A56" s="167" t="s">
        <v>276</v>
      </c>
      <c r="B56" s="169" t="s">
        <v>277</v>
      </c>
      <c r="C56" s="169">
        <v>81769</v>
      </c>
      <c r="D56" s="169"/>
      <c r="E56" s="554">
        <v>14574</v>
      </c>
      <c r="F56" s="554">
        <v>14574</v>
      </c>
      <c r="G56" s="554"/>
      <c r="H56" s="554">
        <f t="shared" si="21"/>
        <v>8060.28</v>
      </c>
      <c r="I56" s="554">
        <v>7178.58</v>
      </c>
      <c r="J56" s="554">
        <v>6867.42</v>
      </c>
      <c r="K56" s="169">
        <f t="shared" si="18"/>
        <v>6513.72</v>
      </c>
      <c r="L56" s="169">
        <f t="shared" si="19"/>
        <v>6513.72</v>
      </c>
      <c r="M56" s="179">
        <f t="shared" si="20"/>
        <v>55.305887196377107</v>
      </c>
      <c r="N56" s="6"/>
      <c r="O56" s="9">
        <v>8060.28</v>
      </c>
    </row>
    <row r="57" spans="1:22" ht="15" customHeight="1">
      <c r="A57" s="167" t="s">
        <v>278</v>
      </c>
      <c r="B57" s="169" t="s">
        <v>279</v>
      </c>
      <c r="C57" s="169">
        <v>81515</v>
      </c>
      <c r="D57" s="169">
        <v>19200</v>
      </c>
      <c r="E57" s="554">
        <v>12615</v>
      </c>
      <c r="F57" s="554">
        <v>12615</v>
      </c>
      <c r="G57" s="554"/>
      <c r="H57" s="554">
        <f t="shared" si="21"/>
        <v>4547.5</v>
      </c>
      <c r="I57" s="554">
        <v>4547.5</v>
      </c>
      <c r="J57" s="554">
        <v>4547.5</v>
      </c>
      <c r="K57" s="169">
        <f t="shared" si="18"/>
        <v>8067.5</v>
      </c>
      <c r="L57" s="169">
        <f t="shared" si="19"/>
        <v>8067.5</v>
      </c>
      <c r="M57" s="179">
        <f t="shared" si="20"/>
        <v>36.04835513277844</v>
      </c>
      <c r="N57" s="6"/>
      <c r="O57" s="9">
        <v>4547.5</v>
      </c>
      <c r="Q57" s="9" t="s">
        <v>12</v>
      </c>
    </row>
    <row r="58" spans="1:22">
      <c r="A58" s="176" t="s">
        <v>280</v>
      </c>
      <c r="B58" s="166" t="s">
        <v>281</v>
      </c>
      <c r="C58" s="166">
        <f>SUM(C59:C61)</f>
        <v>981486</v>
      </c>
      <c r="D58" s="166">
        <f>+D61</f>
        <v>7431</v>
      </c>
      <c r="E58" s="553">
        <f>SUM(E59:E61)</f>
        <v>341905</v>
      </c>
      <c r="F58" s="553">
        <f>SUM(F59:F61)</f>
        <v>341905</v>
      </c>
      <c r="G58" s="553">
        <f>SUM(G59:G61)</f>
        <v>33673</v>
      </c>
      <c r="H58" s="553">
        <f>O58+G58</f>
        <v>234272.5</v>
      </c>
      <c r="I58" s="553">
        <f>SUM(I59:I61)</f>
        <v>234272.5</v>
      </c>
      <c r="J58" s="553">
        <f>SUM(J59:J61)</f>
        <v>234098.5</v>
      </c>
      <c r="K58" s="166">
        <f t="shared" si="18"/>
        <v>107632.5</v>
      </c>
      <c r="L58" s="166">
        <f t="shared" si="19"/>
        <v>107632.5</v>
      </c>
      <c r="M58" s="178">
        <f t="shared" si="20"/>
        <v>68.51976426200261</v>
      </c>
      <c r="N58" s="6"/>
      <c r="O58" s="117">
        <v>200599.5</v>
      </c>
      <c r="P58" s="596" t="s">
        <v>12</v>
      </c>
      <c r="Q58" s="9" t="s">
        <v>12</v>
      </c>
      <c r="R58" s="2" t="s">
        <v>12</v>
      </c>
    </row>
    <row r="59" spans="1:22" ht="15.75" customHeight="1">
      <c r="A59" s="175" t="s">
        <v>282</v>
      </c>
      <c r="B59" s="169" t="s">
        <v>283</v>
      </c>
      <c r="C59" s="169">
        <v>621226</v>
      </c>
      <c r="D59" s="169"/>
      <c r="E59" s="554">
        <v>252576</v>
      </c>
      <c r="F59" s="554">
        <v>252576</v>
      </c>
      <c r="G59" s="554">
        <v>25773</v>
      </c>
      <c r="H59" s="557">
        <f>O59+G59</f>
        <v>191468.5</v>
      </c>
      <c r="I59" s="554">
        <v>191468.5</v>
      </c>
      <c r="J59" s="554">
        <v>191294.5</v>
      </c>
      <c r="K59" s="169">
        <f t="shared" si="18"/>
        <v>61107.5</v>
      </c>
      <c r="L59" s="169">
        <f t="shared" si="19"/>
        <v>61107.5</v>
      </c>
      <c r="M59" s="179">
        <f t="shared" si="20"/>
        <v>75.806291967566196</v>
      </c>
      <c r="O59" s="9">
        <f>165655.5+40</f>
        <v>165695.5</v>
      </c>
      <c r="P59" s="181"/>
    </row>
    <row r="60" spans="1:22" ht="13.5" customHeight="1">
      <c r="A60" s="167" t="s">
        <v>284</v>
      </c>
      <c r="B60" s="168" t="s">
        <v>285</v>
      </c>
      <c r="C60" s="169">
        <v>227583</v>
      </c>
      <c r="D60" s="169"/>
      <c r="E60" s="554">
        <v>61783</v>
      </c>
      <c r="F60" s="554">
        <v>61783</v>
      </c>
      <c r="G60" s="554">
        <v>7900</v>
      </c>
      <c r="H60" s="554">
        <f>O60+G60</f>
        <v>31200</v>
      </c>
      <c r="I60" s="554">
        <v>31200</v>
      </c>
      <c r="J60" s="554">
        <v>31200</v>
      </c>
      <c r="K60" s="169">
        <f t="shared" si="18"/>
        <v>30583</v>
      </c>
      <c r="L60" s="169">
        <f t="shared" si="19"/>
        <v>30583</v>
      </c>
      <c r="M60" s="179">
        <f t="shared" si="20"/>
        <v>50.49932829419096</v>
      </c>
      <c r="O60" s="9">
        <v>23300</v>
      </c>
      <c r="Q60" s="267" t="s">
        <v>12</v>
      </c>
    </row>
    <row r="61" spans="1:22" ht="12" customHeight="1">
      <c r="A61" s="167">
        <v>143</v>
      </c>
      <c r="B61" s="168" t="s">
        <v>286</v>
      </c>
      <c r="C61" s="169">
        <v>132677</v>
      </c>
      <c r="D61" s="169">
        <v>7431</v>
      </c>
      <c r="E61" s="554">
        <f>13675+3402+3900+2500+5000+1500+5000-7431</f>
        <v>27546</v>
      </c>
      <c r="F61" s="554">
        <v>27546</v>
      </c>
      <c r="G61" s="554">
        <v>0</v>
      </c>
      <c r="H61" s="554">
        <f>O61+G61</f>
        <v>11604</v>
      </c>
      <c r="I61" s="554">
        <v>11604</v>
      </c>
      <c r="J61" s="554">
        <v>11604</v>
      </c>
      <c r="K61" s="169">
        <f t="shared" si="18"/>
        <v>15942</v>
      </c>
      <c r="L61" s="169">
        <f t="shared" si="19"/>
        <v>15942</v>
      </c>
      <c r="M61" s="179">
        <f t="shared" si="20"/>
        <v>42.125898497059467</v>
      </c>
      <c r="O61" s="9">
        <v>11604</v>
      </c>
      <c r="R61" s="2" t="s">
        <v>12</v>
      </c>
    </row>
    <row r="62" spans="1:22">
      <c r="A62" s="176" t="s">
        <v>287</v>
      </c>
      <c r="B62" s="166" t="s">
        <v>288</v>
      </c>
      <c r="C62" s="166">
        <f>SUM(C63:C65)</f>
        <v>448811</v>
      </c>
      <c r="D62" s="166">
        <f>+D64</f>
        <v>15763</v>
      </c>
      <c r="E62" s="553">
        <f>SUM(E63:E66)</f>
        <v>189048</v>
      </c>
      <c r="F62" s="553">
        <f>+F63+F64+F65+F66</f>
        <v>189048</v>
      </c>
      <c r="G62" s="553">
        <f>+G63+G64+G65+G66</f>
        <v>20458.91</v>
      </c>
      <c r="H62" s="553">
        <f>O62+G62</f>
        <v>85053.62</v>
      </c>
      <c r="I62" s="553">
        <f>+I63+I64+I65+I66</f>
        <v>51177.09</v>
      </c>
      <c r="J62" s="553">
        <f>SUM(J63:J66)</f>
        <v>49417.729999999996</v>
      </c>
      <c r="K62" s="166">
        <f t="shared" si="18"/>
        <v>103994.38</v>
      </c>
      <c r="L62" s="166">
        <f t="shared" si="19"/>
        <v>103994.38</v>
      </c>
      <c r="M62" s="178">
        <f t="shared" si="20"/>
        <v>44.990489187931111</v>
      </c>
      <c r="N62" s="6"/>
      <c r="O62" s="117">
        <v>64594.71</v>
      </c>
      <c r="P62" s="9"/>
      <c r="Q62" s="9" t="s">
        <v>12</v>
      </c>
      <c r="R62" s="2" t="s">
        <v>12</v>
      </c>
    </row>
    <row r="63" spans="1:22" ht="15" customHeight="1">
      <c r="A63" s="175" t="s">
        <v>289</v>
      </c>
      <c r="B63" s="169" t="s">
        <v>283</v>
      </c>
      <c r="C63" s="169">
        <v>251809</v>
      </c>
      <c r="D63" s="169"/>
      <c r="E63" s="554">
        <f>67809+31000-5000</f>
        <v>93809</v>
      </c>
      <c r="F63" s="554">
        <v>93809</v>
      </c>
      <c r="G63" s="554">
        <v>9879.01</v>
      </c>
      <c r="H63" s="554">
        <f>+O63+G63</f>
        <v>48519.16</v>
      </c>
      <c r="I63" s="554">
        <v>44617.919999999998</v>
      </c>
      <c r="J63" s="554">
        <v>44168.77</v>
      </c>
      <c r="K63" s="169">
        <f t="shared" si="18"/>
        <v>45289.84</v>
      </c>
      <c r="L63" s="175">
        <f t="shared" si="19"/>
        <v>45289.84</v>
      </c>
      <c r="M63" s="179">
        <f t="shared" si="20"/>
        <v>51.721220778390133</v>
      </c>
      <c r="O63" s="9">
        <f>38612.15+28</f>
        <v>38640.15</v>
      </c>
      <c r="P63" s="181">
        <f>519.16-491.16</f>
        <v>27.999999999999943</v>
      </c>
      <c r="Q63" s="9"/>
      <c r="R63" s="9">
        <f>SUM(O63:O66)</f>
        <v>64594.710000000006</v>
      </c>
    </row>
    <row r="64" spans="1:22" ht="12.75" customHeight="1">
      <c r="A64" s="167" t="s">
        <v>290</v>
      </c>
      <c r="B64" s="168" t="s">
        <v>285</v>
      </c>
      <c r="C64" s="169">
        <v>158402</v>
      </c>
      <c r="D64" s="169">
        <v>15763</v>
      </c>
      <c r="E64" s="554">
        <f>31402+14100+4600+20000-6000+4000+5000-15763</f>
        <v>57339</v>
      </c>
      <c r="F64" s="554">
        <v>57339</v>
      </c>
      <c r="G64" s="554">
        <v>10579.9</v>
      </c>
      <c r="H64" s="554">
        <f t="shared" si="21"/>
        <v>28618.71</v>
      </c>
      <c r="I64" s="554">
        <v>4741.5600000000004</v>
      </c>
      <c r="J64" s="554">
        <v>3600</v>
      </c>
      <c r="K64" s="169">
        <f t="shared" si="18"/>
        <v>28720.29</v>
      </c>
      <c r="L64" s="175">
        <f t="shared" si="19"/>
        <v>28720.29</v>
      </c>
      <c r="M64" s="179">
        <f t="shared" si="20"/>
        <v>49.911421545544918</v>
      </c>
      <c r="O64" s="9">
        <v>18038.810000000001</v>
      </c>
    </row>
    <row r="65" spans="1:18" ht="12.75" customHeight="1">
      <c r="A65" s="167">
        <v>153</v>
      </c>
      <c r="B65" s="168" t="s">
        <v>291</v>
      </c>
      <c r="C65" s="169">
        <v>38600</v>
      </c>
      <c r="D65" s="169"/>
      <c r="E65" s="554">
        <f>28600-480-14780-1500+3680+6380+6700+2000+3000</f>
        <v>33600</v>
      </c>
      <c r="F65" s="554">
        <v>33600</v>
      </c>
      <c r="G65" s="554">
        <v>0</v>
      </c>
      <c r="H65" s="554">
        <f t="shared" si="21"/>
        <v>6506.5999999999995</v>
      </c>
      <c r="I65" s="559">
        <v>408.46</v>
      </c>
      <c r="J65" s="554">
        <v>408.46</v>
      </c>
      <c r="K65" s="205" t="s">
        <v>292</v>
      </c>
      <c r="L65" s="206">
        <f t="shared" si="19"/>
        <v>27093.4</v>
      </c>
      <c r="M65" s="179">
        <f t="shared" si="20"/>
        <v>19.364880952380954</v>
      </c>
      <c r="O65" s="9">
        <v>6506.5999999999995</v>
      </c>
    </row>
    <row r="66" spans="1:18" ht="14.1" customHeight="1">
      <c r="A66" s="167">
        <v>154</v>
      </c>
      <c r="B66" s="168" t="s">
        <v>293</v>
      </c>
      <c r="C66" s="169"/>
      <c r="D66" s="169"/>
      <c r="E66" s="554">
        <f>5500-1200</f>
        <v>4300</v>
      </c>
      <c r="F66" s="554">
        <v>4300</v>
      </c>
      <c r="G66" s="554">
        <v>0</v>
      </c>
      <c r="H66" s="554">
        <f t="shared" si="21"/>
        <v>1409.1499999999999</v>
      </c>
      <c r="I66" s="554">
        <v>1409.15</v>
      </c>
      <c r="J66" s="554">
        <v>1240.5</v>
      </c>
      <c r="K66" s="169">
        <f>+F66-H66</f>
        <v>2890.8500000000004</v>
      </c>
      <c r="L66" s="175">
        <f t="shared" si="19"/>
        <v>2890.8500000000004</v>
      </c>
      <c r="M66" s="179">
        <f t="shared" si="20"/>
        <v>32.770930232558136</v>
      </c>
      <c r="O66" s="9">
        <v>1409.1499999999999</v>
      </c>
    </row>
    <row r="67" spans="1:18" ht="15.75" customHeight="1">
      <c r="A67" s="176" t="s">
        <v>294</v>
      </c>
      <c r="B67" s="166" t="s">
        <v>295</v>
      </c>
      <c r="C67" s="166">
        <f>SUM(C68:C72)</f>
        <v>1492093</v>
      </c>
      <c r="D67" s="166">
        <f>+D71</f>
        <v>2447</v>
      </c>
      <c r="E67" s="553">
        <f>SUM(E68:E72)</f>
        <v>1492451</v>
      </c>
      <c r="F67" s="553">
        <f>SUM(F68:F72)</f>
        <v>1492451</v>
      </c>
      <c r="G67" s="553">
        <f>SUM(G68:G72)</f>
        <v>49419.45</v>
      </c>
      <c r="H67" s="553">
        <f t="shared" si="21"/>
        <v>941325.73</v>
      </c>
      <c r="I67" s="553">
        <f>+I68+I69+I70+I72+I71</f>
        <v>531973.32000000007</v>
      </c>
      <c r="J67" s="553">
        <f>+J68+J69+J70+J72+J71</f>
        <v>498183.19</v>
      </c>
      <c r="K67" s="166">
        <f>+F67-H67</f>
        <v>551125.27</v>
      </c>
      <c r="L67" s="176">
        <f t="shared" si="19"/>
        <v>551125.27</v>
      </c>
      <c r="M67" s="178">
        <f t="shared" si="20"/>
        <v>63.072471391020542</v>
      </c>
      <c r="O67" s="117">
        <v>891906.28</v>
      </c>
      <c r="P67" s="9"/>
      <c r="Q67" s="9"/>
    </row>
    <row r="68" spans="1:18" ht="0.75" customHeight="1">
      <c r="A68" s="167">
        <v>162</v>
      </c>
      <c r="B68" s="169" t="s">
        <v>296</v>
      </c>
      <c r="C68" s="169">
        <v>0</v>
      </c>
      <c r="D68" s="169"/>
      <c r="E68" s="554">
        <v>0</v>
      </c>
      <c r="F68" s="554">
        <v>0</v>
      </c>
      <c r="G68" s="554"/>
      <c r="H68" s="554"/>
      <c r="I68" s="554"/>
      <c r="J68" s="554"/>
      <c r="K68" s="169"/>
      <c r="L68" s="176"/>
      <c r="M68" s="178"/>
      <c r="O68" s="9"/>
    </row>
    <row r="69" spans="1:18" ht="13.5" customHeight="1">
      <c r="A69" s="175" t="s">
        <v>297</v>
      </c>
      <c r="B69" s="169" t="s">
        <v>298</v>
      </c>
      <c r="C69" s="169">
        <v>3400</v>
      </c>
      <c r="D69" s="169"/>
      <c r="E69" s="554">
        <v>0</v>
      </c>
      <c r="F69" s="554">
        <v>0</v>
      </c>
      <c r="G69" s="554"/>
      <c r="H69" s="554">
        <f>+O69+G69</f>
        <v>0</v>
      </c>
      <c r="I69" s="554"/>
      <c r="J69" s="554"/>
      <c r="K69" s="169">
        <f>+F69-H69</f>
        <v>0</v>
      </c>
      <c r="L69" s="175">
        <f>+E69-H69</f>
        <v>0</v>
      </c>
      <c r="M69" s="179" t="s">
        <v>12</v>
      </c>
      <c r="O69" s="9">
        <v>0</v>
      </c>
    </row>
    <row r="70" spans="1:18" ht="13.5" customHeight="1">
      <c r="A70" s="175" t="s">
        <v>299</v>
      </c>
      <c r="B70" s="169" t="s">
        <v>300</v>
      </c>
      <c r="C70" s="169">
        <v>106950</v>
      </c>
      <c r="D70" s="169"/>
      <c r="E70" s="554">
        <v>257150</v>
      </c>
      <c r="F70" s="554">
        <v>257150</v>
      </c>
      <c r="G70" s="554">
        <v>0</v>
      </c>
      <c r="H70" s="554">
        <f>+O70+G70</f>
        <v>168609.88</v>
      </c>
      <c r="I70" s="554">
        <v>23075.84</v>
      </c>
      <c r="J70" s="554">
        <v>20251.34</v>
      </c>
      <c r="K70" s="169">
        <f>+F70-H70</f>
        <v>88540.12</v>
      </c>
      <c r="L70" s="175">
        <f>+E70-H70</f>
        <v>88540.12</v>
      </c>
      <c r="M70" s="179">
        <f>+H70*100/F70</f>
        <v>65.568687536457318</v>
      </c>
      <c r="O70" s="9">
        <v>168609.88</v>
      </c>
    </row>
    <row r="71" spans="1:18" ht="15" customHeight="1">
      <c r="A71" s="167">
        <v>165</v>
      </c>
      <c r="B71" s="169" t="s">
        <v>301</v>
      </c>
      <c r="C71" s="169">
        <v>737884</v>
      </c>
      <c r="D71" s="169">
        <v>2447</v>
      </c>
      <c r="E71" s="554">
        <v>788455</v>
      </c>
      <c r="F71" s="554">
        <v>788455</v>
      </c>
      <c r="G71" s="554">
        <v>45733</v>
      </c>
      <c r="H71" s="554">
        <f>O71+G71</f>
        <v>513847.97</v>
      </c>
      <c r="I71" s="554">
        <v>407592.78</v>
      </c>
      <c r="J71" s="554">
        <v>402360.96</v>
      </c>
      <c r="K71" s="169">
        <f>+F71-H71</f>
        <v>274607.03000000003</v>
      </c>
      <c r="L71" s="175">
        <f>+E71-H71</f>
        <v>274607.03000000003</v>
      </c>
      <c r="M71" s="179">
        <f>+H71*100/F71</f>
        <v>65.171502495386548</v>
      </c>
      <c r="O71" s="9">
        <v>468114.97</v>
      </c>
      <c r="R71" s="9"/>
    </row>
    <row r="72" spans="1:18" ht="12.75" customHeight="1">
      <c r="A72" s="167" t="s">
        <v>302</v>
      </c>
      <c r="B72" s="168" t="s">
        <v>303</v>
      </c>
      <c r="C72" s="169">
        <v>643859</v>
      </c>
      <c r="D72" s="169"/>
      <c r="E72" s="554">
        <v>446846</v>
      </c>
      <c r="F72" s="554">
        <v>446846</v>
      </c>
      <c r="G72" s="554">
        <v>3686.45</v>
      </c>
      <c r="H72" s="554">
        <f>+G72+O72</f>
        <v>258867.88</v>
      </c>
      <c r="I72" s="554">
        <v>101304.7</v>
      </c>
      <c r="J72" s="554">
        <v>75570.89</v>
      </c>
      <c r="K72" s="169">
        <f>+F72-H72</f>
        <v>187978.12</v>
      </c>
      <c r="L72" s="169">
        <f>+E72-H72</f>
        <v>187978.12</v>
      </c>
      <c r="M72" s="179">
        <f>+H72*100/F72</f>
        <v>57.932236161899176</v>
      </c>
      <c r="O72" s="9">
        <v>255181.43</v>
      </c>
    </row>
    <row r="73" spans="1:18">
      <c r="A73" s="182">
        <v>170</v>
      </c>
      <c r="B73" s="183" t="s">
        <v>304</v>
      </c>
      <c r="C73" s="166">
        <f>SUM(C74:C75)</f>
        <v>305833</v>
      </c>
      <c r="D73" s="166">
        <f>SUM(D74:D75)</f>
        <v>40553</v>
      </c>
      <c r="E73" s="553">
        <f>+E74+E75</f>
        <v>114855</v>
      </c>
      <c r="F73" s="553">
        <f>SUM(F74:F75)</f>
        <v>114855</v>
      </c>
      <c r="G73" s="553">
        <f>SUM(G74:G75)</f>
        <v>5355.88</v>
      </c>
      <c r="H73" s="553">
        <f>+O73+G73</f>
        <v>52993.74</v>
      </c>
      <c r="I73" s="553">
        <f>+I75</f>
        <v>50361.26</v>
      </c>
      <c r="J73" s="553">
        <f>+J75</f>
        <v>11324.72</v>
      </c>
      <c r="K73" s="166">
        <f>+F73-H73</f>
        <v>61861.26</v>
      </c>
      <c r="L73" s="166">
        <f>+E73-H73</f>
        <v>61861.26</v>
      </c>
      <c r="M73" s="178">
        <f>+H73*100/F73</f>
        <v>46.13968917330547</v>
      </c>
      <c r="O73" s="117">
        <v>47637.86</v>
      </c>
    </row>
    <row r="74" spans="1:18">
      <c r="A74" s="184">
        <v>171</v>
      </c>
      <c r="B74" s="185" t="s">
        <v>305</v>
      </c>
      <c r="C74" s="169">
        <v>137125</v>
      </c>
      <c r="D74" s="169">
        <v>9930</v>
      </c>
      <c r="E74" s="554">
        <v>17425</v>
      </c>
      <c r="F74" s="554">
        <v>17425</v>
      </c>
      <c r="G74" s="553"/>
      <c r="H74" s="553"/>
      <c r="I74" s="553"/>
      <c r="J74" s="553"/>
      <c r="K74" s="166"/>
      <c r="L74" s="166"/>
      <c r="M74" s="178"/>
      <c r="O74" s="9"/>
    </row>
    <row r="75" spans="1:18" ht="15" customHeight="1">
      <c r="A75" s="167" t="s">
        <v>306</v>
      </c>
      <c r="B75" s="168" t="s">
        <v>307</v>
      </c>
      <c r="C75" s="169">
        <v>168708</v>
      </c>
      <c r="D75" s="169">
        <v>30623</v>
      </c>
      <c r="E75" s="554">
        <v>97430</v>
      </c>
      <c r="F75" s="554">
        <v>97430</v>
      </c>
      <c r="G75" s="554">
        <v>5355.88</v>
      </c>
      <c r="H75" s="554">
        <f t="shared" ref="H75:H78" si="22">+O75+G75</f>
        <v>52993.74</v>
      </c>
      <c r="I75" s="554">
        <v>50361.26</v>
      </c>
      <c r="J75" s="554">
        <v>11324.72</v>
      </c>
      <c r="K75" s="169">
        <f t="shared" ref="K75:K83" si="23">+F75-H75</f>
        <v>44436.26</v>
      </c>
      <c r="L75" s="169">
        <f t="shared" ref="L75:L83" si="24">+E75-H75</f>
        <v>44436.26</v>
      </c>
      <c r="M75" s="179">
        <f>+H75*100/F75</f>
        <v>54.391604228676997</v>
      </c>
      <c r="O75" s="9">
        <v>47637.86</v>
      </c>
    </row>
    <row r="76" spans="1:18">
      <c r="A76" s="176" t="s">
        <v>308</v>
      </c>
      <c r="B76" s="166" t="s">
        <v>309</v>
      </c>
      <c r="C76" s="166">
        <f>SUM(C77:C82)</f>
        <v>1009621</v>
      </c>
      <c r="D76" s="166">
        <f>SUM(D77:D82)</f>
        <v>13941</v>
      </c>
      <c r="E76" s="553">
        <f>SUM(E77:E82)</f>
        <v>685915</v>
      </c>
      <c r="F76" s="553">
        <f>SUM(F77:F82)</f>
        <v>685915</v>
      </c>
      <c r="G76" s="553">
        <f>SUM(G77:G82)</f>
        <v>15644.470000000001</v>
      </c>
      <c r="H76" s="553">
        <f t="shared" si="22"/>
        <v>418738.4</v>
      </c>
      <c r="I76" s="553">
        <f t="shared" ref="I76" si="25">SUM(I77:I82)</f>
        <v>259375.19</v>
      </c>
      <c r="J76" s="553">
        <f t="shared" ref="J76" si="26">SUM(J77:J82)</f>
        <v>230049.96999999997</v>
      </c>
      <c r="K76" s="166">
        <f t="shared" si="23"/>
        <v>267176.59999999998</v>
      </c>
      <c r="L76" s="166">
        <f t="shared" si="24"/>
        <v>267176.59999999998</v>
      </c>
      <c r="M76" s="178">
        <f>+H76*100/F76</f>
        <v>61.048147365198311</v>
      </c>
      <c r="N76" s="6"/>
      <c r="O76" s="117">
        <v>403093.93</v>
      </c>
      <c r="Q76" s="9"/>
    </row>
    <row r="77" spans="1:18" ht="14.25" customHeight="1">
      <c r="A77" s="167">
        <v>181</v>
      </c>
      <c r="B77" s="169" t="s">
        <v>310</v>
      </c>
      <c r="C77" s="169">
        <v>150000</v>
      </c>
      <c r="D77" s="169"/>
      <c r="E77" s="554">
        <f>22700-3900+3900+2000</f>
        <v>24700</v>
      </c>
      <c r="F77" s="554">
        <v>24700</v>
      </c>
      <c r="G77" s="554">
        <v>8774</v>
      </c>
      <c r="H77" s="554">
        <f t="shared" si="22"/>
        <v>10218.5</v>
      </c>
      <c r="I77" s="554"/>
      <c r="J77" s="554">
        <v>0</v>
      </c>
      <c r="K77" s="169">
        <f t="shared" si="23"/>
        <v>14481.5</v>
      </c>
      <c r="L77" s="169">
        <f t="shared" si="24"/>
        <v>14481.5</v>
      </c>
      <c r="M77" s="179" t="s">
        <v>12</v>
      </c>
      <c r="O77" s="9">
        <v>1444.5</v>
      </c>
    </row>
    <row r="78" spans="1:18" ht="14.25" customHeight="1">
      <c r="A78" s="175" t="s">
        <v>311</v>
      </c>
      <c r="B78" s="169" t="s">
        <v>312</v>
      </c>
      <c r="C78" s="169">
        <v>370682</v>
      </c>
      <c r="D78" s="169">
        <v>5141</v>
      </c>
      <c r="E78" s="554">
        <f>175582+17100+3200-16500+3000-5141</f>
        <v>177241</v>
      </c>
      <c r="F78" s="554">
        <v>177241</v>
      </c>
      <c r="G78" s="554">
        <v>0</v>
      </c>
      <c r="H78" s="554">
        <f t="shared" si="22"/>
        <v>136218.80000000002</v>
      </c>
      <c r="I78" s="554">
        <v>80909.570000000007</v>
      </c>
      <c r="J78" s="554">
        <v>75832.59</v>
      </c>
      <c r="K78" s="169">
        <f t="shared" si="23"/>
        <v>41022.199999999983</v>
      </c>
      <c r="L78" s="169">
        <f t="shared" si="24"/>
        <v>41022.199999999983</v>
      </c>
      <c r="M78" s="179">
        <f>+H78*100/F78</f>
        <v>76.855129456502738</v>
      </c>
      <c r="O78" s="9">
        <v>136218.80000000002</v>
      </c>
    </row>
    <row r="79" spans="1:18" ht="12.75" customHeight="1">
      <c r="A79" s="167">
        <v>183</v>
      </c>
      <c r="B79" s="169" t="s">
        <v>313</v>
      </c>
      <c r="C79" s="169">
        <v>25883</v>
      </c>
      <c r="D79" s="169"/>
      <c r="E79" s="554">
        <f>2883</f>
        <v>2883</v>
      </c>
      <c r="F79" s="554">
        <v>2883</v>
      </c>
      <c r="G79" s="554"/>
      <c r="H79" s="554">
        <f t="shared" ref="H79:H81" si="27">+O79+G79</f>
        <v>0</v>
      </c>
      <c r="I79" s="554"/>
      <c r="J79" s="554">
        <v>0</v>
      </c>
      <c r="K79" s="169">
        <f t="shared" si="23"/>
        <v>2883</v>
      </c>
      <c r="L79" s="169">
        <f t="shared" si="24"/>
        <v>2883</v>
      </c>
      <c r="M79" s="179">
        <f t="shared" ref="M79:M83" si="28">+H79*100/F79</f>
        <v>0</v>
      </c>
      <c r="O79" s="9">
        <v>0</v>
      </c>
    </row>
    <row r="80" spans="1:18" ht="12" customHeight="1">
      <c r="A80" s="167">
        <v>184</v>
      </c>
      <c r="B80" s="169" t="s">
        <v>314</v>
      </c>
      <c r="C80" s="169">
        <v>58665</v>
      </c>
      <c r="D80" s="169">
        <v>6800</v>
      </c>
      <c r="E80" s="554">
        <f>865+7000-6800</f>
        <v>1065</v>
      </c>
      <c r="F80" s="554">
        <v>1065</v>
      </c>
      <c r="G80" s="554"/>
      <c r="H80" s="554">
        <f t="shared" si="27"/>
        <v>0</v>
      </c>
      <c r="I80" s="554"/>
      <c r="J80" s="554">
        <v>0</v>
      </c>
      <c r="K80" s="169">
        <f t="shared" si="23"/>
        <v>1065</v>
      </c>
      <c r="L80" s="169">
        <f t="shared" si="24"/>
        <v>1065</v>
      </c>
      <c r="M80" s="179">
        <f t="shared" si="28"/>
        <v>0</v>
      </c>
      <c r="O80" s="9">
        <v>0</v>
      </c>
    </row>
    <row r="81" spans="1:19" ht="12.75" customHeight="1">
      <c r="A81" s="167">
        <v>185</v>
      </c>
      <c r="B81" s="169" t="s">
        <v>315</v>
      </c>
      <c r="C81" s="169">
        <v>24831</v>
      </c>
      <c r="D81" s="169"/>
      <c r="E81" s="554">
        <f>38430+4701</f>
        <v>43131</v>
      </c>
      <c r="F81" s="554">
        <f>38430+4701</f>
        <v>43131</v>
      </c>
      <c r="G81" s="554">
        <v>1049.67</v>
      </c>
      <c r="H81" s="554">
        <f t="shared" si="27"/>
        <v>33670.53</v>
      </c>
      <c r="I81" s="554">
        <v>23182.43</v>
      </c>
      <c r="J81" s="554">
        <v>20059.080000000002</v>
      </c>
      <c r="K81" s="169">
        <f t="shared" si="23"/>
        <v>9460.4700000000012</v>
      </c>
      <c r="L81" s="169">
        <f t="shared" si="24"/>
        <v>9460.4700000000012</v>
      </c>
      <c r="M81" s="179">
        <f t="shared" si="28"/>
        <v>78.065729985393332</v>
      </c>
      <c r="O81" s="9">
        <v>32620.86</v>
      </c>
    </row>
    <row r="82" spans="1:19" ht="15.75" customHeight="1">
      <c r="A82" s="167">
        <v>189</v>
      </c>
      <c r="B82" s="168" t="s">
        <v>316</v>
      </c>
      <c r="C82" s="169">
        <v>379560</v>
      </c>
      <c r="D82" s="169">
        <v>2000</v>
      </c>
      <c r="E82" s="554">
        <v>436895</v>
      </c>
      <c r="F82" s="554">
        <v>436895</v>
      </c>
      <c r="G82" s="554">
        <v>5820.8</v>
      </c>
      <c r="H82" s="557">
        <f>+G82+O82</f>
        <v>238630.56999999998</v>
      </c>
      <c r="I82" s="554">
        <v>155283.19</v>
      </c>
      <c r="J82" s="554">
        <v>134158.29999999999</v>
      </c>
      <c r="K82" s="169">
        <f t="shared" si="23"/>
        <v>198264.43000000002</v>
      </c>
      <c r="L82" s="169">
        <f t="shared" si="24"/>
        <v>198264.43000000002</v>
      </c>
      <c r="M82" s="179">
        <f t="shared" si="28"/>
        <v>54.619661474725042</v>
      </c>
      <c r="O82" s="9">
        <v>232809.77</v>
      </c>
    </row>
    <row r="83" spans="1:19" ht="12" customHeight="1">
      <c r="A83" s="186">
        <v>190</v>
      </c>
      <c r="B83" s="165" t="s">
        <v>317</v>
      </c>
      <c r="C83" s="166">
        <f>+C85+C89</f>
        <v>0</v>
      </c>
      <c r="D83" s="166"/>
      <c r="E83" s="553">
        <f>SUM(E84:E92)</f>
        <v>149480</v>
      </c>
      <c r="F83" s="553">
        <f>SUM(F84:F92)</f>
        <v>149480</v>
      </c>
      <c r="G83" s="553">
        <f>SUM(G84:G92)</f>
        <v>1110</v>
      </c>
      <c r="H83" s="553">
        <f>O83+G83</f>
        <v>137423.18</v>
      </c>
      <c r="I83" s="553">
        <f>SUM(I85:I92)</f>
        <v>79557.86</v>
      </c>
      <c r="J83" s="553">
        <f>SUM(J84:J92)</f>
        <v>99721.62</v>
      </c>
      <c r="K83" s="166">
        <f t="shared" si="23"/>
        <v>12056.820000000007</v>
      </c>
      <c r="L83" s="166">
        <f t="shared" si="24"/>
        <v>12056.820000000007</v>
      </c>
      <c r="M83" s="178">
        <f t="shared" si="28"/>
        <v>91.93415841584158</v>
      </c>
      <c r="O83" s="117">
        <v>136313.18</v>
      </c>
    </row>
    <row r="84" spans="1:19" ht="0.75" customHeight="1">
      <c r="A84" s="187">
        <v>191</v>
      </c>
      <c r="B84" s="168" t="s">
        <v>318</v>
      </c>
      <c r="C84" s="166"/>
      <c r="D84" s="166"/>
      <c r="E84" s="554">
        <f>SUM(C84:C84)</f>
        <v>0</v>
      </c>
      <c r="F84" s="554">
        <v>0</v>
      </c>
      <c r="G84" s="553">
        <v>0</v>
      </c>
      <c r="H84" s="554">
        <f>+O84+G84</f>
        <v>0</v>
      </c>
      <c r="I84" s="554"/>
      <c r="J84" s="554"/>
      <c r="K84" s="166"/>
      <c r="L84" s="166"/>
      <c r="M84" s="179"/>
      <c r="O84" s="9">
        <v>0</v>
      </c>
    </row>
    <row r="85" spans="1:19" ht="12" customHeight="1">
      <c r="A85" s="187">
        <v>192</v>
      </c>
      <c r="B85" s="168" t="s">
        <v>319</v>
      </c>
      <c r="C85" s="169"/>
      <c r="D85" s="169"/>
      <c r="E85" s="554">
        <v>10950</v>
      </c>
      <c r="F85" s="554">
        <v>10950</v>
      </c>
      <c r="G85" s="554">
        <v>0</v>
      </c>
      <c r="H85" s="554">
        <f>+O85+G85</f>
        <v>10230.169999999998</v>
      </c>
      <c r="I85" s="554">
        <v>3221.24</v>
      </c>
      <c r="J85" s="554">
        <v>4421.24</v>
      </c>
      <c r="K85" s="169">
        <f>+F85-H85</f>
        <v>719.83000000000175</v>
      </c>
      <c r="L85" s="169">
        <f>+E85-H85</f>
        <v>719.83000000000175</v>
      </c>
      <c r="M85" s="179">
        <f>+H85*100/F85</f>
        <v>93.426210045662074</v>
      </c>
      <c r="O85" s="9">
        <v>10230.169999999998</v>
      </c>
    </row>
    <row r="86" spans="1:19" ht="17.25" hidden="1" customHeight="1">
      <c r="A86" s="187">
        <v>193</v>
      </c>
      <c r="B86" s="168" t="s">
        <v>320</v>
      </c>
      <c r="C86" s="169"/>
      <c r="D86" s="169"/>
      <c r="E86" s="554"/>
      <c r="F86" s="554">
        <v>0</v>
      </c>
      <c r="G86" s="554"/>
      <c r="H86" s="554"/>
      <c r="I86" s="554"/>
      <c r="J86" s="554"/>
      <c r="K86" s="169">
        <f>+F86-H86</f>
        <v>0</v>
      </c>
      <c r="L86" s="169">
        <f>+E86-H86</f>
        <v>0</v>
      </c>
      <c r="M86" s="179" t="s">
        <v>12</v>
      </c>
      <c r="O86" s="9"/>
    </row>
    <row r="87" spans="1:19" ht="13.5" customHeight="1">
      <c r="A87" s="187">
        <v>194</v>
      </c>
      <c r="B87" s="168" t="s">
        <v>321</v>
      </c>
      <c r="C87" s="169"/>
      <c r="D87" s="169"/>
      <c r="E87" s="554">
        <v>100</v>
      </c>
      <c r="F87" s="554">
        <v>100</v>
      </c>
      <c r="G87" s="554">
        <v>0</v>
      </c>
      <c r="H87" s="554">
        <f>+G87+O87</f>
        <v>64.2</v>
      </c>
      <c r="I87" s="554"/>
      <c r="J87" s="554">
        <v>64.2</v>
      </c>
      <c r="K87" s="169">
        <f>+F87-H87</f>
        <v>35.799999999999997</v>
      </c>
      <c r="L87" s="169"/>
      <c r="M87" s="179">
        <f>+H87*100/F87</f>
        <v>64.2</v>
      </c>
      <c r="O87" s="9">
        <v>64.2</v>
      </c>
    </row>
    <row r="88" spans="1:19" ht="13.5" customHeight="1">
      <c r="A88" s="187">
        <v>195</v>
      </c>
      <c r="B88" s="168" t="s">
        <v>322</v>
      </c>
      <c r="C88" s="169"/>
      <c r="D88" s="169"/>
      <c r="E88" s="554">
        <f>4500-1000</f>
        <v>3500</v>
      </c>
      <c r="F88" s="554">
        <v>3500</v>
      </c>
      <c r="G88" s="554"/>
      <c r="H88" s="554">
        <f t="shared" ref="H88" si="29">O88+G88</f>
        <v>1382</v>
      </c>
      <c r="I88" s="554">
        <v>1382</v>
      </c>
      <c r="J88" s="554">
        <v>1382</v>
      </c>
      <c r="K88" s="169"/>
      <c r="L88" s="169"/>
      <c r="M88" s="179">
        <f>+H88*100/F88</f>
        <v>39.485714285714288</v>
      </c>
      <c r="O88" s="9">
        <v>1382</v>
      </c>
    </row>
    <row r="89" spans="1:19" ht="13.5" customHeight="1">
      <c r="A89" s="187">
        <v>196</v>
      </c>
      <c r="B89" s="168" t="s">
        <v>323</v>
      </c>
      <c r="C89" s="169"/>
      <c r="D89" s="169"/>
      <c r="E89" s="554">
        <v>19800</v>
      </c>
      <c r="F89" s="554">
        <v>19800</v>
      </c>
      <c r="G89" s="554">
        <v>1110</v>
      </c>
      <c r="H89" s="554">
        <f>+G89+O89</f>
        <v>18383.009999999998</v>
      </c>
      <c r="I89" s="554">
        <v>18383.009999999998</v>
      </c>
      <c r="J89" s="554">
        <v>16045.11</v>
      </c>
      <c r="K89" s="169">
        <f>+F89-H89</f>
        <v>1416.9900000000016</v>
      </c>
      <c r="L89" s="169">
        <f>+E89-H89</f>
        <v>1416.9900000000016</v>
      </c>
      <c r="M89" s="179">
        <f>+H89*100/F89</f>
        <v>92.843484848484835</v>
      </c>
      <c r="O89" s="9">
        <v>17273.009999999998</v>
      </c>
    </row>
    <row r="90" spans="1:19" ht="14.25" customHeight="1">
      <c r="A90" s="187">
        <v>197</v>
      </c>
      <c r="B90" s="168" t="s">
        <v>324</v>
      </c>
      <c r="C90" s="169"/>
      <c r="D90" s="169"/>
      <c r="E90" s="554">
        <v>61640</v>
      </c>
      <c r="F90" s="554">
        <v>61640</v>
      </c>
      <c r="G90" s="554">
        <v>0</v>
      </c>
      <c r="H90" s="554">
        <f>O90+G90</f>
        <v>54857.11</v>
      </c>
      <c r="I90" s="554">
        <v>16314.32</v>
      </c>
      <c r="J90" s="554">
        <v>31070.86</v>
      </c>
      <c r="K90" s="169">
        <f>+F90-H90</f>
        <v>6782.8899999999994</v>
      </c>
      <c r="L90" s="169">
        <f>+E90-H90</f>
        <v>6782.8899999999994</v>
      </c>
      <c r="M90" s="179">
        <f t="shared" ref="M90:M92" si="30">+H90*100/F90</f>
        <v>88.995960415314727</v>
      </c>
      <c r="O90" s="9">
        <v>54857.11</v>
      </c>
    </row>
    <row r="91" spans="1:19" ht="17.25" hidden="1" customHeight="1">
      <c r="A91" s="187">
        <v>198</v>
      </c>
      <c r="B91" s="168" t="s">
        <v>320</v>
      </c>
      <c r="C91" s="188"/>
      <c r="D91" s="188"/>
      <c r="E91" s="554"/>
      <c r="F91" s="554"/>
      <c r="G91" s="554"/>
      <c r="H91" s="554"/>
      <c r="I91" s="554"/>
      <c r="J91" s="554"/>
      <c r="K91" s="169">
        <f>+F91-H91</f>
        <v>0</v>
      </c>
      <c r="L91" s="169"/>
      <c r="M91" s="179" t="e">
        <f t="shared" si="30"/>
        <v>#DIV/0!</v>
      </c>
      <c r="O91" s="9"/>
    </row>
    <row r="92" spans="1:19" ht="13.5" customHeight="1">
      <c r="A92" s="189">
        <v>199</v>
      </c>
      <c r="B92" s="190" t="s">
        <v>325</v>
      </c>
      <c r="C92" s="191"/>
      <c r="D92" s="57"/>
      <c r="E92" s="554">
        <f>52270+1220</f>
        <v>53490</v>
      </c>
      <c r="F92" s="554">
        <v>53490</v>
      </c>
      <c r="G92" s="554">
        <v>0</v>
      </c>
      <c r="H92" s="554">
        <f>O92+G92</f>
        <v>52506.69</v>
      </c>
      <c r="I92" s="554">
        <v>40257.29</v>
      </c>
      <c r="J92" s="554">
        <v>46738.21</v>
      </c>
      <c r="K92" s="169">
        <f>+F92-H92</f>
        <v>983.30999999999767</v>
      </c>
      <c r="L92" s="169">
        <f>+E92-H92</f>
        <v>983.30999999999767</v>
      </c>
      <c r="M92" s="179">
        <f t="shared" si="30"/>
        <v>98.161693774537298</v>
      </c>
      <c r="O92" s="9">
        <v>52506.69</v>
      </c>
    </row>
    <row r="93" spans="1:19" ht="15" customHeight="1">
      <c r="A93" s="187"/>
      <c r="B93" s="192"/>
      <c r="C93" s="193"/>
      <c r="D93" s="193"/>
      <c r="E93" s="560"/>
      <c r="F93" s="560"/>
      <c r="G93" s="560"/>
      <c r="H93" s="560"/>
      <c r="I93" s="560"/>
      <c r="J93" s="560"/>
      <c r="K93" s="193"/>
      <c r="L93" s="193"/>
      <c r="M93" s="179"/>
      <c r="O93" s="9"/>
    </row>
    <row r="94" spans="1:19" ht="15.75" customHeight="1">
      <c r="A94" s="194" t="s">
        <v>326</v>
      </c>
      <c r="B94" s="194" t="s">
        <v>327</v>
      </c>
      <c r="C94" s="195">
        <f t="shared" ref="C94:I94" si="31">+C95+C98+C104+C110+C114+C120+C128+C134+C143+C144</f>
        <v>3042561</v>
      </c>
      <c r="D94" s="195">
        <f>+D95+D98+D110+D114+D120+D128+D144</f>
        <v>537778</v>
      </c>
      <c r="E94" s="561">
        <f t="shared" si="31"/>
        <v>3897255</v>
      </c>
      <c r="F94" s="561">
        <f t="shared" si="31"/>
        <v>3897255</v>
      </c>
      <c r="G94" s="561">
        <f t="shared" si="31"/>
        <v>82052.899999999994</v>
      </c>
      <c r="H94" s="562">
        <f>O94+G94</f>
        <v>2941217.44</v>
      </c>
      <c r="I94" s="561">
        <f t="shared" si="31"/>
        <v>2257393.8199999998</v>
      </c>
      <c r="J94" s="561">
        <f>J95+J98+J104+J110+J114+J120+J128+J134+J143+J144</f>
        <v>2021845.14</v>
      </c>
      <c r="K94" s="207">
        <f>+F94-H94+1</f>
        <v>956038.56</v>
      </c>
      <c r="L94" s="195">
        <f t="shared" ref="L94:L125" si="32">+E94-H94</f>
        <v>956037.56</v>
      </c>
      <c r="M94" s="208">
        <f t="shared" ref="M94:M118" si="33">+H94*100/F94</f>
        <v>75.468950325293065</v>
      </c>
      <c r="O94" s="117">
        <v>2859164.54</v>
      </c>
      <c r="P94" s="9"/>
      <c r="Q94" s="9"/>
      <c r="R94" s="9">
        <f>2941217.44-82052.9</f>
        <v>2859164.54</v>
      </c>
    </row>
    <row r="95" spans="1:19" ht="16.5" customHeight="1">
      <c r="A95" s="196" t="s">
        <v>328</v>
      </c>
      <c r="B95" s="196" t="s">
        <v>329</v>
      </c>
      <c r="C95" s="197">
        <f>SUM(C96:C97)</f>
        <v>185018</v>
      </c>
      <c r="D95" s="197">
        <f>+D96</f>
        <v>15292</v>
      </c>
      <c r="E95" s="563">
        <f>SUM(E96:E97)</f>
        <v>121226</v>
      </c>
      <c r="F95" s="564">
        <f>SUM(F96:F97)</f>
        <v>121226</v>
      </c>
      <c r="G95" s="565">
        <f>+G96+G97</f>
        <v>4700.5</v>
      </c>
      <c r="H95" s="566">
        <f>O95+G95</f>
        <v>56858.38</v>
      </c>
      <c r="I95" s="563">
        <f t="shared" ref="I95:J95" si="34">SUM(I96:I97)</f>
        <v>53063.38</v>
      </c>
      <c r="J95" s="563">
        <f t="shared" si="34"/>
        <v>47431.619999999995</v>
      </c>
      <c r="K95" s="199">
        <f t="shared" ref="K95:K102" si="35">+F95-H95</f>
        <v>64367.62</v>
      </c>
      <c r="L95" s="197">
        <f t="shared" si="32"/>
        <v>64367.62</v>
      </c>
      <c r="M95" s="209">
        <f t="shared" si="33"/>
        <v>46.902793130186595</v>
      </c>
      <c r="O95" s="117">
        <v>52157.88</v>
      </c>
      <c r="P95" s="9"/>
      <c r="Q95" s="210"/>
      <c r="S95" t="s">
        <v>12</v>
      </c>
    </row>
    <row r="96" spans="1:19" ht="13.5" customHeight="1">
      <c r="A96" s="188" t="s">
        <v>330</v>
      </c>
      <c r="B96" s="200" t="s">
        <v>331</v>
      </c>
      <c r="C96" s="200">
        <v>168849</v>
      </c>
      <c r="D96" s="200">
        <v>15292</v>
      </c>
      <c r="E96" s="567">
        <f>64555+14294+40000-15292</f>
        <v>103557</v>
      </c>
      <c r="F96" s="568">
        <v>103557</v>
      </c>
      <c r="G96" s="569">
        <v>4700.5</v>
      </c>
      <c r="H96" s="554">
        <f>O96+G96</f>
        <v>47625.89</v>
      </c>
      <c r="I96" s="554">
        <v>44070.89</v>
      </c>
      <c r="J96" s="567">
        <v>38960.89</v>
      </c>
      <c r="K96" s="169">
        <f t="shared" si="35"/>
        <v>55931.11</v>
      </c>
      <c r="L96" s="200">
        <f t="shared" si="32"/>
        <v>55931.11</v>
      </c>
      <c r="M96" s="211">
        <f t="shared" si="33"/>
        <v>45.990024817250401</v>
      </c>
      <c r="O96" s="9">
        <v>42925.39</v>
      </c>
    </row>
    <row r="97" spans="1:18" ht="13.5" customHeight="1">
      <c r="A97" s="187" t="s">
        <v>332</v>
      </c>
      <c r="B97" s="201" t="s">
        <v>333</v>
      </c>
      <c r="C97" s="200">
        <v>16169</v>
      </c>
      <c r="D97" s="200"/>
      <c r="E97" s="567">
        <f>14169+3500</f>
        <v>17669</v>
      </c>
      <c r="F97" s="568">
        <v>17669</v>
      </c>
      <c r="G97" s="569">
        <v>0</v>
      </c>
      <c r="H97" s="554">
        <f>O97+G97</f>
        <v>9232.49</v>
      </c>
      <c r="I97" s="554">
        <v>8992.49</v>
      </c>
      <c r="J97" s="567">
        <v>8470.73</v>
      </c>
      <c r="K97" s="169">
        <f t="shared" si="35"/>
        <v>8436.51</v>
      </c>
      <c r="L97" s="200">
        <f t="shared" si="32"/>
        <v>8436.51</v>
      </c>
      <c r="M97" s="211">
        <f t="shared" si="33"/>
        <v>52.252476088063844</v>
      </c>
      <c r="O97" s="9">
        <v>9232.49</v>
      </c>
      <c r="P97" s="9"/>
      <c r="Q97" s="9"/>
    </row>
    <row r="98" spans="1:18">
      <c r="A98" s="8" t="s">
        <v>334</v>
      </c>
      <c r="B98" s="202" t="s">
        <v>335</v>
      </c>
      <c r="C98" s="202">
        <f>SUM(C99:C103)</f>
        <v>196410</v>
      </c>
      <c r="D98" s="202">
        <f>SUM(D99:D103)</f>
        <v>91200</v>
      </c>
      <c r="E98" s="570">
        <f>SUM(E99:E103)</f>
        <v>254860</v>
      </c>
      <c r="F98" s="571">
        <f>SUM(F99:F103)</f>
        <v>254860</v>
      </c>
      <c r="G98" s="572">
        <f>+G99+G100+G101+G102+G103</f>
        <v>458.39</v>
      </c>
      <c r="H98" s="553">
        <f>+O98+G98</f>
        <v>214157.12000000002</v>
      </c>
      <c r="I98" s="572">
        <f>SUM(I99:I103)</f>
        <v>197660.12</v>
      </c>
      <c r="J98" s="572">
        <f t="shared" ref="J98" si="36">SUM(J99:J103)</f>
        <v>158651.18</v>
      </c>
      <c r="K98" s="166">
        <f t="shared" si="35"/>
        <v>40702.879999999976</v>
      </c>
      <c r="L98" s="202">
        <f t="shared" si="32"/>
        <v>40702.879999999976</v>
      </c>
      <c r="M98" s="211">
        <f t="shared" si="33"/>
        <v>84.029318056972471</v>
      </c>
      <c r="O98" s="117">
        <v>213698.73</v>
      </c>
    </row>
    <row r="99" spans="1:18" ht="12" customHeight="1">
      <c r="A99" s="188" t="s">
        <v>336</v>
      </c>
      <c r="B99" s="200" t="s">
        <v>337</v>
      </c>
      <c r="C99" s="200">
        <v>32960</v>
      </c>
      <c r="D99" s="200"/>
      <c r="E99" s="567">
        <v>42660</v>
      </c>
      <c r="F99" s="568">
        <v>42660</v>
      </c>
      <c r="G99" s="569">
        <v>458.39</v>
      </c>
      <c r="H99" s="554">
        <f t="shared" ref="H99:H126" si="37">+O99+G99</f>
        <v>32751.17</v>
      </c>
      <c r="I99" s="554">
        <v>32292.78</v>
      </c>
      <c r="J99" s="567">
        <v>30655.18</v>
      </c>
      <c r="K99" s="169">
        <f t="shared" si="35"/>
        <v>9908.8300000000017</v>
      </c>
      <c r="L99" s="200">
        <f t="shared" si="32"/>
        <v>9908.8300000000017</v>
      </c>
      <c r="M99" s="211">
        <f t="shared" si="33"/>
        <v>76.77255039849976</v>
      </c>
      <c r="O99" s="9">
        <v>32292.78</v>
      </c>
    </row>
    <row r="100" spans="1:18" ht="12" customHeight="1">
      <c r="A100" s="187" t="s">
        <v>338</v>
      </c>
      <c r="B100" s="201" t="s">
        <v>339</v>
      </c>
      <c r="C100" s="200">
        <v>37749</v>
      </c>
      <c r="D100" s="200">
        <v>13200</v>
      </c>
      <c r="E100" s="567">
        <v>37149</v>
      </c>
      <c r="F100" s="568">
        <v>37149</v>
      </c>
      <c r="G100" s="569"/>
      <c r="H100" s="554">
        <f t="shared" si="37"/>
        <v>28374.48</v>
      </c>
      <c r="I100" s="554">
        <v>28374.48</v>
      </c>
      <c r="J100" s="567">
        <v>28374.48</v>
      </c>
      <c r="K100" s="169">
        <f t="shared" si="35"/>
        <v>8774.52</v>
      </c>
      <c r="L100" s="200">
        <f t="shared" si="32"/>
        <v>8774.52</v>
      </c>
      <c r="M100" s="211">
        <f t="shared" si="33"/>
        <v>76.380198659452475</v>
      </c>
      <c r="O100" s="9">
        <v>28374.48</v>
      </c>
    </row>
    <row r="101" spans="1:18" ht="12" customHeight="1">
      <c r="A101" s="187" t="s">
        <v>340</v>
      </c>
      <c r="B101" s="201" t="s">
        <v>341</v>
      </c>
      <c r="C101" s="200">
        <v>40776</v>
      </c>
      <c r="D101" s="200"/>
      <c r="E101" s="567">
        <f>9776+4100</f>
        <v>13876</v>
      </c>
      <c r="F101" s="568">
        <v>13876</v>
      </c>
      <c r="G101" s="569"/>
      <c r="H101" s="554">
        <f t="shared" si="37"/>
        <v>8999.5499999999993</v>
      </c>
      <c r="I101" s="554">
        <v>8978.15</v>
      </c>
      <c r="J101" s="567">
        <v>8978.15</v>
      </c>
      <c r="K101" s="169">
        <f t="shared" si="35"/>
        <v>4876.4500000000007</v>
      </c>
      <c r="L101" s="200">
        <f t="shared" si="32"/>
        <v>4876.4500000000007</v>
      </c>
      <c r="M101" s="211">
        <f t="shared" si="33"/>
        <v>64.856947247045255</v>
      </c>
      <c r="O101" s="9">
        <v>8999.5499999999993</v>
      </c>
    </row>
    <row r="102" spans="1:18" ht="13.5" customHeight="1">
      <c r="A102" s="187" t="s">
        <v>342</v>
      </c>
      <c r="B102" s="201" t="s">
        <v>343</v>
      </c>
      <c r="C102" s="200">
        <v>81833</v>
      </c>
      <c r="D102" s="200">
        <v>78000</v>
      </c>
      <c r="E102" s="567">
        <v>146883</v>
      </c>
      <c r="F102" s="567">
        <v>146883</v>
      </c>
      <c r="G102" s="569"/>
      <c r="H102" s="554">
        <f t="shared" si="37"/>
        <v>132277.97</v>
      </c>
      <c r="I102" s="554">
        <v>116424.47</v>
      </c>
      <c r="J102" s="567">
        <v>81478.820000000007</v>
      </c>
      <c r="K102" s="169">
        <f t="shared" si="35"/>
        <v>14605.029999999999</v>
      </c>
      <c r="L102" s="200">
        <f t="shared" si="32"/>
        <v>14605.029999999999</v>
      </c>
      <c r="M102" s="211">
        <f t="shared" si="33"/>
        <v>90.05669138021419</v>
      </c>
      <c r="O102" s="9">
        <v>132277.97</v>
      </c>
    </row>
    <row r="103" spans="1:18" ht="13.5" customHeight="1">
      <c r="A103" s="187" t="s">
        <v>344</v>
      </c>
      <c r="B103" s="201" t="s">
        <v>345</v>
      </c>
      <c r="C103" s="169">
        <v>3092</v>
      </c>
      <c r="D103" s="169"/>
      <c r="E103" s="554">
        <f>13145+1147</f>
        <v>14292</v>
      </c>
      <c r="F103" s="573">
        <v>14292</v>
      </c>
      <c r="G103" s="569"/>
      <c r="H103" s="554">
        <f t="shared" si="37"/>
        <v>11753.95</v>
      </c>
      <c r="I103" s="554">
        <v>11590.24</v>
      </c>
      <c r="J103" s="567">
        <v>9164.5499999999993</v>
      </c>
      <c r="K103" s="169" t="s">
        <v>12</v>
      </c>
      <c r="L103" s="200">
        <f t="shared" si="32"/>
        <v>2538.0499999999993</v>
      </c>
      <c r="M103" s="211">
        <f t="shared" si="33"/>
        <v>82.241463755947379</v>
      </c>
      <c r="O103" s="9">
        <v>11753.95</v>
      </c>
    </row>
    <row r="104" spans="1:18" ht="20.25" customHeight="1">
      <c r="A104" s="203" t="s">
        <v>346</v>
      </c>
      <c r="B104" s="197" t="s">
        <v>347</v>
      </c>
      <c r="C104" s="197">
        <f>SUM(C105:C109)</f>
        <v>361282</v>
      </c>
      <c r="D104" s="197"/>
      <c r="E104" s="563">
        <f>SUM(E105:E109)</f>
        <v>471432</v>
      </c>
      <c r="F104" s="564">
        <f>SUM(F105:F109)</f>
        <v>471432</v>
      </c>
      <c r="G104" s="564">
        <f>SUM(G105:G109)</f>
        <v>4619.1899999999996</v>
      </c>
      <c r="H104" s="565">
        <f t="shared" si="37"/>
        <v>286291.02</v>
      </c>
      <c r="I104" s="565">
        <f t="shared" ref="I104" si="38">SUM(I105:I109)</f>
        <v>202123.77000000002</v>
      </c>
      <c r="J104" s="565">
        <f t="shared" ref="J104" si="39">SUM(J105:J109)</f>
        <v>182118.72000000003</v>
      </c>
      <c r="K104" s="199">
        <f>+F104-H104</f>
        <v>185140.97999999998</v>
      </c>
      <c r="L104" s="197">
        <f t="shared" si="32"/>
        <v>185140.97999999998</v>
      </c>
      <c r="M104" s="211">
        <f t="shared" si="33"/>
        <v>60.72795652395255</v>
      </c>
      <c r="N104" s="6"/>
      <c r="O104" s="117">
        <f>289931.83-6500-1760</f>
        <v>281671.83</v>
      </c>
      <c r="P104" s="9"/>
      <c r="Q104" s="9"/>
      <c r="R104" s="9"/>
    </row>
    <row r="105" spans="1:18" ht="12" customHeight="1">
      <c r="A105" s="188" t="s">
        <v>348</v>
      </c>
      <c r="B105" s="200" t="s">
        <v>349</v>
      </c>
      <c r="C105" s="200">
        <v>59850</v>
      </c>
      <c r="D105" s="200"/>
      <c r="E105" s="567">
        <v>207850</v>
      </c>
      <c r="F105" s="574">
        <v>207850</v>
      </c>
      <c r="G105" s="569">
        <v>5502.28</v>
      </c>
      <c r="H105" s="554">
        <f>+O105+G105</f>
        <v>157109.51</v>
      </c>
      <c r="I105" s="554">
        <v>101709.03</v>
      </c>
      <c r="J105" s="567">
        <v>101709.03</v>
      </c>
      <c r="K105" s="169">
        <f>+F105-H105</f>
        <v>50740.489999999991</v>
      </c>
      <c r="L105" s="200">
        <f t="shared" si="32"/>
        <v>50740.489999999991</v>
      </c>
      <c r="M105" s="211">
        <f t="shared" si="33"/>
        <v>75.587928794803943</v>
      </c>
      <c r="O105" s="235">
        <f>158107.23-6500</f>
        <v>151607.23000000001</v>
      </c>
      <c r="R105">
        <f>163609.51-157109.51</f>
        <v>6500</v>
      </c>
    </row>
    <row r="106" spans="1:18" ht="12" customHeight="1">
      <c r="A106" s="187">
        <v>222</v>
      </c>
      <c r="B106" s="200" t="s">
        <v>350</v>
      </c>
      <c r="C106" s="200">
        <v>71432</v>
      </c>
      <c r="D106" s="200"/>
      <c r="E106" s="567">
        <v>139582</v>
      </c>
      <c r="F106" s="568">
        <v>139582</v>
      </c>
      <c r="G106" s="569"/>
      <c r="H106" s="554">
        <f t="shared" si="37"/>
        <v>81339.680000000008</v>
      </c>
      <c r="I106" s="554">
        <v>63308.23</v>
      </c>
      <c r="J106" s="567">
        <v>44873.26</v>
      </c>
      <c r="K106" s="169">
        <v>11127.96</v>
      </c>
      <c r="L106" s="200">
        <f t="shared" si="32"/>
        <v>58242.319999999992</v>
      </c>
      <c r="M106" s="211">
        <f t="shared" si="33"/>
        <v>58.273760226963368</v>
      </c>
      <c r="O106" s="9">
        <v>81339.680000000008</v>
      </c>
    </row>
    <row r="107" spans="1:18" ht="16.149999999999999" customHeight="1">
      <c r="A107" s="187" t="s">
        <v>351</v>
      </c>
      <c r="B107" s="201" t="s">
        <v>352</v>
      </c>
      <c r="C107" s="200">
        <v>150000</v>
      </c>
      <c r="D107" s="200"/>
      <c r="E107" s="567">
        <v>92300</v>
      </c>
      <c r="F107" s="568">
        <v>92300</v>
      </c>
      <c r="G107" s="599">
        <v>-883.09</v>
      </c>
      <c r="H107" s="554">
        <f t="shared" si="37"/>
        <v>31444.240000000002</v>
      </c>
      <c r="I107" s="554">
        <v>20717.759999999998</v>
      </c>
      <c r="J107" s="567">
        <v>20717.759999999998</v>
      </c>
      <c r="K107" s="169">
        <f t="shared" ref="K107:K126" si="40">+F107-H107</f>
        <v>60855.759999999995</v>
      </c>
      <c r="L107" s="200">
        <f t="shared" si="32"/>
        <v>60855.759999999995</v>
      </c>
      <c r="M107" s="211">
        <f t="shared" si="33"/>
        <v>34.067432286023838</v>
      </c>
      <c r="O107" s="235">
        <f>34087.33-1760</f>
        <v>32327.33</v>
      </c>
      <c r="Q107">
        <f>33204.24-31444.24</f>
        <v>1759.9999999999964</v>
      </c>
    </row>
    <row r="108" spans="1:18" ht="14.25" customHeight="1">
      <c r="A108" s="187" t="s">
        <v>353</v>
      </c>
      <c r="B108" s="201" t="s">
        <v>354</v>
      </c>
      <c r="C108" s="200">
        <v>50000</v>
      </c>
      <c r="D108" s="200"/>
      <c r="E108" s="567">
        <f>13700+4000</f>
        <v>17700</v>
      </c>
      <c r="F108" s="568">
        <v>17700</v>
      </c>
      <c r="G108" s="569"/>
      <c r="H108" s="554">
        <f>O108+G108</f>
        <v>8155.6200000000008</v>
      </c>
      <c r="I108" s="554">
        <v>8146.78</v>
      </c>
      <c r="J108" s="567">
        <v>6576.7</v>
      </c>
      <c r="K108" s="169">
        <f t="shared" si="40"/>
        <v>9544.3799999999992</v>
      </c>
      <c r="L108" s="200">
        <f t="shared" si="32"/>
        <v>9544.3799999999992</v>
      </c>
      <c r="M108" s="211">
        <f t="shared" si="33"/>
        <v>46.076949152542376</v>
      </c>
      <c r="O108" s="9">
        <v>8155.6200000000008</v>
      </c>
    </row>
    <row r="109" spans="1:18" ht="14.45" customHeight="1">
      <c r="A109" s="187">
        <v>229</v>
      </c>
      <c r="B109" s="201" t="s">
        <v>355</v>
      </c>
      <c r="C109" s="200">
        <v>30000</v>
      </c>
      <c r="D109" s="200"/>
      <c r="E109" s="567">
        <v>14000</v>
      </c>
      <c r="F109" s="568">
        <v>14000</v>
      </c>
      <c r="G109" s="569"/>
      <c r="H109" s="554">
        <f>+G109+O109</f>
        <v>8241.9700000000012</v>
      </c>
      <c r="I109" s="554">
        <v>8241.9699999999993</v>
      </c>
      <c r="J109" s="567">
        <v>8241.9699999999993</v>
      </c>
      <c r="K109" s="169">
        <f t="shared" si="40"/>
        <v>5758.0299999999988</v>
      </c>
      <c r="L109" s="200">
        <f t="shared" si="32"/>
        <v>5758.0299999999988</v>
      </c>
      <c r="M109" s="211">
        <f t="shared" si="33"/>
        <v>58.871214285714295</v>
      </c>
      <c r="O109" s="9">
        <v>8241.9700000000012</v>
      </c>
    </row>
    <row r="110" spans="1:18" ht="16.5" customHeight="1">
      <c r="A110" s="203" t="s">
        <v>356</v>
      </c>
      <c r="B110" s="197" t="s">
        <v>357</v>
      </c>
      <c r="C110" s="197">
        <f>SUM(C111:C113)</f>
        <v>249812</v>
      </c>
      <c r="D110" s="197">
        <f>+D112</f>
        <v>11900</v>
      </c>
      <c r="E110" s="563">
        <f>SUM(E111:E113)</f>
        <v>128730</v>
      </c>
      <c r="F110" s="564">
        <f>SUM(F111:F113)</f>
        <v>128730</v>
      </c>
      <c r="G110" s="564">
        <f>SUM(G111:G113)</f>
        <v>0</v>
      </c>
      <c r="H110" s="553">
        <f>+O110+G110</f>
        <v>72901.09</v>
      </c>
      <c r="I110" s="565">
        <f t="shared" ref="I110" si="41">SUM(I111:I113)</f>
        <v>72366.73</v>
      </c>
      <c r="J110" s="565">
        <f t="shared" ref="J110" si="42">SUM(J111:J113)</f>
        <v>70284.240000000005</v>
      </c>
      <c r="K110" s="199">
        <f t="shared" si="40"/>
        <v>55828.91</v>
      </c>
      <c r="L110" s="197">
        <f t="shared" si="32"/>
        <v>55828.91</v>
      </c>
      <c r="M110" s="209">
        <f t="shared" si="33"/>
        <v>56.631002874232891</v>
      </c>
      <c r="O110" s="117">
        <v>72901.09</v>
      </c>
    </row>
    <row r="111" spans="1:18" ht="12.75" customHeight="1">
      <c r="A111" s="188" t="s">
        <v>358</v>
      </c>
      <c r="B111" s="200" t="s">
        <v>359</v>
      </c>
      <c r="C111" s="200">
        <v>47890</v>
      </c>
      <c r="D111" s="200"/>
      <c r="E111" s="567">
        <f>26140+3500</f>
        <v>29640</v>
      </c>
      <c r="F111" s="568">
        <v>29640</v>
      </c>
      <c r="G111" s="569">
        <v>0</v>
      </c>
      <c r="H111" s="554">
        <f t="shared" si="37"/>
        <v>15756.199999999999</v>
      </c>
      <c r="I111" s="554">
        <v>15756.2</v>
      </c>
      <c r="J111" s="567">
        <v>15756.2</v>
      </c>
      <c r="K111" s="169">
        <f t="shared" si="40"/>
        <v>13883.800000000001</v>
      </c>
      <c r="L111" s="200">
        <f t="shared" si="32"/>
        <v>13883.800000000001</v>
      </c>
      <c r="M111" s="211">
        <f t="shared" si="33"/>
        <v>53.158569500674766</v>
      </c>
      <c r="O111" s="9">
        <v>15756.199999999999</v>
      </c>
    </row>
    <row r="112" spans="1:18" ht="12.75" customHeight="1">
      <c r="A112" s="187" t="s">
        <v>360</v>
      </c>
      <c r="B112" s="201" t="s">
        <v>361</v>
      </c>
      <c r="C112" s="200">
        <v>137050</v>
      </c>
      <c r="D112" s="200">
        <v>11900</v>
      </c>
      <c r="E112" s="567">
        <v>75676</v>
      </c>
      <c r="F112" s="568">
        <v>75676</v>
      </c>
      <c r="G112" s="569">
        <v>0</v>
      </c>
      <c r="H112" s="554">
        <f t="shared" si="37"/>
        <v>43449.869999999995</v>
      </c>
      <c r="I112" s="554">
        <v>43005.39</v>
      </c>
      <c r="J112" s="567">
        <v>41344.21</v>
      </c>
      <c r="K112" s="169">
        <f t="shared" si="40"/>
        <v>32226.130000000005</v>
      </c>
      <c r="L112" s="200">
        <f t="shared" si="32"/>
        <v>32226.130000000005</v>
      </c>
      <c r="M112" s="211">
        <f t="shared" si="33"/>
        <v>57.415653575770392</v>
      </c>
      <c r="O112" s="9">
        <v>43449.869999999995</v>
      </c>
    </row>
    <row r="113" spans="1:20" ht="15" customHeight="1">
      <c r="A113" s="187" t="s">
        <v>362</v>
      </c>
      <c r="B113" s="201" t="s">
        <v>363</v>
      </c>
      <c r="C113" s="200">
        <v>64872</v>
      </c>
      <c r="D113" s="200"/>
      <c r="E113" s="567">
        <v>23414</v>
      </c>
      <c r="F113" s="568">
        <v>23414</v>
      </c>
      <c r="G113" s="569">
        <v>0</v>
      </c>
      <c r="H113" s="554">
        <f t="shared" si="37"/>
        <v>13695.02</v>
      </c>
      <c r="I113" s="554">
        <v>13605.14</v>
      </c>
      <c r="J113" s="567">
        <v>13183.83</v>
      </c>
      <c r="K113" s="169">
        <f t="shared" si="40"/>
        <v>9718.98</v>
      </c>
      <c r="L113" s="200">
        <f t="shared" si="32"/>
        <v>9718.98</v>
      </c>
      <c r="M113" s="211">
        <f t="shared" si="33"/>
        <v>58.490732040659438</v>
      </c>
      <c r="O113" s="9">
        <v>13695.02</v>
      </c>
      <c r="Q113" t="s">
        <v>12</v>
      </c>
    </row>
    <row r="114" spans="1:20" ht="15" customHeight="1">
      <c r="A114" s="203" t="s">
        <v>364</v>
      </c>
      <c r="B114" s="197" t="s">
        <v>365</v>
      </c>
      <c r="C114" s="197">
        <f>SUM(C115:C119)</f>
        <v>258848</v>
      </c>
      <c r="D114" s="197">
        <f>+D118</f>
        <v>5700</v>
      </c>
      <c r="E114" s="563">
        <f>SUM(E115:E119)</f>
        <v>207854</v>
      </c>
      <c r="F114" s="564">
        <f>SUM(F115:F119)</f>
        <v>207854</v>
      </c>
      <c r="G114" s="564">
        <f>SUM(G115:G119)</f>
        <v>2169.23</v>
      </c>
      <c r="H114" s="566">
        <f t="shared" si="37"/>
        <v>155574.62000000002</v>
      </c>
      <c r="I114" s="563">
        <f t="shared" ref="I114:J114" si="43">SUM(I115:I119)</f>
        <v>143881.84</v>
      </c>
      <c r="J114" s="563">
        <f t="shared" si="43"/>
        <v>125476.57999999999</v>
      </c>
      <c r="K114" s="199">
        <f t="shared" si="40"/>
        <v>52279.379999999976</v>
      </c>
      <c r="L114" s="197">
        <f t="shared" si="32"/>
        <v>52279.379999999976</v>
      </c>
      <c r="M114" s="209">
        <f t="shared" si="33"/>
        <v>74.84802794269055</v>
      </c>
      <c r="O114" s="117">
        <v>153405.39000000001</v>
      </c>
    </row>
    <row r="115" spans="1:20" ht="15.75" customHeight="1">
      <c r="A115" s="187" t="s">
        <v>366</v>
      </c>
      <c r="B115" s="200" t="s">
        <v>367</v>
      </c>
      <c r="C115" s="200">
        <v>3167</v>
      </c>
      <c r="D115" s="200"/>
      <c r="E115" s="567">
        <f>3517</f>
        <v>3517</v>
      </c>
      <c r="F115" s="568">
        <v>3517</v>
      </c>
      <c r="G115" s="569"/>
      <c r="H115" s="554">
        <f t="shared" si="37"/>
        <v>1980.87</v>
      </c>
      <c r="I115" s="554">
        <v>1980.87</v>
      </c>
      <c r="J115" s="567">
        <v>1980.87</v>
      </c>
      <c r="K115" s="169">
        <f t="shared" si="40"/>
        <v>1536.13</v>
      </c>
      <c r="L115" s="200">
        <f t="shared" si="32"/>
        <v>1536.13</v>
      </c>
      <c r="M115" s="179">
        <f t="shared" si="33"/>
        <v>56.322718225760589</v>
      </c>
      <c r="O115" s="9">
        <v>1980.87</v>
      </c>
    </row>
    <row r="116" spans="1:20" ht="14.25" customHeight="1">
      <c r="A116" s="187" t="s">
        <v>368</v>
      </c>
      <c r="B116" s="201" t="s">
        <v>369</v>
      </c>
      <c r="C116" s="200">
        <v>15000</v>
      </c>
      <c r="D116" s="200"/>
      <c r="E116" s="567">
        <v>29456</v>
      </c>
      <c r="F116" s="568">
        <v>29456</v>
      </c>
      <c r="G116" s="600">
        <v>-114.45</v>
      </c>
      <c r="H116" s="554">
        <f t="shared" si="37"/>
        <v>23347.94</v>
      </c>
      <c r="I116" s="554">
        <v>23123.24</v>
      </c>
      <c r="J116" s="567">
        <v>22791.24</v>
      </c>
      <c r="K116" s="169">
        <f t="shared" si="40"/>
        <v>6108.0600000000013</v>
      </c>
      <c r="L116" s="200">
        <f t="shared" si="32"/>
        <v>6108.0600000000013</v>
      </c>
      <c r="M116" s="179">
        <f t="shared" si="33"/>
        <v>79.263783269961976</v>
      </c>
      <c r="O116" s="9">
        <v>23462.39</v>
      </c>
    </row>
    <row r="117" spans="1:20" ht="17.25" customHeight="1">
      <c r="A117" s="187" t="s">
        <v>370</v>
      </c>
      <c r="B117" s="201" t="s">
        <v>371</v>
      </c>
      <c r="C117" s="200">
        <v>91798</v>
      </c>
      <c r="D117" s="200"/>
      <c r="E117" s="567">
        <v>64998</v>
      </c>
      <c r="F117" s="568">
        <v>64998</v>
      </c>
      <c r="G117" s="600">
        <v>-2869.82</v>
      </c>
      <c r="H117" s="554">
        <f t="shared" si="37"/>
        <v>40159.369999999995</v>
      </c>
      <c r="I117" s="554">
        <v>38214.400000000001</v>
      </c>
      <c r="J117" s="567">
        <v>29297.89</v>
      </c>
      <c r="K117" s="169">
        <f t="shared" si="40"/>
        <v>24838.630000000005</v>
      </c>
      <c r="L117" s="200">
        <f t="shared" si="32"/>
        <v>24838.630000000005</v>
      </c>
      <c r="M117" s="211">
        <f t="shared" si="33"/>
        <v>61.78554724760761</v>
      </c>
      <c r="O117" s="9">
        <v>43029.189999999995</v>
      </c>
    </row>
    <row r="118" spans="1:20" ht="16.5" customHeight="1">
      <c r="A118" s="187" t="s">
        <v>372</v>
      </c>
      <c r="B118" s="201" t="s">
        <v>373</v>
      </c>
      <c r="C118" s="200">
        <v>27414</v>
      </c>
      <c r="D118" s="200">
        <v>5700</v>
      </c>
      <c r="E118" s="567">
        <f>11842+10572-700-5700</f>
        <v>16014</v>
      </c>
      <c r="F118" s="568">
        <v>16014</v>
      </c>
      <c r="G118" s="569"/>
      <c r="H118" s="554">
        <f t="shared" si="37"/>
        <v>6547.07</v>
      </c>
      <c r="I118" s="554">
        <v>6547.07</v>
      </c>
      <c r="J118" s="567">
        <v>81.319999999999993</v>
      </c>
      <c r="K118" s="169">
        <f t="shared" si="40"/>
        <v>9466.93</v>
      </c>
      <c r="L118" s="200">
        <f t="shared" si="32"/>
        <v>9466.93</v>
      </c>
      <c r="M118" s="179">
        <f t="shared" si="33"/>
        <v>40.883414512301734</v>
      </c>
      <c r="O118" s="9">
        <v>6547.07</v>
      </c>
    </row>
    <row r="119" spans="1:20" ht="16.5" customHeight="1">
      <c r="A119" s="187" t="s">
        <v>374</v>
      </c>
      <c r="B119" s="201" t="s">
        <v>375</v>
      </c>
      <c r="C119" s="200">
        <v>121469</v>
      </c>
      <c r="D119" s="200"/>
      <c r="E119" s="567">
        <f>97069-3200</f>
        <v>93869</v>
      </c>
      <c r="F119" s="568">
        <v>93869</v>
      </c>
      <c r="G119" s="569">
        <v>5153.5</v>
      </c>
      <c r="H119" s="554">
        <f t="shared" si="37"/>
        <v>83539.37000000001</v>
      </c>
      <c r="I119" s="554">
        <v>74016.259999999995</v>
      </c>
      <c r="J119" s="567">
        <v>71325.259999999995</v>
      </c>
      <c r="K119" s="169">
        <f t="shared" si="40"/>
        <v>10329.62999999999</v>
      </c>
      <c r="L119" s="200">
        <f t="shared" si="32"/>
        <v>10329.62999999999</v>
      </c>
      <c r="M119" s="211">
        <f t="shared" ref="M119:M129" si="44">+H119*100/F119</f>
        <v>88.995696129712698</v>
      </c>
      <c r="O119" s="9">
        <v>78385.87000000001</v>
      </c>
      <c r="Q119" s="9" t="s">
        <v>12</v>
      </c>
    </row>
    <row r="120" spans="1:20" ht="20.25" customHeight="1">
      <c r="A120" s="203" t="s">
        <v>376</v>
      </c>
      <c r="B120" s="197" t="s">
        <v>377</v>
      </c>
      <c r="C120" s="197">
        <f>SUM(C121:C127)</f>
        <v>277892</v>
      </c>
      <c r="D120" s="197">
        <f>SUM(D121:D127)</f>
        <v>215000</v>
      </c>
      <c r="E120" s="563">
        <f>SUM(E121:E127)</f>
        <v>689582</v>
      </c>
      <c r="F120" s="564">
        <f>SUM(F121:F127)</f>
        <v>689582</v>
      </c>
      <c r="G120" s="601">
        <f>SUM(G121:G127)</f>
        <v>-2854.4299999999994</v>
      </c>
      <c r="H120" s="563">
        <f t="shared" si="37"/>
        <v>554057.91999999993</v>
      </c>
      <c r="I120" s="565">
        <f>SUM(I121:I127)</f>
        <v>472729.07</v>
      </c>
      <c r="J120" s="565">
        <f>SUM(J121:J127)</f>
        <v>418741.80999999994</v>
      </c>
      <c r="K120" s="199">
        <f t="shared" si="40"/>
        <v>135524.08000000007</v>
      </c>
      <c r="L120" s="197">
        <f t="shared" si="32"/>
        <v>135524.08000000007</v>
      </c>
      <c r="M120" s="209">
        <f t="shared" si="44"/>
        <v>80.346923208552411</v>
      </c>
      <c r="O120" s="117">
        <v>556912.35</v>
      </c>
      <c r="P120" s="9" t="s">
        <v>12</v>
      </c>
    </row>
    <row r="121" spans="1:20" ht="14.25" customHeight="1">
      <c r="A121" s="187" t="s">
        <v>378</v>
      </c>
      <c r="B121" s="201" t="s">
        <v>379</v>
      </c>
      <c r="C121" s="200">
        <v>23493</v>
      </c>
      <c r="D121" s="200"/>
      <c r="E121" s="567">
        <f>24193+1250</f>
        <v>25443</v>
      </c>
      <c r="F121" s="568">
        <v>25443</v>
      </c>
      <c r="G121" s="569"/>
      <c r="H121" s="554">
        <f t="shared" si="37"/>
        <v>21094.75</v>
      </c>
      <c r="I121" s="554">
        <v>18785.669999999998</v>
      </c>
      <c r="J121" s="567">
        <v>15526.14</v>
      </c>
      <c r="K121" s="169">
        <f t="shared" si="40"/>
        <v>4348.25</v>
      </c>
      <c r="L121" s="200">
        <f t="shared" si="32"/>
        <v>4348.25</v>
      </c>
      <c r="M121" s="211">
        <f t="shared" si="44"/>
        <v>82.909837676374636</v>
      </c>
      <c r="O121" s="9">
        <v>21094.75</v>
      </c>
    </row>
    <row r="122" spans="1:20" ht="16.5" customHeight="1">
      <c r="A122" s="187" t="s">
        <v>380</v>
      </c>
      <c r="B122" s="201" t="s">
        <v>381</v>
      </c>
      <c r="C122" s="200">
        <v>31236</v>
      </c>
      <c r="D122" s="200"/>
      <c r="E122" s="567">
        <v>23036</v>
      </c>
      <c r="F122" s="568">
        <v>23036</v>
      </c>
      <c r="G122" s="600">
        <v>-3869.33</v>
      </c>
      <c r="H122" s="554">
        <f>+G122+O122</f>
        <v>13309.750000000002</v>
      </c>
      <c r="I122" s="554">
        <v>12876.59</v>
      </c>
      <c r="J122" s="567">
        <v>12529.04</v>
      </c>
      <c r="K122" s="169">
        <f t="shared" si="40"/>
        <v>9726.2499999999982</v>
      </c>
      <c r="L122" s="200">
        <f t="shared" si="32"/>
        <v>9726.2499999999982</v>
      </c>
      <c r="M122" s="211">
        <f t="shared" si="44"/>
        <v>57.778043063031788</v>
      </c>
      <c r="O122" s="9">
        <v>17179.080000000002</v>
      </c>
    </row>
    <row r="123" spans="1:20" ht="12.75" customHeight="1">
      <c r="A123" s="187">
        <v>254</v>
      </c>
      <c r="B123" s="201" t="s">
        <v>382</v>
      </c>
      <c r="C123" s="200">
        <v>42838</v>
      </c>
      <c r="D123" s="200">
        <v>8000</v>
      </c>
      <c r="E123" s="567">
        <f>66201+9937-1000-8000</f>
        <v>67138</v>
      </c>
      <c r="F123" s="574">
        <v>67138</v>
      </c>
      <c r="G123" s="600">
        <v>-2340.48</v>
      </c>
      <c r="H123" s="554">
        <f>+O123+G123</f>
        <v>36790.28</v>
      </c>
      <c r="I123" s="554">
        <v>24102.54</v>
      </c>
      <c r="J123" s="567">
        <v>23982.82</v>
      </c>
      <c r="K123" s="169">
        <f t="shared" si="40"/>
        <v>30347.72</v>
      </c>
      <c r="L123" s="200">
        <f t="shared" si="32"/>
        <v>30347.72</v>
      </c>
      <c r="M123" s="211">
        <f t="shared" si="44"/>
        <v>54.797998153057883</v>
      </c>
      <c r="O123" s="9">
        <v>39130.76</v>
      </c>
      <c r="T123" t="s">
        <v>12</v>
      </c>
    </row>
    <row r="124" spans="1:20" ht="18" customHeight="1">
      <c r="A124" s="187" t="s">
        <v>383</v>
      </c>
      <c r="B124" s="201" t="s">
        <v>384</v>
      </c>
      <c r="C124" s="200">
        <v>60539</v>
      </c>
      <c r="D124" s="200">
        <v>11000</v>
      </c>
      <c r="E124" s="567">
        <v>230344</v>
      </c>
      <c r="F124" s="567">
        <v>230344</v>
      </c>
      <c r="G124" s="568">
        <v>5392.2</v>
      </c>
      <c r="H124" s="554">
        <f>+G124+O124</f>
        <v>188854.83000000002</v>
      </c>
      <c r="I124" s="554">
        <v>168376.47</v>
      </c>
      <c r="J124" s="567">
        <v>150522.79999999999</v>
      </c>
      <c r="K124" s="169">
        <f t="shared" si="40"/>
        <v>41489.169999999984</v>
      </c>
      <c r="L124" s="200">
        <f t="shared" si="32"/>
        <v>41489.169999999984</v>
      </c>
      <c r="M124" s="211">
        <f t="shared" si="44"/>
        <v>81.988169867676177</v>
      </c>
      <c r="O124" s="9">
        <v>183462.63</v>
      </c>
    </row>
    <row r="125" spans="1:20" ht="17.25" customHeight="1">
      <c r="A125" s="187" t="s">
        <v>385</v>
      </c>
      <c r="B125" s="201" t="s">
        <v>386</v>
      </c>
      <c r="C125" s="200">
        <v>63786</v>
      </c>
      <c r="D125" s="200"/>
      <c r="E125" s="567">
        <v>128906</v>
      </c>
      <c r="F125" s="567">
        <v>128906</v>
      </c>
      <c r="G125" s="600">
        <v>-1008.48</v>
      </c>
      <c r="H125" s="554">
        <f>+O125+G125</f>
        <v>112138.79000000001</v>
      </c>
      <c r="I125" s="554">
        <v>92129.63</v>
      </c>
      <c r="J125" s="567">
        <v>77020.899999999994</v>
      </c>
      <c r="K125" s="169">
        <f t="shared" si="40"/>
        <v>16767.209999999992</v>
      </c>
      <c r="L125" s="200">
        <f t="shared" si="32"/>
        <v>16767.209999999992</v>
      </c>
      <c r="M125" s="211">
        <f t="shared" si="44"/>
        <v>86.992684591873143</v>
      </c>
      <c r="O125" s="9">
        <v>113147.27</v>
      </c>
    </row>
    <row r="126" spans="1:20" ht="17.25" customHeight="1">
      <c r="A126" s="187">
        <v>257</v>
      </c>
      <c r="B126" s="201" t="s">
        <v>387</v>
      </c>
      <c r="C126" s="200">
        <v>50835</v>
      </c>
      <c r="D126" s="200">
        <v>16000</v>
      </c>
      <c r="E126" s="567">
        <f>19557+18528+250-16000</f>
        <v>22335</v>
      </c>
      <c r="F126" s="567">
        <v>22335</v>
      </c>
      <c r="G126" s="568">
        <v>0</v>
      </c>
      <c r="H126" s="554">
        <f t="shared" si="37"/>
        <v>16779.27</v>
      </c>
      <c r="I126" s="554">
        <v>14432.68</v>
      </c>
      <c r="J126" s="567">
        <v>13643.46</v>
      </c>
      <c r="K126" s="169">
        <f t="shared" si="40"/>
        <v>5555.73</v>
      </c>
      <c r="L126" s="200">
        <f t="shared" ref="L126:L157" si="45">+E126-H126</f>
        <v>5555.73</v>
      </c>
      <c r="M126" s="211">
        <f t="shared" si="44"/>
        <v>75.125453324378782</v>
      </c>
      <c r="O126" s="9">
        <v>16779.27</v>
      </c>
    </row>
    <row r="127" spans="1:20" ht="17.25" customHeight="1">
      <c r="A127" s="187" t="s">
        <v>388</v>
      </c>
      <c r="B127" s="201" t="s">
        <v>389</v>
      </c>
      <c r="C127" s="200">
        <v>5165</v>
      </c>
      <c r="D127" s="200">
        <v>180000</v>
      </c>
      <c r="E127" s="567">
        <v>192380</v>
      </c>
      <c r="F127" s="567">
        <v>192380</v>
      </c>
      <c r="G127" s="600">
        <v>-1028.3399999999999</v>
      </c>
      <c r="H127" s="554">
        <f>+G127+O127</f>
        <v>165090.25000000003</v>
      </c>
      <c r="I127" s="554">
        <v>142025.49</v>
      </c>
      <c r="J127" s="567">
        <v>125516.65</v>
      </c>
      <c r="K127" s="169">
        <f t="shared" ref="K127:K153" si="46">+F127-H127</f>
        <v>27289.749999999971</v>
      </c>
      <c r="L127" s="200">
        <f t="shared" si="45"/>
        <v>27289.749999999971</v>
      </c>
      <c r="M127" s="211">
        <f t="shared" si="44"/>
        <v>85.814663686453912</v>
      </c>
      <c r="O127" s="9">
        <v>166118.59000000003</v>
      </c>
      <c r="P127" t="s">
        <v>12</v>
      </c>
      <c r="Q127" t="s">
        <v>12</v>
      </c>
    </row>
    <row r="128" spans="1:20" ht="15" customHeight="1">
      <c r="A128" s="203" t="s">
        <v>390</v>
      </c>
      <c r="B128" s="197" t="s">
        <v>391</v>
      </c>
      <c r="C128" s="197">
        <f>SUM(C129:C133)</f>
        <v>475695</v>
      </c>
      <c r="D128" s="197">
        <f>SUM(D129:D132)</f>
        <v>173686</v>
      </c>
      <c r="E128" s="563">
        <f>SUM(E129:E133)</f>
        <v>582192</v>
      </c>
      <c r="F128" s="576">
        <f>SUM(F129:F133)</f>
        <v>582192</v>
      </c>
      <c r="G128" s="602">
        <f>SUM(G129:G133)</f>
        <v>-1631.1299999999999</v>
      </c>
      <c r="H128" s="566">
        <f t="shared" ref="H128:H144" si="47">+O128+G128</f>
        <v>458168.44</v>
      </c>
      <c r="I128" s="576">
        <f>SUM(I129:I133)</f>
        <v>376335.75999999995</v>
      </c>
      <c r="J128" s="576">
        <f t="shared" ref="J128" si="48">SUM(J129:J133)</f>
        <v>292866.36</v>
      </c>
      <c r="K128" s="199">
        <f t="shared" si="46"/>
        <v>124023.56</v>
      </c>
      <c r="L128" s="197">
        <f t="shared" si="45"/>
        <v>124023.56</v>
      </c>
      <c r="M128" s="209">
        <f t="shared" si="44"/>
        <v>78.697137714018737</v>
      </c>
      <c r="O128" s="117">
        <v>459799.57</v>
      </c>
      <c r="P128" t="s">
        <v>392</v>
      </c>
    </row>
    <row r="129" spans="1:18" ht="13.5" customHeight="1">
      <c r="A129" s="187">
        <v>261</v>
      </c>
      <c r="B129" s="200" t="s">
        <v>393</v>
      </c>
      <c r="C129" s="200">
        <v>21865</v>
      </c>
      <c r="D129" s="200">
        <v>40000</v>
      </c>
      <c r="E129" s="567">
        <f>69965-40000</f>
        <v>29965</v>
      </c>
      <c r="F129" s="577">
        <v>29965</v>
      </c>
      <c r="G129" s="578">
        <v>0</v>
      </c>
      <c r="H129" s="554">
        <f t="shared" si="47"/>
        <v>26766.560000000001</v>
      </c>
      <c r="I129" s="554">
        <v>26766.560000000001</v>
      </c>
      <c r="J129" s="567">
        <v>7699.16</v>
      </c>
      <c r="K129" s="169">
        <f t="shared" si="46"/>
        <v>3198.4399999999987</v>
      </c>
      <c r="L129" s="200">
        <f t="shared" si="45"/>
        <v>3198.4399999999987</v>
      </c>
      <c r="M129" s="179">
        <f t="shared" si="44"/>
        <v>89.326080427165024</v>
      </c>
      <c r="O129" s="9">
        <v>26766.560000000001</v>
      </c>
    </row>
    <row r="130" spans="1:18" ht="13.5" customHeight="1">
      <c r="A130" s="187" t="s">
        <v>394</v>
      </c>
      <c r="B130" s="201" t="s">
        <v>395</v>
      </c>
      <c r="C130" s="200">
        <v>169987</v>
      </c>
      <c r="D130" s="200">
        <v>9000</v>
      </c>
      <c r="E130" s="567">
        <v>143087</v>
      </c>
      <c r="F130" s="567">
        <v>143087</v>
      </c>
      <c r="G130" s="600">
        <v>-803.35</v>
      </c>
      <c r="H130" s="554">
        <f t="shared" si="47"/>
        <v>119647.60999999999</v>
      </c>
      <c r="I130" s="554">
        <v>100189.75999999999</v>
      </c>
      <c r="J130" s="567">
        <v>72648.72</v>
      </c>
      <c r="K130" s="169">
        <f t="shared" si="46"/>
        <v>23439.390000000014</v>
      </c>
      <c r="L130" s="200">
        <f t="shared" si="45"/>
        <v>23439.390000000014</v>
      </c>
      <c r="M130" s="211">
        <f t="shared" ref="M130:M140" si="49">+H130*100/F130</f>
        <v>83.6187843759391</v>
      </c>
      <c r="O130" s="9">
        <v>120450.95999999999</v>
      </c>
    </row>
    <row r="131" spans="1:18" ht="17.25" customHeight="1">
      <c r="A131" s="187">
        <v>263</v>
      </c>
      <c r="B131" s="201" t="s">
        <v>396</v>
      </c>
      <c r="C131" s="200">
        <v>28862</v>
      </c>
      <c r="D131" s="200"/>
      <c r="E131" s="567">
        <f>23562+800</f>
        <v>24362</v>
      </c>
      <c r="F131" s="567">
        <v>24362</v>
      </c>
      <c r="G131" s="578"/>
      <c r="H131" s="554">
        <f t="shared" si="47"/>
        <v>16971.2</v>
      </c>
      <c r="I131" s="554">
        <v>16852.82</v>
      </c>
      <c r="J131" s="567">
        <v>14083.12</v>
      </c>
      <c r="K131" s="169">
        <f t="shared" si="46"/>
        <v>7390.7999999999993</v>
      </c>
      <c r="L131" s="200">
        <f t="shared" si="45"/>
        <v>7390.7999999999993</v>
      </c>
      <c r="M131" s="211">
        <f t="shared" si="49"/>
        <v>69.662589278384374</v>
      </c>
      <c r="O131" s="9">
        <v>16971.2</v>
      </c>
    </row>
    <row r="132" spans="1:18" ht="17.25" customHeight="1">
      <c r="A132" s="187" t="s">
        <v>397</v>
      </c>
      <c r="B132" s="212" t="s">
        <v>398</v>
      </c>
      <c r="C132" s="204">
        <v>156163</v>
      </c>
      <c r="D132" s="204">
        <v>124686</v>
      </c>
      <c r="E132" s="574">
        <v>250227</v>
      </c>
      <c r="F132" s="574">
        <v>250227</v>
      </c>
      <c r="G132" s="578">
        <v>560.57000000000005</v>
      </c>
      <c r="H132" s="554">
        <f t="shared" si="47"/>
        <v>183921.92000000001</v>
      </c>
      <c r="I132" s="554">
        <v>168852.45</v>
      </c>
      <c r="J132" s="567">
        <v>146578.19</v>
      </c>
      <c r="K132" s="169">
        <f t="shared" si="46"/>
        <v>66305.079999999987</v>
      </c>
      <c r="L132" s="200">
        <f t="shared" si="45"/>
        <v>66305.079999999987</v>
      </c>
      <c r="M132" s="211">
        <f t="shared" si="49"/>
        <v>73.50202815843214</v>
      </c>
      <c r="O132" s="9">
        <v>183361.35</v>
      </c>
      <c r="P132" t="s">
        <v>12</v>
      </c>
    </row>
    <row r="133" spans="1:18" ht="15.75" customHeight="1">
      <c r="A133" s="187" t="s">
        <v>399</v>
      </c>
      <c r="B133" s="212" t="s">
        <v>400</v>
      </c>
      <c r="C133" s="204">
        <v>98818</v>
      </c>
      <c r="D133" s="204"/>
      <c r="E133" s="574">
        <v>134551</v>
      </c>
      <c r="F133" s="574">
        <v>134551</v>
      </c>
      <c r="G133" s="600">
        <v>-1388.35</v>
      </c>
      <c r="H133" s="554">
        <f>+G133+O133</f>
        <v>110861.15</v>
      </c>
      <c r="I133" s="554">
        <v>63674.17</v>
      </c>
      <c r="J133" s="567">
        <v>51857.17</v>
      </c>
      <c r="K133" s="169">
        <f t="shared" si="46"/>
        <v>23689.850000000006</v>
      </c>
      <c r="L133" s="200">
        <f t="shared" si="45"/>
        <v>23689.850000000006</v>
      </c>
      <c r="M133" s="211">
        <f t="shared" si="49"/>
        <v>82.393404731291483</v>
      </c>
      <c r="O133" s="9">
        <v>112249.5</v>
      </c>
    </row>
    <row r="134" spans="1:18" ht="20.25" customHeight="1">
      <c r="A134" s="203" t="s">
        <v>401</v>
      </c>
      <c r="B134" s="213" t="s">
        <v>402</v>
      </c>
      <c r="C134" s="198">
        <f>SUM(C135:C142)</f>
        <v>829295</v>
      </c>
      <c r="D134" s="198"/>
      <c r="E134" s="564">
        <f>SUM(E135:E142)</f>
        <v>674815</v>
      </c>
      <c r="F134" s="576">
        <f>SUM(F135:F142)</f>
        <v>674815</v>
      </c>
      <c r="G134" s="576">
        <f>SUM(G135:G142)</f>
        <v>67361.209999999992</v>
      </c>
      <c r="H134" s="566">
        <f>+O134+G134</f>
        <v>571027.18999999994</v>
      </c>
      <c r="I134" s="576">
        <f>SUM(I135:I142)</f>
        <v>463738.27</v>
      </c>
      <c r="J134" s="576">
        <f>SUM(J135:J142)</f>
        <v>297547.55</v>
      </c>
      <c r="K134" s="199">
        <f t="shared" si="46"/>
        <v>103787.81000000006</v>
      </c>
      <c r="L134" s="197">
        <f t="shared" si="45"/>
        <v>103787.81000000006</v>
      </c>
      <c r="M134" s="209">
        <f t="shared" si="49"/>
        <v>84.619812837592519</v>
      </c>
      <c r="N134" s="6"/>
      <c r="O134" s="117">
        <v>503665.98</v>
      </c>
    </row>
    <row r="135" spans="1:18" ht="12.75" customHeight="1">
      <c r="A135" s="187" t="s">
        <v>403</v>
      </c>
      <c r="B135" s="212" t="s">
        <v>404</v>
      </c>
      <c r="C135" s="204">
        <v>24712</v>
      </c>
      <c r="D135" s="204"/>
      <c r="E135" s="574">
        <v>57212</v>
      </c>
      <c r="F135" s="574">
        <v>57212</v>
      </c>
      <c r="G135" s="578">
        <v>8578.5</v>
      </c>
      <c r="H135" s="554">
        <f t="shared" si="47"/>
        <v>44132.23</v>
      </c>
      <c r="I135" s="554">
        <v>35553.93</v>
      </c>
      <c r="J135" s="567">
        <v>21806.19</v>
      </c>
      <c r="K135" s="169">
        <f t="shared" si="46"/>
        <v>13079.769999999997</v>
      </c>
      <c r="L135" s="200">
        <f t="shared" si="45"/>
        <v>13079.769999999997</v>
      </c>
      <c r="M135" s="211">
        <f t="shared" si="49"/>
        <v>77.138065440816618</v>
      </c>
      <c r="O135" s="9">
        <v>35553.730000000003</v>
      </c>
      <c r="R135" s="267">
        <f>571027.19-67361.21</f>
        <v>503665.97999999992</v>
      </c>
    </row>
    <row r="136" spans="1:18" ht="16.5" customHeight="1">
      <c r="A136" s="187" t="s">
        <v>405</v>
      </c>
      <c r="B136" s="201" t="s">
        <v>406</v>
      </c>
      <c r="C136" s="200">
        <v>88222</v>
      </c>
      <c r="D136" s="200"/>
      <c r="E136" s="567">
        <v>22322</v>
      </c>
      <c r="F136" s="577">
        <v>22322</v>
      </c>
      <c r="G136" s="578">
        <v>0</v>
      </c>
      <c r="H136" s="554">
        <f t="shared" si="47"/>
        <v>10676.09</v>
      </c>
      <c r="I136" s="554">
        <v>10676.09</v>
      </c>
      <c r="J136" s="567">
        <v>7147.23</v>
      </c>
      <c r="K136" s="169">
        <f t="shared" si="46"/>
        <v>11645.91</v>
      </c>
      <c r="L136" s="200">
        <f t="shared" si="45"/>
        <v>11645.91</v>
      </c>
      <c r="M136" s="211">
        <f t="shared" si="49"/>
        <v>47.827658811934413</v>
      </c>
      <c r="O136" s="9">
        <v>10676.09</v>
      </c>
    </row>
    <row r="137" spans="1:18" ht="13.5" customHeight="1">
      <c r="A137" s="187" t="s">
        <v>407</v>
      </c>
      <c r="B137" s="201" t="s">
        <v>408</v>
      </c>
      <c r="C137" s="200">
        <v>79068</v>
      </c>
      <c r="D137" s="200"/>
      <c r="E137" s="567">
        <v>79718</v>
      </c>
      <c r="F137" s="577">
        <v>79718</v>
      </c>
      <c r="G137" s="578">
        <v>6372.14</v>
      </c>
      <c r="H137" s="554">
        <f t="shared" si="47"/>
        <v>70918.78</v>
      </c>
      <c r="I137" s="554">
        <v>62941.64</v>
      </c>
      <c r="J137" s="567">
        <v>12967.42</v>
      </c>
      <c r="K137" s="169">
        <f t="shared" si="46"/>
        <v>8799.2200000000012</v>
      </c>
      <c r="L137" s="200">
        <f t="shared" si="45"/>
        <v>8799.2200000000012</v>
      </c>
      <c r="M137" s="211">
        <f t="shared" si="49"/>
        <v>88.962066283649861</v>
      </c>
      <c r="O137" s="9">
        <v>64546.64</v>
      </c>
    </row>
    <row r="138" spans="1:18" ht="16.5" customHeight="1">
      <c r="A138" s="187" t="s">
        <v>409</v>
      </c>
      <c r="B138" s="201" t="s">
        <v>410</v>
      </c>
      <c r="C138" s="200">
        <v>180216</v>
      </c>
      <c r="D138" s="200"/>
      <c r="E138" s="567">
        <v>93316</v>
      </c>
      <c r="F138" s="577">
        <v>93316</v>
      </c>
      <c r="G138" s="578"/>
      <c r="H138" s="554">
        <f t="shared" si="47"/>
        <v>80924.14</v>
      </c>
      <c r="I138" s="554">
        <v>46027.1</v>
      </c>
      <c r="J138" s="567">
        <v>36910.480000000003</v>
      </c>
      <c r="K138" s="169">
        <f t="shared" si="46"/>
        <v>12391.86</v>
      </c>
      <c r="L138" s="200">
        <f t="shared" si="45"/>
        <v>12391.86</v>
      </c>
      <c r="M138" s="211">
        <f t="shared" si="49"/>
        <v>86.720540957606417</v>
      </c>
      <c r="O138" s="9">
        <v>80924.14</v>
      </c>
    </row>
    <row r="139" spans="1:18" ht="12.75" customHeight="1">
      <c r="A139" s="187" t="s">
        <v>411</v>
      </c>
      <c r="B139" s="201" t="s">
        <v>412</v>
      </c>
      <c r="C139" s="200">
        <v>320615</v>
      </c>
      <c r="D139" s="200"/>
      <c r="E139" s="567">
        <v>250415</v>
      </c>
      <c r="F139" s="577">
        <v>250415</v>
      </c>
      <c r="G139" s="578">
        <v>51812.23</v>
      </c>
      <c r="H139" s="554">
        <f t="shared" si="47"/>
        <v>218486.07</v>
      </c>
      <c r="I139" s="554">
        <v>165569.43</v>
      </c>
      <c r="J139" s="567">
        <v>137262.24</v>
      </c>
      <c r="K139" s="169">
        <f t="shared" si="46"/>
        <v>31928.929999999993</v>
      </c>
      <c r="L139" s="200">
        <f t="shared" si="45"/>
        <v>31928.929999999993</v>
      </c>
      <c r="M139" s="211">
        <f t="shared" si="49"/>
        <v>87.249593674500332</v>
      </c>
      <c r="O139" s="9">
        <v>166673.84</v>
      </c>
    </row>
    <row r="140" spans="1:18" ht="15" customHeight="1">
      <c r="A140" s="187">
        <v>277</v>
      </c>
      <c r="B140" s="201" t="s">
        <v>413</v>
      </c>
      <c r="C140" s="200">
        <v>13843</v>
      </c>
      <c r="D140" s="200"/>
      <c r="E140" s="567">
        <f>4843+150</f>
        <v>4993</v>
      </c>
      <c r="F140" s="577">
        <v>4993</v>
      </c>
      <c r="G140" s="578"/>
      <c r="H140" s="554">
        <f t="shared" si="47"/>
        <v>4166.43</v>
      </c>
      <c r="I140" s="554">
        <v>4166.43</v>
      </c>
      <c r="J140" s="567">
        <v>3779.96</v>
      </c>
      <c r="K140" s="169">
        <f t="shared" si="46"/>
        <v>826.56999999999971</v>
      </c>
      <c r="L140" s="200">
        <f t="shared" si="45"/>
        <v>826.56999999999971</v>
      </c>
      <c r="M140" s="179">
        <f t="shared" si="49"/>
        <v>83.445423593030242</v>
      </c>
      <c r="O140" s="9">
        <v>4166.43</v>
      </c>
    </row>
    <row r="141" spans="1:18" ht="15" customHeight="1">
      <c r="A141" s="187">
        <v>278</v>
      </c>
      <c r="B141" s="201" t="s">
        <v>414</v>
      </c>
      <c r="C141" s="200">
        <v>14300</v>
      </c>
      <c r="D141" s="200"/>
      <c r="E141" s="567">
        <v>1800</v>
      </c>
      <c r="F141" s="577">
        <v>1800</v>
      </c>
      <c r="G141" s="578"/>
      <c r="H141" s="554">
        <f t="shared" si="47"/>
        <v>0</v>
      </c>
      <c r="I141" s="554"/>
      <c r="J141" s="567">
        <v>0</v>
      </c>
      <c r="K141" s="169">
        <f t="shared" si="46"/>
        <v>1800</v>
      </c>
      <c r="L141" s="200">
        <f t="shared" si="45"/>
        <v>1800</v>
      </c>
      <c r="M141" s="211"/>
      <c r="O141" s="9">
        <v>0</v>
      </c>
    </row>
    <row r="142" spans="1:18" ht="15" customHeight="1">
      <c r="A142" s="187" t="s">
        <v>415</v>
      </c>
      <c r="B142" s="201" t="s">
        <v>416</v>
      </c>
      <c r="C142" s="200">
        <v>108319</v>
      </c>
      <c r="D142" s="200"/>
      <c r="E142" s="567">
        <f>158298+3671+3070</f>
        <v>165039</v>
      </c>
      <c r="F142" s="577">
        <v>165039</v>
      </c>
      <c r="G142" s="578">
        <v>598.34</v>
      </c>
      <c r="H142" s="554">
        <f t="shared" si="47"/>
        <v>141723.25</v>
      </c>
      <c r="I142" s="554">
        <v>138803.65</v>
      </c>
      <c r="J142" s="567">
        <v>77674.03</v>
      </c>
      <c r="K142" s="169">
        <f t="shared" si="46"/>
        <v>23315.75</v>
      </c>
      <c r="L142" s="200">
        <f t="shared" si="45"/>
        <v>23315.75</v>
      </c>
      <c r="M142" s="211">
        <f t="shared" ref="M142:M156" si="50">+H142*100/F142</f>
        <v>85.87258163222026</v>
      </c>
      <c r="O142" s="9">
        <v>141124.91</v>
      </c>
    </row>
    <row r="143" spans="1:18" ht="15" customHeight="1">
      <c r="A143" s="203" t="s">
        <v>417</v>
      </c>
      <c r="B143" s="197" t="s">
        <v>418</v>
      </c>
      <c r="C143" s="197">
        <v>208309</v>
      </c>
      <c r="D143" s="214"/>
      <c r="E143" s="579">
        <v>361709</v>
      </c>
      <c r="F143" s="580">
        <v>361709</v>
      </c>
      <c r="G143" s="602">
        <v>-62.19</v>
      </c>
      <c r="H143" s="553">
        <f>+G143+O143</f>
        <v>262101.15999999997</v>
      </c>
      <c r="I143" s="566">
        <v>216303.29</v>
      </c>
      <c r="J143" s="563">
        <v>203067.49</v>
      </c>
      <c r="K143" s="199">
        <f t="shared" si="46"/>
        <v>99607.840000000026</v>
      </c>
      <c r="L143" s="197">
        <f t="shared" si="45"/>
        <v>99607.840000000026</v>
      </c>
      <c r="M143" s="209">
        <f t="shared" si="50"/>
        <v>72.461885106535902</v>
      </c>
      <c r="O143" s="117">
        <v>262163.34999999998</v>
      </c>
    </row>
    <row r="144" spans="1:18" ht="15" customHeight="1">
      <c r="A144" s="186">
        <v>290</v>
      </c>
      <c r="B144" s="215" t="s">
        <v>419</v>
      </c>
      <c r="C144" s="215">
        <f>SUM(C145:C152)</f>
        <v>0</v>
      </c>
      <c r="D144" s="215">
        <f>+D147</f>
        <v>25000</v>
      </c>
      <c r="E144" s="581">
        <f>SUM(E145:E153)</f>
        <v>404855</v>
      </c>
      <c r="F144" s="581">
        <f>SUM(F145:F153)</f>
        <v>404855</v>
      </c>
      <c r="G144" s="581">
        <f>SUM(G145:G153)</f>
        <v>7292.13</v>
      </c>
      <c r="H144" s="553">
        <f t="shared" si="47"/>
        <v>310080.5</v>
      </c>
      <c r="I144" s="566">
        <f>SUM(I145:I153)</f>
        <v>59191.590000000004</v>
      </c>
      <c r="J144" s="581">
        <f>SUM(J145:J153)</f>
        <v>225659.59</v>
      </c>
      <c r="K144" s="166">
        <f t="shared" si="46"/>
        <v>94774.5</v>
      </c>
      <c r="L144" s="215">
        <f t="shared" si="45"/>
        <v>94774.5</v>
      </c>
      <c r="M144" s="209">
        <f t="shared" si="50"/>
        <v>76.590507712637859</v>
      </c>
      <c r="N144">
        <v>0</v>
      </c>
      <c r="O144" s="117">
        <v>302788.37</v>
      </c>
      <c r="P144" s="9" t="s">
        <v>12</v>
      </c>
    </row>
    <row r="145" spans="1:17" ht="15" customHeight="1">
      <c r="A145" s="187">
        <v>291</v>
      </c>
      <c r="B145" s="216" t="s">
        <v>420</v>
      </c>
      <c r="C145" s="215"/>
      <c r="D145" s="215"/>
      <c r="E145" s="582">
        <v>11000</v>
      </c>
      <c r="F145" s="582">
        <v>11000</v>
      </c>
      <c r="G145" s="582">
        <v>992.5</v>
      </c>
      <c r="H145" s="582">
        <f>+G145+O145</f>
        <v>8593.5</v>
      </c>
      <c r="I145" s="554">
        <v>8593.5</v>
      </c>
      <c r="J145" s="582">
        <v>8603.5</v>
      </c>
      <c r="K145" s="169">
        <f t="shared" si="46"/>
        <v>2406.5</v>
      </c>
      <c r="L145" s="217">
        <f t="shared" si="45"/>
        <v>2406.5</v>
      </c>
      <c r="M145" s="211">
        <f t="shared" si="50"/>
        <v>78.122727272727275</v>
      </c>
      <c r="O145" s="9">
        <v>7601</v>
      </c>
    </row>
    <row r="146" spans="1:17" ht="15" customHeight="1">
      <c r="A146" s="189">
        <v>292</v>
      </c>
      <c r="B146" s="216" t="s">
        <v>421</v>
      </c>
      <c r="C146" s="218"/>
      <c r="D146" s="218"/>
      <c r="E146" s="582">
        <f>5410+480</f>
        <v>5890</v>
      </c>
      <c r="F146" s="582">
        <v>5890</v>
      </c>
      <c r="G146" s="582"/>
      <c r="H146" s="582">
        <f t="shared" ref="H146:H153" si="51">+O146+G146</f>
        <v>4513.1899999999996</v>
      </c>
      <c r="I146" s="554">
        <v>98.55</v>
      </c>
      <c r="J146" s="582">
        <v>4513.1899999999996</v>
      </c>
      <c r="K146" s="169">
        <f t="shared" si="46"/>
        <v>1376.8100000000004</v>
      </c>
      <c r="L146" s="217">
        <f t="shared" si="45"/>
        <v>1376.8100000000004</v>
      </c>
      <c r="M146" s="211">
        <f t="shared" si="50"/>
        <v>76.6246179966044</v>
      </c>
      <c r="O146" s="9">
        <v>4513.1899999999996</v>
      </c>
      <c r="P146" t="s">
        <v>12</v>
      </c>
    </row>
    <row r="147" spans="1:17" ht="15" customHeight="1">
      <c r="A147" s="187">
        <v>293</v>
      </c>
      <c r="B147" s="216" t="s">
        <v>422</v>
      </c>
      <c r="C147" s="217"/>
      <c r="D147" s="217">
        <v>25000</v>
      </c>
      <c r="E147" s="582">
        <v>119700</v>
      </c>
      <c r="F147" s="582">
        <v>119700</v>
      </c>
      <c r="G147" s="582">
        <v>5122.63</v>
      </c>
      <c r="H147" s="582">
        <f t="shared" si="51"/>
        <v>50374.829999999994</v>
      </c>
      <c r="I147" s="554">
        <v>23066.47</v>
      </c>
      <c r="J147" s="582">
        <v>45252.19</v>
      </c>
      <c r="K147" s="169">
        <f t="shared" si="46"/>
        <v>69325.170000000013</v>
      </c>
      <c r="L147" s="217">
        <f t="shared" si="45"/>
        <v>69325.170000000013</v>
      </c>
      <c r="M147" s="211">
        <f t="shared" si="50"/>
        <v>42.084235588972426</v>
      </c>
      <c r="O147" s="9">
        <v>45252.2</v>
      </c>
    </row>
    <row r="148" spans="1:17" ht="15" customHeight="1">
      <c r="A148" s="187">
        <v>294</v>
      </c>
      <c r="B148" s="216" t="s">
        <v>423</v>
      </c>
      <c r="C148" s="217"/>
      <c r="D148" s="217"/>
      <c r="E148" s="582">
        <v>2800</v>
      </c>
      <c r="F148" s="582">
        <v>2800</v>
      </c>
      <c r="G148" s="582">
        <v>0</v>
      </c>
      <c r="H148" s="582">
        <f t="shared" si="51"/>
        <v>2457.87</v>
      </c>
      <c r="I148" s="554">
        <v>399.99</v>
      </c>
      <c r="J148" s="582">
        <v>2457.87</v>
      </c>
      <c r="K148" s="169">
        <f t="shared" si="46"/>
        <v>342.13000000000011</v>
      </c>
      <c r="L148" s="217">
        <f t="shared" si="45"/>
        <v>342.13000000000011</v>
      </c>
      <c r="M148" s="211">
        <f t="shared" si="50"/>
        <v>87.781071428571423</v>
      </c>
      <c r="O148" s="9">
        <v>2457.87</v>
      </c>
    </row>
    <row r="149" spans="1:17" ht="15" customHeight="1">
      <c r="A149" s="187">
        <v>295</v>
      </c>
      <c r="B149" s="217" t="s">
        <v>424</v>
      </c>
      <c r="C149" s="215"/>
      <c r="D149" s="215"/>
      <c r="E149" s="582">
        <v>16050</v>
      </c>
      <c r="F149" s="582">
        <v>16050</v>
      </c>
      <c r="G149" s="582"/>
      <c r="H149" s="582">
        <f t="shared" si="51"/>
        <v>16032.88</v>
      </c>
      <c r="I149" s="554"/>
      <c r="J149" s="582">
        <v>0</v>
      </c>
      <c r="K149" s="169">
        <f t="shared" si="46"/>
        <v>17.1200000000008</v>
      </c>
      <c r="L149" s="217">
        <f t="shared" si="45"/>
        <v>17.1200000000008</v>
      </c>
      <c r="M149" s="211" t="s">
        <v>12</v>
      </c>
      <c r="O149" s="9">
        <v>16032.88</v>
      </c>
    </row>
    <row r="150" spans="1:17" ht="15" customHeight="1">
      <c r="A150" s="187">
        <v>296</v>
      </c>
      <c r="B150" s="216" t="s">
        <v>425</v>
      </c>
      <c r="C150" s="217"/>
      <c r="D150" s="217"/>
      <c r="E150" s="582">
        <v>123550</v>
      </c>
      <c r="F150" s="582">
        <v>123550</v>
      </c>
      <c r="G150" s="582"/>
      <c r="H150" s="582">
        <f t="shared" si="51"/>
        <v>116636.65</v>
      </c>
      <c r="I150" s="554">
        <v>15552.72</v>
      </c>
      <c r="J150" s="582">
        <v>82841.64</v>
      </c>
      <c r="K150" s="169">
        <f t="shared" si="46"/>
        <v>6913.3500000000058</v>
      </c>
      <c r="L150" s="217">
        <f t="shared" si="45"/>
        <v>6913.3500000000058</v>
      </c>
      <c r="M150" s="211">
        <f t="shared" si="50"/>
        <v>94.40441116956697</v>
      </c>
      <c r="O150" s="9">
        <v>116636.65</v>
      </c>
    </row>
    <row r="151" spans="1:17" ht="15" customHeight="1">
      <c r="A151" s="187">
        <v>297</v>
      </c>
      <c r="B151" s="217" t="s">
        <v>426</v>
      </c>
      <c r="C151" s="215"/>
      <c r="D151" s="215"/>
      <c r="E151" s="582">
        <v>50260</v>
      </c>
      <c r="F151" s="582">
        <v>50260</v>
      </c>
      <c r="G151" s="582">
        <v>0</v>
      </c>
      <c r="H151" s="582">
        <f t="shared" si="51"/>
        <v>39607</v>
      </c>
      <c r="I151" s="554">
        <v>956.28</v>
      </c>
      <c r="J151" s="582">
        <v>15861</v>
      </c>
      <c r="K151" s="169">
        <f t="shared" si="46"/>
        <v>10653</v>
      </c>
      <c r="L151" s="217">
        <f t="shared" si="45"/>
        <v>10653</v>
      </c>
      <c r="M151" s="211">
        <f t="shared" si="50"/>
        <v>78.804218066056507</v>
      </c>
      <c r="O151" s="9">
        <v>39607</v>
      </c>
    </row>
    <row r="152" spans="1:17" ht="15" customHeight="1">
      <c r="A152" s="187">
        <v>298</v>
      </c>
      <c r="B152" s="217" t="s">
        <v>427</v>
      </c>
      <c r="C152" s="215"/>
      <c r="D152" s="215"/>
      <c r="E152" s="582">
        <v>58535</v>
      </c>
      <c r="F152" s="582">
        <v>58535</v>
      </c>
      <c r="G152" s="582">
        <v>1177</v>
      </c>
      <c r="H152" s="582">
        <f t="shared" si="51"/>
        <v>55551.58</v>
      </c>
      <c r="I152" s="554">
        <v>9756.89</v>
      </c>
      <c r="J152" s="582">
        <v>53245.37</v>
      </c>
      <c r="K152" s="169">
        <f t="shared" si="46"/>
        <v>2983.4199999999983</v>
      </c>
      <c r="L152" s="217">
        <f t="shared" si="45"/>
        <v>2983.4199999999983</v>
      </c>
      <c r="M152" s="211">
        <f t="shared" si="50"/>
        <v>94.903186127957639</v>
      </c>
      <c r="O152" s="9">
        <v>54374.58</v>
      </c>
    </row>
    <row r="153" spans="1:17" ht="15" customHeight="1">
      <c r="A153" s="187">
        <v>299</v>
      </c>
      <c r="B153" s="217" t="s">
        <v>428</v>
      </c>
      <c r="C153" s="215"/>
      <c r="D153" s="215"/>
      <c r="E153" s="582">
        <v>17070</v>
      </c>
      <c r="F153" s="582">
        <v>17070</v>
      </c>
      <c r="G153" s="582"/>
      <c r="H153" s="582">
        <f t="shared" si="51"/>
        <v>16313</v>
      </c>
      <c r="I153" s="554">
        <v>767.19</v>
      </c>
      <c r="J153" s="582">
        <v>12884.83</v>
      </c>
      <c r="K153" s="169">
        <f t="shared" si="46"/>
        <v>757</v>
      </c>
      <c r="L153" s="217">
        <f t="shared" si="45"/>
        <v>757</v>
      </c>
      <c r="M153" s="211">
        <f t="shared" si="50"/>
        <v>95.565319273579377</v>
      </c>
      <c r="O153" s="9">
        <v>16313</v>
      </c>
    </row>
    <row r="154" spans="1:17" ht="15" customHeight="1">
      <c r="A154" s="219">
        <v>4</v>
      </c>
      <c r="B154" s="220" t="s">
        <v>429</v>
      </c>
      <c r="C154" s="220">
        <f>SUM(C155)</f>
        <v>3207914</v>
      </c>
      <c r="D154" s="220"/>
      <c r="E154" s="583">
        <f>+E155+E157</f>
        <v>2295040</v>
      </c>
      <c r="F154" s="584">
        <f>+F155+F157</f>
        <v>2295040</v>
      </c>
      <c r="G154" s="584">
        <f>+G155+G157</f>
        <v>52847.65</v>
      </c>
      <c r="H154" s="583">
        <f>O154+G154</f>
        <v>1432956.23</v>
      </c>
      <c r="I154" s="585">
        <f>+I155+I157</f>
        <v>1171712.7300000002</v>
      </c>
      <c r="J154" s="583">
        <f>+J155+J157</f>
        <v>984404.14</v>
      </c>
      <c r="K154" s="174">
        <f t="shared" ref="K154:K170" si="52">+F154-H154</f>
        <v>862083.77</v>
      </c>
      <c r="L154" s="220">
        <f t="shared" si="45"/>
        <v>862083.77</v>
      </c>
      <c r="M154" s="228">
        <f t="shared" si="50"/>
        <v>62.437091728248745</v>
      </c>
      <c r="O154" s="117">
        <v>1380108.58</v>
      </c>
      <c r="P154" t="s">
        <v>12</v>
      </c>
      <c r="Q154" s="1" t="s">
        <v>12</v>
      </c>
    </row>
    <row r="155" spans="1:17" ht="15" customHeight="1">
      <c r="A155" s="186">
        <v>430</v>
      </c>
      <c r="B155" s="202" t="s">
        <v>430</v>
      </c>
      <c r="C155" s="202">
        <f>SUM(C156)</f>
        <v>3207914</v>
      </c>
      <c r="D155" s="202"/>
      <c r="E155" s="570">
        <v>2200790</v>
      </c>
      <c r="F155" s="586">
        <f>+F156</f>
        <v>2200790</v>
      </c>
      <c r="G155" s="586">
        <f>+G156</f>
        <v>52847.65</v>
      </c>
      <c r="H155" s="553">
        <f>+O155+G155</f>
        <v>1362260.3099999998</v>
      </c>
      <c r="I155" s="553">
        <f>+I156</f>
        <v>1145905.8700000001</v>
      </c>
      <c r="J155" s="570">
        <f>SUM(J156)</f>
        <v>936014.13</v>
      </c>
      <c r="K155" s="166">
        <f t="shared" si="52"/>
        <v>838529.69000000018</v>
      </c>
      <c r="L155" s="202">
        <f t="shared" si="45"/>
        <v>838529.69000000018</v>
      </c>
      <c r="M155" s="229">
        <f t="shared" si="50"/>
        <v>61.898695922827699</v>
      </c>
      <c r="O155" s="117">
        <v>1309412.6599999999</v>
      </c>
    </row>
    <row r="156" spans="1:17" ht="13.5" customHeight="1">
      <c r="A156" s="187">
        <v>439</v>
      </c>
      <c r="B156" s="200" t="s">
        <v>431</v>
      </c>
      <c r="C156" s="200">
        <v>3207914</v>
      </c>
      <c r="D156" s="200"/>
      <c r="E156" s="567">
        <v>2200790</v>
      </c>
      <c r="F156" s="575">
        <v>2200790</v>
      </c>
      <c r="G156" s="587">
        <v>52847.65</v>
      </c>
      <c r="H156" s="554">
        <f>+O156+G156</f>
        <v>1362260.3099999998</v>
      </c>
      <c r="I156" s="554">
        <v>1145905.8700000001</v>
      </c>
      <c r="J156" s="567">
        <v>936014.13</v>
      </c>
      <c r="K156" s="169">
        <f t="shared" si="52"/>
        <v>838529.69000000018</v>
      </c>
      <c r="L156" s="200">
        <f t="shared" si="45"/>
        <v>838529.69000000018</v>
      </c>
      <c r="M156" s="211">
        <f t="shared" si="50"/>
        <v>61.898695922827699</v>
      </c>
      <c r="O156" s="9">
        <v>1309412.6599999999</v>
      </c>
    </row>
    <row r="157" spans="1:17" ht="16.5" customHeight="1">
      <c r="A157" s="186">
        <v>490</v>
      </c>
      <c r="B157" s="202" t="s">
        <v>432</v>
      </c>
      <c r="C157" s="200">
        <f>SUM(C158)</f>
        <v>0</v>
      </c>
      <c r="D157" s="200"/>
      <c r="E157" s="570">
        <f>+E158</f>
        <v>94250</v>
      </c>
      <c r="F157" s="586">
        <f>+F158</f>
        <v>94250</v>
      </c>
      <c r="G157" s="586">
        <f>+G158</f>
        <v>0</v>
      </c>
      <c r="H157" s="570">
        <f>+H158</f>
        <v>70695.92</v>
      </c>
      <c r="I157" s="553">
        <v>25806.86</v>
      </c>
      <c r="J157" s="570">
        <f>J158</f>
        <v>48390.01</v>
      </c>
      <c r="K157" s="166">
        <f t="shared" si="52"/>
        <v>23554.080000000002</v>
      </c>
      <c r="L157" s="202">
        <f t="shared" si="45"/>
        <v>23554.080000000002</v>
      </c>
      <c r="M157" s="229">
        <f t="shared" ref="M157:M162" si="53">+H157*100/F157</f>
        <v>75.008933687002653</v>
      </c>
      <c r="O157" s="117">
        <v>70695.92</v>
      </c>
    </row>
    <row r="158" spans="1:17" ht="13.5" customHeight="1">
      <c r="A158" s="187">
        <v>494</v>
      </c>
      <c r="B158" s="200" t="s">
        <v>433</v>
      </c>
      <c r="C158" s="200"/>
      <c r="D158" s="200"/>
      <c r="E158" s="567">
        <v>94250</v>
      </c>
      <c r="F158" s="568">
        <v>94250</v>
      </c>
      <c r="G158" s="587">
        <v>0</v>
      </c>
      <c r="H158" s="567">
        <f>+O158+G158</f>
        <v>70695.92</v>
      </c>
      <c r="I158" s="554">
        <v>25806.86</v>
      </c>
      <c r="J158" s="567">
        <v>48390.01</v>
      </c>
      <c r="K158" s="169">
        <f t="shared" si="52"/>
        <v>23554.080000000002</v>
      </c>
      <c r="L158" s="200">
        <f t="shared" ref="L158:L170" si="54">+E158-H158</f>
        <v>23554.080000000002</v>
      </c>
      <c r="M158" s="211">
        <f t="shared" si="53"/>
        <v>75.008933687002653</v>
      </c>
      <c r="O158" s="9">
        <v>70695.92</v>
      </c>
    </row>
    <row r="159" spans="1:17" ht="15.75" customHeight="1">
      <c r="A159" s="219" t="s">
        <v>434</v>
      </c>
      <c r="B159" s="221" t="s">
        <v>435</v>
      </c>
      <c r="C159" s="220">
        <f>C160+C162+C168+C174+C178+C172</f>
        <v>2251594</v>
      </c>
      <c r="D159" s="220"/>
      <c r="E159" s="583">
        <f>+E160+E162+E168+E172+E174+E178</f>
        <v>4033441</v>
      </c>
      <c r="F159" s="583">
        <f t="shared" ref="F159:J159" si="55">F160+F162+F168+F174+F178+F172</f>
        <v>4013747</v>
      </c>
      <c r="G159" s="583">
        <f t="shared" si="55"/>
        <v>324037.42</v>
      </c>
      <c r="H159" s="588">
        <f t="shared" si="55"/>
        <v>2213745.56</v>
      </c>
      <c r="I159" s="583">
        <f t="shared" ref="I159" si="56">I160+I162+I168+I174+I178+I172</f>
        <v>2112664.84</v>
      </c>
      <c r="J159" s="583">
        <f t="shared" si="55"/>
        <v>2098753.5099999998</v>
      </c>
      <c r="K159" s="174">
        <f t="shared" si="52"/>
        <v>1800001.44</v>
      </c>
      <c r="L159" s="220">
        <f t="shared" si="54"/>
        <v>1819695.44</v>
      </c>
      <c r="M159" s="228">
        <f t="shared" si="53"/>
        <v>55.154088187421877</v>
      </c>
      <c r="O159" s="230">
        <v>1889708.1400000001</v>
      </c>
      <c r="P159" t="s">
        <v>12</v>
      </c>
      <c r="Q159" s="1" t="s">
        <v>12</v>
      </c>
    </row>
    <row r="160" spans="1:17">
      <c r="A160" s="186" t="s">
        <v>436</v>
      </c>
      <c r="B160" s="222" t="s">
        <v>437</v>
      </c>
      <c r="C160" s="202">
        <f>SUM(C161)</f>
        <v>118164</v>
      </c>
      <c r="D160" s="202"/>
      <c r="E160" s="570">
        <f>SUM(E161)</f>
        <v>118164</v>
      </c>
      <c r="F160" s="603">
        <f>+F161</f>
        <v>98470</v>
      </c>
      <c r="G160" s="12">
        <v>3373.87</v>
      </c>
      <c r="H160" s="570">
        <f>SUM(H161)</f>
        <v>33738.699999999997</v>
      </c>
      <c r="I160" s="570">
        <f>+I161</f>
        <v>33738.699999999997</v>
      </c>
      <c r="J160" s="570">
        <f>+J161</f>
        <v>33738.699999999997</v>
      </c>
      <c r="K160" s="166">
        <f t="shared" si="52"/>
        <v>64731.3</v>
      </c>
      <c r="L160" s="202">
        <f t="shared" si="54"/>
        <v>84425.3</v>
      </c>
      <c r="M160" s="229">
        <f t="shared" si="53"/>
        <v>34.262922717578952</v>
      </c>
      <c r="O160" s="9">
        <v>30364.829999999998</v>
      </c>
    </row>
    <row r="161" spans="1:18" ht="13.5" customHeight="1">
      <c r="A161" s="187" t="s">
        <v>438</v>
      </c>
      <c r="B161" s="201" t="s">
        <v>439</v>
      </c>
      <c r="C161" s="200">
        <v>118164</v>
      </c>
      <c r="D161" s="200"/>
      <c r="E161" s="567">
        <v>118164</v>
      </c>
      <c r="F161" s="604">
        <v>98470</v>
      </c>
      <c r="G161" s="568">
        <v>3373.87</v>
      </c>
      <c r="H161" s="554">
        <f>+O161+G161</f>
        <v>33738.699999999997</v>
      </c>
      <c r="I161" s="554">
        <v>33738.699999999997</v>
      </c>
      <c r="J161" s="567">
        <v>33738.699999999997</v>
      </c>
      <c r="K161" s="169">
        <f t="shared" si="52"/>
        <v>64731.3</v>
      </c>
      <c r="L161" s="200">
        <f t="shared" si="54"/>
        <v>84425.3</v>
      </c>
      <c r="M161" s="211">
        <f t="shared" si="53"/>
        <v>34.262922717578952</v>
      </c>
      <c r="O161" s="9">
        <v>30364.829999999998</v>
      </c>
      <c r="P161" t="s">
        <v>12</v>
      </c>
      <c r="Q161" t="s">
        <v>12</v>
      </c>
    </row>
    <row r="162" spans="1:18">
      <c r="A162" s="8" t="s">
        <v>440</v>
      </c>
      <c r="B162" s="202" t="s">
        <v>286</v>
      </c>
      <c r="C162" s="202">
        <f>SUM(C163:C167)</f>
        <v>956224</v>
      </c>
      <c r="D162" s="202"/>
      <c r="E162" s="570">
        <f>SUM(E163:E167)</f>
        <v>3468724</v>
      </c>
      <c r="F162" s="605">
        <f>+F163+F164+F166+F167</f>
        <v>3468724</v>
      </c>
      <c r="G162" s="12">
        <f>+G163+G164+G166+G167</f>
        <v>319490.43</v>
      </c>
      <c r="H162" s="553">
        <f>+O162+G162</f>
        <v>2002084.07</v>
      </c>
      <c r="I162" s="553">
        <f>+P162+H162</f>
        <v>2002084.07</v>
      </c>
      <c r="J162" s="570">
        <f>SUM(J163:J167)</f>
        <v>2002084.0699999998</v>
      </c>
      <c r="K162" s="166">
        <f t="shared" si="52"/>
        <v>1466639.93</v>
      </c>
      <c r="L162" s="202">
        <f t="shared" si="54"/>
        <v>1466639.93</v>
      </c>
      <c r="M162" s="229">
        <f t="shared" si="53"/>
        <v>57.718171581250047</v>
      </c>
      <c r="O162" s="9">
        <v>1682593.6400000001</v>
      </c>
      <c r="R162" s="1" t="s">
        <v>12</v>
      </c>
    </row>
    <row r="163" spans="1:18" ht="14.25" customHeight="1">
      <c r="A163" s="187">
        <v>611</v>
      </c>
      <c r="B163" s="200" t="s">
        <v>441</v>
      </c>
      <c r="C163" s="200">
        <v>1800</v>
      </c>
      <c r="D163" s="200"/>
      <c r="E163" s="567">
        <f>4300</f>
        <v>4300</v>
      </c>
      <c r="F163" s="604">
        <v>4300</v>
      </c>
      <c r="G163" s="568">
        <v>0</v>
      </c>
      <c r="H163" s="554">
        <f>+O163+G163</f>
        <v>0</v>
      </c>
      <c r="I163" s="554"/>
      <c r="J163" s="567">
        <v>0</v>
      </c>
      <c r="K163" s="169">
        <f t="shared" si="52"/>
        <v>4300</v>
      </c>
      <c r="L163" s="200">
        <f t="shared" si="54"/>
        <v>4300</v>
      </c>
      <c r="M163" s="211"/>
      <c r="O163" s="9">
        <v>0</v>
      </c>
    </row>
    <row r="164" spans="1:18" ht="13.5" customHeight="1">
      <c r="A164" s="187">
        <v>612</v>
      </c>
      <c r="B164" s="200" t="s">
        <v>442</v>
      </c>
      <c r="C164" s="200">
        <v>172962</v>
      </c>
      <c r="D164" s="200"/>
      <c r="E164" s="567">
        <v>1789962</v>
      </c>
      <c r="F164" s="604">
        <v>1789962</v>
      </c>
      <c r="G164" s="568">
        <v>119850.93</v>
      </c>
      <c r="H164" s="557">
        <f>+G164+O164</f>
        <v>1192391.24</v>
      </c>
      <c r="I164" s="554">
        <v>1192391.24</v>
      </c>
      <c r="J164" s="554">
        <v>1192391.24</v>
      </c>
      <c r="K164" s="169">
        <f t="shared" si="52"/>
        <v>597570.76</v>
      </c>
      <c r="L164" s="200">
        <f t="shared" si="54"/>
        <v>597570.76</v>
      </c>
      <c r="M164" s="211">
        <f>+H164*100/F164</f>
        <v>66.615449936926041</v>
      </c>
      <c r="O164" s="9">
        <v>1072540.31</v>
      </c>
    </row>
    <row r="165" spans="1:18" ht="12" hidden="1" customHeight="1">
      <c r="A165" s="187">
        <v>613</v>
      </c>
      <c r="B165" s="200" t="s">
        <v>443</v>
      </c>
      <c r="C165" s="200">
        <v>0</v>
      </c>
      <c r="D165" s="200"/>
      <c r="E165" s="567">
        <v>0</v>
      </c>
      <c r="F165" s="604"/>
      <c r="G165" s="568"/>
      <c r="H165" s="554">
        <f>+O165+G165</f>
        <v>0</v>
      </c>
      <c r="I165" s="554"/>
      <c r="J165" s="567"/>
      <c r="K165" s="169">
        <f t="shared" si="52"/>
        <v>0</v>
      </c>
      <c r="L165" s="200">
        <f t="shared" si="54"/>
        <v>0</v>
      </c>
      <c r="M165" s="211" t="e">
        <f>+H165*100/F165</f>
        <v>#DIV/0!</v>
      </c>
      <c r="O165" s="9">
        <v>0</v>
      </c>
    </row>
    <row r="166" spans="1:18" ht="12.75" customHeight="1">
      <c r="A166" s="187">
        <v>614</v>
      </c>
      <c r="B166" s="200" t="s">
        <v>444</v>
      </c>
      <c r="C166" s="200">
        <v>727916</v>
      </c>
      <c r="D166" s="200"/>
      <c r="E166" s="567">
        <v>1620916</v>
      </c>
      <c r="F166" s="604">
        <v>1620916</v>
      </c>
      <c r="G166" s="568">
        <v>199639.5</v>
      </c>
      <c r="H166" s="554">
        <f>+O166+G166</f>
        <v>802072.83</v>
      </c>
      <c r="I166" s="554">
        <v>802072.83</v>
      </c>
      <c r="J166" s="554">
        <v>802072.83</v>
      </c>
      <c r="K166" s="169">
        <f t="shared" si="52"/>
        <v>818843.17</v>
      </c>
      <c r="L166" s="200">
        <f t="shared" si="54"/>
        <v>818843.17</v>
      </c>
      <c r="M166" s="211">
        <f>+H166*100/F166</f>
        <v>49.482689417588574</v>
      </c>
      <c r="O166" s="9">
        <v>602433.32999999996</v>
      </c>
    </row>
    <row r="167" spans="1:18" ht="13.5" customHeight="1">
      <c r="A167" s="187">
        <v>619</v>
      </c>
      <c r="B167" s="200" t="s">
        <v>445</v>
      </c>
      <c r="C167" s="200">
        <v>53546</v>
      </c>
      <c r="D167" s="200"/>
      <c r="E167" s="567">
        <v>53546</v>
      </c>
      <c r="F167" s="568">
        <v>53546</v>
      </c>
      <c r="G167" s="587">
        <v>0</v>
      </c>
      <c r="H167" s="554">
        <f>+O167+G167</f>
        <v>7620</v>
      </c>
      <c r="I167" s="554">
        <v>7620</v>
      </c>
      <c r="J167" s="554">
        <v>7620</v>
      </c>
      <c r="K167" s="169">
        <f t="shared" si="52"/>
        <v>45926</v>
      </c>
      <c r="L167" s="200">
        <f t="shared" si="54"/>
        <v>45926</v>
      </c>
      <c r="M167" s="211" t="s">
        <v>12</v>
      </c>
      <c r="O167" s="9">
        <v>7620</v>
      </c>
    </row>
    <row r="168" spans="1:18" ht="13.5" customHeight="1">
      <c r="A168" s="186">
        <v>620</v>
      </c>
      <c r="B168" s="202" t="s">
        <v>446</v>
      </c>
      <c r="C168" s="202">
        <f>+C169+C170+C171</f>
        <v>730940</v>
      </c>
      <c r="D168" s="202"/>
      <c r="E168" s="570">
        <f>+E169+E170+E171</f>
        <v>152207</v>
      </c>
      <c r="F168" s="571">
        <f t="shared" ref="F168:J168" si="57">+F169+F170+F171</f>
        <v>152207</v>
      </c>
      <c r="G168" s="571">
        <f t="shared" si="57"/>
        <v>1173.1199999999999</v>
      </c>
      <c r="H168" s="570">
        <f t="shared" si="57"/>
        <v>128603.58</v>
      </c>
      <c r="I168" s="553">
        <f>+I170</f>
        <v>75942.070000000007</v>
      </c>
      <c r="J168" s="570">
        <f t="shared" si="57"/>
        <v>62030.74</v>
      </c>
      <c r="K168" s="166">
        <f t="shared" si="52"/>
        <v>23603.42</v>
      </c>
      <c r="L168" s="202">
        <f t="shared" si="54"/>
        <v>23603.42</v>
      </c>
      <c r="M168" s="229">
        <f>+H168*100/F168</f>
        <v>84.492552904925532</v>
      </c>
      <c r="O168" s="117">
        <v>127430.46</v>
      </c>
    </row>
    <row r="169" spans="1:18" ht="13.5" customHeight="1">
      <c r="A169" s="187" t="s">
        <v>447</v>
      </c>
      <c r="B169" s="200" t="s">
        <v>448</v>
      </c>
      <c r="C169" s="200">
        <v>70000</v>
      </c>
      <c r="D169" s="200"/>
      <c r="E169" s="567">
        <v>0</v>
      </c>
      <c r="F169" s="574">
        <v>0</v>
      </c>
      <c r="G169" s="587">
        <v>0</v>
      </c>
      <c r="H169" s="554">
        <f>+O169+G169</f>
        <v>0</v>
      </c>
      <c r="I169" s="554"/>
      <c r="J169" s="567">
        <v>0</v>
      </c>
      <c r="K169" s="169">
        <f t="shared" si="52"/>
        <v>0</v>
      </c>
      <c r="L169" s="200">
        <f t="shared" si="54"/>
        <v>0</v>
      </c>
      <c r="M169" s="211" t="s">
        <v>11</v>
      </c>
      <c r="O169" s="9">
        <v>0</v>
      </c>
    </row>
    <row r="170" spans="1:18" ht="12" customHeight="1">
      <c r="A170" s="187">
        <v>624</v>
      </c>
      <c r="B170" s="200" t="s">
        <v>449</v>
      </c>
      <c r="C170" s="200">
        <v>648440</v>
      </c>
      <c r="D170" s="200"/>
      <c r="E170" s="567">
        <v>152207</v>
      </c>
      <c r="F170" s="574">
        <v>152207</v>
      </c>
      <c r="G170" s="587">
        <v>1173.1199999999999</v>
      </c>
      <c r="H170" s="554">
        <f>+O170+G170</f>
        <v>128603.58</v>
      </c>
      <c r="I170" s="554">
        <v>75942.070000000007</v>
      </c>
      <c r="J170" s="567">
        <v>62030.74</v>
      </c>
      <c r="K170" s="169">
        <f t="shared" si="52"/>
        <v>23603.42</v>
      </c>
      <c r="L170" s="200">
        <f t="shared" si="54"/>
        <v>23603.42</v>
      </c>
      <c r="M170" s="211">
        <f>+H170*100/F170</f>
        <v>84.492552904925532</v>
      </c>
      <c r="O170" s="9">
        <v>127430.46</v>
      </c>
    </row>
    <row r="171" spans="1:18" ht="12" customHeight="1">
      <c r="A171" s="187">
        <v>629</v>
      </c>
      <c r="B171" s="200" t="s">
        <v>450</v>
      </c>
      <c r="C171" s="200">
        <v>12500</v>
      </c>
      <c r="D171" s="200"/>
      <c r="E171" s="567">
        <v>0</v>
      </c>
      <c r="F171" s="574">
        <v>0</v>
      </c>
      <c r="G171" s="587"/>
      <c r="H171" s="554"/>
      <c r="I171" s="554"/>
      <c r="J171" s="568"/>
      <c r="K171" s="169"/>
      <c r="L171" s="200"/>
      <c r="M171" s="211"/>
      <c r="O171" s="9"/>
    </row>
    <row r="172" spans="1:18" ht="12" customHeight="1">
      <c r="A172" s="186">
        <v>640</v>
      </c>
      <c r="B172" s="202" t="s">
        <v>451</v>
      </c>
      <c r="C172" s="202">
        <f>+C173</f>
        <v>159266</v>
      </c>
      <c r="D172" s="202"/>
      <c r="E172" s="570">
        <f>+E173</f>
        <v>159266</v>
      </c>
      <c r="F172" s="571">
        <f>+F173</f>
        <v>159266</v>
      </c>
      <c r="G172" s="570">
        <f t="shared" ref="G172:L172" si="58">+G173</f>
        <v>0</v>
      </c>
      <c r="H172" s="570">
        <f t="shared" si="58"/>
        <v>0</v>
      </c>
      <c r="I172" s="570">
        <f t="shared" si="58"/>
        <v>0</v>
      </c>
      <c r="J172" s="570">
        <f t="shared" si="58"/>
        <v>0</v>
      </c>
      <c r="K172" s="202">
        <f t="shared" si="58"/>
        <v>0</v>
      </c>
      <c r="L172" s="202">
        <f t="shared" si="58"/>
        <v>0</v>
      </c>
      <c r="M172" s="211"/>
      <c r="O172" s="9">
        <v>0</v>
      </c>
    </row>
    <row r="173" spans="1:18" ht="12" customHeight="1">
      <c r="A173" s="187">
        <v>641</v>
      </c>
      <c r="B173" s="200" t="s">
        <v>452</v>
      </c>
      <c r="C173" s="200">
        <v>159266</v>
      </c>
      <c r="D173" s="200"/>
      <c r="E173" s="567">
        <v>159266</v>
      </c>
      <c r="F173" s="574">
        <v>159266</v>
      </c>
      <c r="G173" s="587"/>
      <c r="H173" s="554"/>
      <c r="I173" s="554"/>
      <c r="J173" s="568"/>
      <c r="K173" s="169"/>
      <c r="L173" s="200"/>
      <c r="O173" s="9"/>
    </row>
    <row r="174" spans="1:18">
      <c r="A174" s="186" t="s">
        <v>453</v>
      </c>
      <c r="B174" s="222" t="s">
        <v>454</v>
      </c>
      <c r="C174" s="202">
        <f>SUM(C175:C177)</f>
        <v>287000</v>
      </c>
      <c r="D174" s="202"/>
      <c r="E174" s="570">
        <f>SUM(E175:E177)</f>
        <v>93500</v>
      </c>
      <c r="F174" s="571">
        <f>SUM(F175:F177)</f>
        <v>93500</v>
      </c>
      <c r="G174" s="571">
        <f>SUM(G175:G177)</f>
        <v>0</v>
      </c>
      <c r="H174" s="553">
        <f t="shared" ref="H174:H179" si="59">+O174+G174</f>
        <v>25424.21</v>
      </c>
      <c r="I174" s="553">
        <f>+I176+I177</f>
        <v>900</v>
      </c>
      <c r="J174" s="12">
        <f>SUM(J175:J177)</f>
        <v>900</v>
      </c>
      <c r="K174" s="166">
        <f>+F174-H174</f>
        <v>68075.790000000008</v>
      </c>
      <c r="L174" s="202">
        <f t="shared" ref="L174:L179" si="60">+E174-H174</f>
        <v>68075.790000000008</v>
      </c>
      <c r="M174" s="229">
        <f>+H174*100/F174</f>
        <v>27.191668449197859</v>
      </c>
      <c r="O174" s="117">
        <v>25424.21</v>
      </c>
    </row>
    <row r="175" spans="1:18" ht="13.5" customHeight="1">
      <c r="A175" s="187">
        <v>662</v>
      </c>
      <c r="B175" s="201" t="s">
        <v>455</v>
      </c>
      <c r="C175" s="200">
        <v>116000</v>
      </c>
      <c r="D175" s="200"/>
      <c r="E175" s="567">
        <v>52500</v>
      </c>
      <c r="F175" s="574">
        <v>52500</v>
      </c>
      <c r="G175" s="587">
        <v>0</v>
      </c>
      <c r="H175" s="554">
        <v>16500</v>
      </c>
      <c r="I175" s="554"/>
      <c r="J175" s="567">
        <v>0</v>
      </c>
      <c r="K175" s="169">
        <f>+F175-H175</f>
        <v>36000</v>
      </c>
      <c r="L175" s="200">
        <f t="shared" si="60"/>
        <v>36000</v>
      </c>
      <c r="M175" s="211">
        <f>+H175*100/F175</f>
        <v>31.428571428571427</v>
      </c>
      <c r="O175" s="9">
        <v>16500</v>
      </c>
      <c r="P175" t="s">
        <v>137</v>
      </c>
    </row>
    <row r="176" spans="1:18" ht="11.25" customHeight="1">
      <c r="A176" s="187" t="s">
        <v>456</v>
      </c>
      <c r="B176" s="201" t="s">
        <v>457</v>
      </c>
      <c r="C176" s="200">
        <v>0</v>
      </c>
      <c r="D176" s="200"/>
      <c r="E176" s="567">
        <v>7000</v>
      </c>
      <c r="F176" s="574">
        <v>7000</v>
      </c>
      <c r="G176" s="587">
        <v>0</v>
      </c>
      <c r="H176" s="554">
        <v>5790</v>
      </c>
      <c r="I176" s="554"/>
      <c r="J176" s="567">
        <v>0</v>
      </c>
      <c r="K176" s="169" t="s">
        <v>12</v>
      </c>
      <c r="L176" s="200">
        <f t="shared" si="60"/>
        <v>1210</v>
      </c>
      <c r="M176" s="211">
        <f>+H176*100/F176</f>
        <v>82.714285714285708</v>
      </c>
      <c r="O176" s="9">
        <v>5790</v>
      </c>
    </row>
    <row r="177" spans="1:15" ht="12.75" customHeight="1">
      <c r="A177" s="187" t="s">
        <v>458</v>
      </c>
      <c r="B177" s="201" t="s">
        <v>459</v>
      </c>
      <c r="C177" s="200">
        <v>171000</v>
      </c>
      <c r="D177" s="200"/>
      <c r="E177" s="567">
        <v>34000</v>
      </c>
      <c r="F177" s="574">
        <v>34000</v>
      </c>
      <c r="G177" s="587">
        <v>0</v>
      </c>
      <c r="H177" s="554">
        <f t="shared" si="59"/>
        <v>3134.21</v>
      </c>
      <c r="I177" s="554">
        <v>900</v>
      </c>
      <c r="J177" s="567">
        <v>900</v>
      </c>
      <c r="K177" s="169">
        <f>+F177-H177</f>
        <v>30865.79</v>
      </c>
      <c r="L177" s="200">
        <f t="shared" si="60"/>
        <v>30865.79</v>
      </c>
      <c r="M177" s="211">
        <f>+H177*100/F177</f>
        <v>9.218264705882353</v>
      </c>
      <c r="O177" s="9">
        <v>3134.21</v>
      </c>
    </row>
    <row r="178" spans="1:15" ht="17.25" customHeight="1">
      <c r="A178" s="186">
        <v>690</v>
      </c>
      <c r="B178" s="202" t="s">
        <v>460</v>
      </c>
      <c r="C178" s="202">
        <f>+C179</f>
        <v>0</v>
      </c>
      <c r="D178" s="202"/>
      <c r="E178" s="570">
        <f>+E181+E180</f>
        <v>41580</v>
      </c>
      <c r="F178" s="12">
        <f>+F181+F180</f>
        <v>41580</v>
      </c>
      <c r="G178" s="589"/>
      <c r="H178" s="570">
        <f t="shared" si="59"/>
        <v>23895</v>
      </c>
      <c r="I178" s="554"/>
      <c r="J178" s="570">
        <f>+J179</f>
        <v>0</v>
      </c>
      <c r="K178" s="166">
        <f>+F178-H178</f>
        <v>17685</v>
      </c>
      <c r="L178" s="202">
        <f t="shared" si="60"/>
        <v>17685</v>
      </c>
      <c r="M178" s="229">
        <f>+H178*100/F178</f>
        <v>57.467532467532465</v>
      </c>
      <c r="O178" s="117">
        <v>23895</v>
      </c>
    </row>
    <row r="179" spans="1:15" ht="15.75" customHeight="1">
      <c r="A179" s="187">
        <v>692</v>
      </c>
      <c r="B179" s="201" t="s">
        <v>461</v>
      </c>
      <c r="C179" s="200"/>
      <c r="D179" s="200"/>
      <c r="E179" s="567"/>
      <c r="F179" s="574">
        <v>0</v>
      </c>
      <c r="G179" s="568">
        <v>0</v>
      </c>
      <c r="H179" s="567">
        <f t="shared" si="59"/>
        <v>0</v>
      </c>
      <c r="I179" s="554"/>
      <c r="J179" s="567">
        <v>0</v>
      </c>
      <c r="K179" s="169">
        <f>+F179-H179</f>
        <v>0</v>
      </c>
      <c r="L179" s="200">
        <f t="shared" si="60"/>
        <v>0</v>
      </c>
      <c r="M179" s="211" t="s">
        <v>12</v>
      </c>
      <c r="O179" s="9">
        <v>0</v>
      </c>
    </row>
    <row r="180" spans="1:15" ht="18" customHeight="1">
      <c r="A180" s="187">
        <v>693</v>
      </c>
      <c r="B180" s="201" t="s">
        <v>462</v>
      </c>
      <c r="C180" s="200"/>
      <c r="D180" s="200"/>
      <c r="E180" s="567">
        <v>2000</v>
      </c>
      <c r="F180" s="574">
        <v>2000</v>
      </c>
      <c r="G180" s="590"/>
      <c r="H180" s="568"/>
      <c r="I180" s="554"/>
      <c r="J180" s="567"/>
      <c r="K180" s="169"/>
      <c r="L180" s="200"/>
      <c r="M180" s="211" t="s">
        <v>12</v>
      </c>
      <c r="O180" s="9"/>
    </row>
    <row r="181" spans="1:15" ht="15.75" customHeight="1">
      <c r="A181" s="187">
        <v>697</v>
      </c>
      <c r="B181" s="201" t="s">
        <v>463</v>
      </c>
      <c r="C181" s="200"/>
      <c r="D181" s="200"/>
      <c r="E181" s="567">
        <f>22080+17500</f>
        <v>39580</v>
      </c>
      <c r="F181" s="591">
        <v>39580</v>
      </c>
      <c r="G181" s="568"/>
      <c r="H181" s="554">
        <f>+O181+G181</f>
        <v>23895</v>
      </c>
      <c r="I181" s="554"/>
      <c r="J181" s="567"/>
      <c r="K181" s="231">
        <f>+F181-H181</f>
        <v>15685</v>
      </c>
      <c r="L181" s="202">
        <f>+E181-H181</f>
        <v>15685</v>
      </c>
      <c r="M181" s="211">
        <f>+H181*100/F181</f>
        <v>60.371399696816574</v>
      </c>
      <c r="O181" s="9">
        <v>23895</v>
      </c>
    </row>
    <row r="182" spans="1:15" ht="28.9" customHeight="1">
      <c r="A182" s="223" t="s">
        <v>12</v>
      </c>
      <c r="B182" s="224" t="s">
        <v>464</v>
      </c>
      <c r="C182" s="225">
        <f t="shared" ref="C182:G182" si="61">+C159+C154+C94+C37+C11</f>
        <v>141094806</v>
      </c>
      <c r="D182" s="225">
        <f>+D37+D94</f>
        <v>637113</v>
      </c>
      <c r="E182" s="592">
        <f t="shared" si="61"/>
        <v>140457693</v>
      </c>
      <c r="F182" s="593">
        <f t="shared" si="61"/>
        <v>117960318</v>
      </c>
      <c r="G182" s="594">
        <f t="shared" si="61"/>
        <v>9865502.0599999987</v>
      </c>
      <c r="H182" s="595">
        <f>+H11+H37+H94+H154+H159</f>
        <v>100399270.21000001</v>
      </c>
      <c r="I182" s="592">
        <f>+I159+I154+I94+I37+I11</f>
        <v>86897883.600000009</v>
      </c>
      <c r="J182" s="592">
        <f>+J159+J154+J94+J37+J11</f>
        <v>94083213.180000022</v>
      </c>
      <c r="K182" s="232">
        <f>+F182-H182</f>
        <v>17561047.789999992</v>
      </c>
      <c r="L182" s="225">
        <f>+E182-H182</f>
        <v>40058422.789999992</v>
      </c>
      <c r="M182" s="233">
        <f>+H182*100/F182</f>
        <v>85.112749704523523</v>
      </c>
      <c r="O182" s="9">
        <v>90541959.559999987</v>
      </c>
    </row>
    <row r="183" spans="1:15">
      <c r="G183" s="226"/>
      <c r="I183" s="157" t="s">
        <v>12</v>
      </c>
      <c r="J183" s="157" t="s">
        <v>12</v>
      </c>
    </row>
    <row r="184" spans="1:15">
      <c r="G184" s="226"/>
    </row>
    <row r="185" spans="1:15">
      <c r="D185" s="227" t="s">
        <v>12</v>
      </c>
      <c r="G185" s="226"/>
    </row>
    <row r="186" spans="1:15">
      <c r="G186" s="226"/>
    </row>
    <row r="187" spans="1:15">
      <c r="G187" s="226"/>
      <c r="H187" s="227"/>
    </row>
    <row r="188" spans="1:15">
      <c r="G188" s="226"/>
    </row>
    <row r="189" spans="1:15">
      <c r="G189" s="226"/>
    </row>
    <row r="190" spans="1:15">
      <c r="G190" s="226"/>
    </row>
    <row r="191" spans="1:15">
      <c r="G191" s="226"/>
    </row>
    <row r="192" spans="1:15">
      <c r="E192" s="226"/>
      <c r="F192" s="227"/>
      <c r="G192" s="226"/>
      <c r="I192" s="227"/>
      <c r="J192" s="227"/>
      <c r="O192" s="9"/>
    </row>
    <row r="193" spans="2:10">
      <c r="E193" s="227"/>
      <c r="H193" s="226"/>
      <c r="J193" s="234"/>
    </row>
    <row r="194" spans="2:10">
      <c r="E194" s="234"/>
      <c r="F194" s="227"/>
      <c r="H194" s="226"/>
      <c r="J194" s="227"/>
    </row>
    <row r="195" spans="2:10">
      <c r="E195" s="227"/>
    </row>
    <row r="196" spans="2:10">
      <c r="E196" s="226"/>
      <c r="H196" s="226"/>
    </row>
    <row r="197" spans="2:10">
      <c r="B197" s="235"/>
      <c r="E197" s="226"/>
    </row>
    <row r="198" spans="2:10">
      <c r="C198" s="226"/>
      <c r="D198" s="226"/>
    </row>
    <row r="199" spans="2:10">
      <c r="C199" s="226"/>
      <c r="D199" s="226"/>
    </row>
    <row r="200" spans="2:10">
      <c r="C200" s="226"/>
      <c r="D200" s="226"/>
    </row>
    <row r="201" spans="2:10">
      <c r="C201" s="226"/>
      <c r="D201" s="226"/>
    </row>
  </sheetData>
  <mergeCells count="13">
    <mergeCell ref="O8:O10"/>
    <mergeCell ref="C8:F9"/>
    <mergeCell ref="G8:H9"/>
    <mergeCell ref="K8:L10"/>
    <mergeCell ref="A2:M2"/>
    <mergeCell ref="A3:M3"/>
    <mergeCell ref="A4:M4"/>
    <mergeCell ref="A5:M5"/>
    <mergeCell ref="A8:A10"/>
    <mergeCell ref="B8:B10"/>
    <mergeCell ref="I8:I10"/>
    <mergeCell ref="J8:J10"/>
    <mergeCell ref="M8:M10"/>
  </mergeCells>
  <pageMargins left="0.511811023622047" right="0.118110236220472" top="0.55118110236220497" bottom="0.55118110236220497" header="0.31496062992126" footer="0.31496062992126"/>
  <pageSetup scale="80" orientation="portrait"/>
  <ignoredErrors>
    <ignoredError sqref="A118:B118 A12:A117 A119:A143 K118:L118 P118:XFD118 N118" numberStoredAsText="1"/>
    <ignoredError sqref="J128 C134 F134 C45 F45 E16:F16 F22 I45:J45 I134 C16" formulaRange="1"/>
    <ignoredError sqref="I16:J16" formula="1" formulaRange="1"/>
    <ignoredError sqref="H29 H68:H70 H136:H137 E11:E12 H88:H94 H154:H155 H139:H142 H181:H182 H106:H107 H159:H174 H83:H84 F62 H117:H119 I168 H86 F162 H72:H77 H55 H157 H99:H104 H111:H113 H126:H131 H144:H145 H115 E159 H121:H124 E73 H177:H179 H13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tabColor rgb="FFFF0000"/>
  </sheetPr>
  <dimension ref="A1:P149"/>
  <sheetViews>
    <sheetView showGridLines="0" showZeros="0" topLeftCell="A2" workbookViewId="0">
      <selection activeCell="O55" sqref="O55"/>
    </sheetView>
  </sheetViews>
  <sheetFormatPr baseColWidth="10" defaultColWidth="11" defaultRowHeight="12.75"/>
  <cols>
    <col min="1" max="1" width="4.85546875" customWidth="1"/>
    <col min="2" max="2" width="32.5703125" customWidth="1"/>
    <col min="3" max="3" width="12.7109375" customWidth="1"/>
    <col min="4" max="4" width="13.28515625" customWidth="1"/>
    <col min="5" max="5" width="12.42578125" customWidth="1"/>
    <col min="6" max="6" width="14.5703125" hidden="1" customWidth="1"/>
    <col min="7" max="7" width="15.42578125" customWidth="1"/>
    <col min="8" max="8" width="11.28515625" customWidth="1"/>
    <col min="9" max="9" width="11.42578125" customWidth="1"/>
    <col min="10" max="10" width="11" customWidth="1"/>
    <col min="11" max="11" width="13.42578125" hidden="1" customWidth="1"/>
    <col min="12" max="12" width="12.140625" style="3" customWidth="1"/>
  </cols>
  <sheetData>
    <row r="1" spans="1:12" ht="20.25" customHeight="1">
      <c r="A1" s="645" t="s">
        <v>465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</row>
    <row r="2" spans="1:12" ht="18.75" customHeight="1">
      <c r="A2" s="645" t="s">
        <v>61</v>
      </c>
      <c r="B2" s="645"/>
      <c r="C2" s="645"/>
      <c r="D2" s="645"/>
      <c r="E2" s="645"/>
      <c r="F2" s="645"/>
      <c r="G2" s="645"/>
      <c r="H2" s="645"/>
      <c r="I2" s="645"/>
      <c r="J2" s="645"/>
      <c r="K2" s="645"/>
      <c r="L2" s="645"/>
    </row>
    <row r="3" spans="1:12" ht="19.899999999999999" customHeight="1">
      <c r="A3" s="646" t="s">
        <v>466</v>
      </c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</row>
    <row r="4" spans="1:12" ht="19.899999999999999" customHeight="1">
      <c r="A4" s="646" t="s">
        <v>535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</row>
    <row r="5" spans="1:12" ht="6" customHeight="1">
      <c r="A5" s="719"/>
      <c r="B5" s="719"/>
      <c r="C5" s="719"/>
      <c r="D5" s="719"/>
      <c r="E5" s="719"/>
      <c r="F5" s="719"/>
      <c r="G5" s="719"/>
      <c r="H5" s="719"/>
      <c r="I5" s="719"/>
      <c r="J5" s="719"/>
      <c r="K5" s="719"/>
      <c r="L5" s="719"/>
    </row>
    <row r="6" spans="1:12" ht="19.899999999999999" customHeight="1">
      <c r="A6" s="721" t="s">
        <v>467</v>
      </c>
      <c r="B6" s="724" t="s">
        <v>0</v>
      </c>
      <c r="C6" s="736" t="s">
        <v>50</v>
      </c>
      <c r="D6" s="737"/>
      <c r="E6" s="737"/>
      <c r="F6" s="737"/>
      <c r="G6" s="737"/>
      <c r="H6" s="737"/>
      <c r="I6" s="738"/>
      <c r="J6" s="730" t="s">
        <v>42</v>
      </c>
      <c r="K6" s="731"/>
      <c r="L6" s="727" t="s">
        <v>43</v>
      </c>
    </row>
    <row r="7" spans="1:12" ht="6" customHeight="1">
      <c r="A7" s="722"/>
      <c r="B7" s="725"/>
      <c r="C7" s="739"/>
      <c r="D7" s="740"/>
      <c r="E7" s="740"/>
      <c r="F7" s="740"/>
      <c r="G7" s="740"/>
      <c r="H7" s="740"/>
      <c r="I7" s="741"/>
      <c r="J7" s="732"/>
      <c r="K7" s="733"/>
      <c r="L7" s="728"/>
    </row>
    <row r="8" spans="1:12" ht="34.5" customHeight="1">
      <c r="A8" s="723"/>
      <c r="B8" s="726"/>
      <c r="C8" s="121" t="s">
        <v>2</v>
      </c>
      <c r="D8" s="122" t="s">
        <v>65</v>
      </c>
      <c r="E8" s="121" t="s">
        <v>25</v>
      </c>
      <c r="F8" s="123" t="s">
        <v>66</v>
      </c>
      <c r="G8" s="124" t="s">
        <v>44</v>
      </c>
      <c r="H8" s="124" t="s">
        <v>48</v>
      </c>
      <c r="I8" s="124" t="s">
        <v>45</v>
      </c>
      <c r="J8" s="734"/>
      <c r="K8" s="735"/>
      <c r="L8" s="729"/>
    </row>
    <row r="9" spans="1:12" ht="31.5" customHeight="1">
      <c r="A9" s="125" t="s">
        <v>194</v>
      </c>
      <c r="B9" s="126" t="s">
        <v>195</v>
      </c>
      <c r="C9" s="127">
        <f t="shared" ref="C9:E9" si="0">SUM(C10+C14+C15+C16+C17+C18+C19)</f>
        <v>125299729</v>
      </c>
      <c r="D9" s="127">
        <f t="shared" si="0"/>
        <v>122980084</v>
      </c>
      <c r="E9" s="127">
        <f t="shared" si="0"/>
        <v>100721659</v>
      </c>
      <c r="F9" s="127">
        <f t="shared" ref="F9:I9" si="1">SUM(F10+F14+F15+F16+F17+F18+F19)</f>
        <v>8987503.1800000016</v>
      </c>
      <c r="G9" s="127">
        <f t="shared" si="1"/>
        <v>88516480.720000014</v>
      </c>
      <c r="H9" s="127">
        <f t="shared" si="1"/>
        <v>76889526.810000002</v>
      </c>
      <c r="I9" s="127">
        <f t="shared" si="1"/>
        <v>85183610.980000019</v>
      </c>
      <c r="J9" s="127">
        <f>+E9-G9</f>
        <v>12205178.279999986</v>
      </c>
      <c r="K9" s="127">
        <f>+D9-G9</f>
        <v>34463603.279999986</v>
      </c>
      <c r="L9" s="536">
        <f>+'C-A6'!M11</f>
        <v>87.882270406209258</v>
      </c>
    </row>
    <row r="10" spans="1:12" ht="18" customHeight="1">
      <c r="A10" s="128" t="s">
        <v>196</v>
      </c>
      <c r="B10" s="129" t="s">
        <v>197</v>
      </c>
      <c r="C10" s="130">
        <f>SUM(C11:C13)</f>
        <v>83395405</v>
      </c>
      <c r="D10" s="130">
        <f>+D11+D12+D13</f>
        <v>81773320</v>
      </c>
      <c r="E10" s="130">
        <f>SUM(E11:E13)</f>
        <v>68032321</v>
      </c>
      <c r="F10" s="130">
        <f>SUM(F11:F13)</f>
        <v>6331550.0300000003</v>
      </c>
      <c r="G10" s="130">
        <f>SUM(G11:G13)</f>
        <v>59758854.930000007</v>
      </c>
      <c r="H10" s="131">
        <f>+H11+H12+H13</f>
        <v>59758854.930000007</v>
      </c>
      <c r="I10" s="130">
        <f>SUM(I11:I13)</f>
        <v>59758854.930000007</v>
      </c>
      <c r="J10" s="130">
        <f>+E10-G10</f>
        <v>8273466.0699999928</v>
      </c>
      <c r="K10" s="130">
        <f>+D10-G10</f>
        <v>22014465.069999993</v>
      </c>
      <c r="L10" s="537">
        <f>+'C-A6'!M12</f>
        <v>87.838918401740258</v>
      </c>
    </row>
    <row r="11" spans="1:12" ht="16.5" customHeight="1">
      <c r="A11" s="132" t="s">
        <v>198</v>
      </c>
      <c r="B11" s="133" t="s">
        <v>197</v>
      </c>
      <c r="C11" s="134">
        <f>+'C-A6'!C13</f>
        <v>71073045</v>
      </c>
      <c r="D11" s="134">
        <f>+'C-A6'!E13</f>
        <v>69124045</v>
      </c>
      <c r="E11" s="134">
        <f>+'C-A6'!F13</f>
        <v>57199059</v>
      </c>
      <c r="F11" s="134">
        <f>+'C-A6'!G13</f>
        <v>5250759.8899999997</v>
      </c>
      <c r="G11" s="134">
        <f>+'C-A6'!H13</f>
        <v>51207269.280000001</v>
      </c>
      <c r="H11" s="134">
        <f>+'C-A6'!I13</f>
        <v>51207269.280000001</v>
      </c>
      <c r="I11" s="134">
        <f>+'C-A6'!J13</f>
        <v>51207269.280000001</v>
      </c>
      <c r="J11" s="134">
        <f>+'C-A6'!K13</f>
        <v>5991789.7199999988</v>
      </c>
      <c r="K11" s="134">
        <f>+'C-A6'!L13</f>
        <v>17916775.719999999</v>
      </c>
      <c r="L11" s="538">
        <f>+'C-A6'!M13</f>
        <v>89.524670816699981</v>
      </c>
    </row>
    <row r="12" spans="1:12" ht="15.75" customHeight="1">
      <c r="A12" s="132" t="s">
        <v>199</v>
      </c>
      <c r="B12" s="133" t="s">
        <v>200</v>
      </c>
      <c r="C12" s="134">
        <f>+'C-A6'!C14</f>
        <v>3944236</v>
      </c>
      <c r="D12" s="134">
        <f>+'C-A6'!E14</f>
        <v>3844236</v>
      </c>
      <c r="E12" s="134">
        <f>+'C-A6'!F14</f>
        <v>3176228</v>
      </c>
      <c r="F12" s="134">
        <f>+'C-A6'!G14</f>
        <v>274400.94</v>
      </c>
      <c r="G12" s="134">
        <f>+'C-A6'!H14</f>
        <v>2524859.2000000002</v>
      </c>
      <c r="H12" s="134">
        <f>+'C-A6'!I14</f>
        <v>2524859.2000000002</v>
      </c>
      <c r="I12" s="134">
        <f>+'C-A6'!J14</f>
        <v>2524859.2000000002</v>
      </c>
      <c r="J12" s="134">
        <f>+'C-A6'!K14</f>
        <v>651368.79999999981</v>
      </c>
      <c r="K12" s="134">
        <f>+'C-A6'!L14</f>
        <v>1319376.7999999998</v>
      </c>
      <c r="L12" s="538">
        <f>+'C-A6'!M14</f>
        <v>79.492379010574822</v>
      </c>
    </row>
    <row r="13" spans="1:12" ht="18.75" customHeight="1">
      <c r="A13" s="132" t="s">
        <v>201</v>
      </c>
      <c r="B13" s="133" t="s">
        <v>202</v>
      </c>
      <c r="C13" s="134">
        <f>+'C-A6'!C15</f>
        <v>8378124</v>
      </c>
      <c r="D13" s="134">
        <f>+'C-A6'!E15</f>
        <v>8805039</v>
      </c>
      <c r="E13" s="134">
        <f>+'C-A6'!F15</f>
        <v>7657034</v>
      </c>
      <c r="F13" s="134">
        <f>+'C-A6'!G15</f>
        <v>806389.2</v>
      </c>
      <c r="G13" s="134">
        <f>+'C-A6'!H15</f>
        <v>6026726.4500000002</v>
      </c>
      <c r="H13" s="134">
        <f>+'C-A6'!I15</f>
        <v>6026726.4500000002</v>
      </c>
      <c r="I13" s="134">
        <f>+'C-A6'!J15</f>
        <v>6026726.4500000002</v>
      </c>
      <c r="J13" s="134">
        <f>+'C-A6'!K15</f>
        <v>1630307.5499999998</v>
      </c>
      <c r="K13" s="134">
        <f>+'C-A6'!L15</f>
        <v>2778312.55</v>
      </c>
      <c r="L13" s="538">
        <f>+'C-A6'!M15</f>
        <v>78.708367365222614</v>
      </c>
    </row>
    <row r="14" spans="1:12" ht="18" customHeight="1">
      <c r="A14" s="132" t="s">
        <v>203</v>
      </c>
      <c r="B14" s="133" t="s">
        <v>204</v>
      </c>
      <c r="C14" s="134">
        <f>+'C-A6'!C16</f>
        <v>17439165</v>
      </c>
      <c r="D14" s="134">
        <f>+'C-A6'!E16</f>
        <v>16946165</v>
      </c>
      <c r="E14" s="134">
        <f>+'C-A6'!F16</f>
        <v>13814258</v>
      </c>
      <c r="F14" s="134">
        <f>+'C-A6'!G16</f>
        <v>1380214.35</v>
      </c>
      <c r="G14" s="134">
        <f>+'C-A6'!H16</f>
        <v>12443796.369999999</v>
      </c>
      <c r="H14" s="134">
        <f>+'C-A6'!I16</f>
        <v>12443796.369999999</v>
      </c>
      <c r="I14" s="134">
        <f>+'C-A6'!J16</f>
        <v>12443796.369999999</v>
      </c>
      <c r="J14" s="134">
        <f>+'C-A6'!K16</f>
        <v>1370461.6300000008</v>
      </c>
      <c r="K14" s="134">
        <f>+'C-A6'!L16</f>
        <v>4502368.6300000008</v>
      </c>
      <c r="L14" s="538">
        <f>+'C-A6'!M16</f>
        <v>90.07936850462761</v>
      </c>
    </row>
    <row r="15" spans="1:12" ht="18" customHeight="1">
      <c r="A15" s="132" t="s">
        <v>211</v>
      </c>
      <c r="B15" s="133" t="s">
        <v>212</v>
      </c>
      <c r="C15" s="134">
        <f>+'C-A6'!C20</f>
        <v>228000</v>
      </c>
      <c r="D15" s="134">
        <f>+'C-A6'!E20</f>
        <v>247000</v>
      </c>
      <c r="E15" s="134">
        <f>+'C-A6'!F20</f>
        <v>209000</v>
      </c>
      <c r="F15" s="134">
        <f>+'C-A6'!G20</f>
        <v>18493.330000000002</v>
      </c>
      <c r="G15" s="134">
        <f>+'C-A6'!H20</f>
        <v>187410</v>
      </c>
      <c r="H15" s="134">
        <f>+'C-A6'!I20</f>
        <v>190360</v>
      </c>
      <c r="I15" s="134">
        <f>+'C-A6'!J20</f>
        <v>187410</v>
      </c>
      <c r="J15" s="134">
        <f>+'C-A6'!K20</f>
        <v>21590</v>
      </c>
      <c r="K15" s="134">
        <f>+'C-A6'!L20</f>
        <v>59590</v>
      </c>
      <c r="L15" s="538">
        <f>+'C-A6'!M20</f>
        <v>89.669856459330148</v>
      </c>
    </row>
    <row r="16" spans="1:12" ht="16.5" customHeight="1">
      <c r="A16" s="132" t="s">
        <v>213</v>
      </c>
      <c r="B16" s="133" t="s">
        <v>214</v>
      </c>
      <c r="C16" s="134">
        <f>+'C-A6'!C21</f>
        <v>8407425</v>
      </c>
      <c r="D16" s="134">
        <f>+'C-A6'!E21</f>
        <v>7820865</v>
      </c>
      <c r="E16" s="134">
        <f>+'C-A6'!F21</f>
        <v>5018406</v>
      </c>
      <c r="F16" s="134">
        <f>+'C-A6'!G21</f>
        <v>16996.939999999999</v>
      </c>
      <c r="G16" s="134">
        <f>+'C-A6'!H21</f>
        <v>4255449.83</v>
      </c>
      <c r="H16" s="134">
        <f>+'C-A6'!I21</f>
        <v>4255501.91</v>
      </c>
      <c r="I16" s="134">
        <f>+'C-A6'!J21</f>
        <v>4255449.83</v>
      </c>
      <c r="J16" s="134">
        <f>+'C-A6'!K21</f>
        <v>762956.16999999993</v>
      </c>
      <c r="K16" s="134">
        <f>+'C-A6'!L21</f>
        <v>3565415.17</v>
      </c>
      <c r="L16" s="538">
        <f>+'C-A6'!M21</f>
        <v>84.796842463523276</v>
      </c>
    </row>
    <row r="17" spans="1:13" ht="15" customHeight="1">
      <c r="A17" s="132" t="s">
        <v>215</v>
      </c>
      <c r="B17" s="133" t="s">
        <v>216</v>
      </c>
      <c r="C17" s="134">
        <f>+'C-A6'!C22</f>
        <v>15829734</v>
      </c>
      <c r="D17" s="134">
        <f>+'C-A6'!E22</f>
        <v>15779734</v>
      </c>
      <c r="E17" s="134">
        <f>+'C-A6'!F22</f>
        <v>13234674</v>
      </c>
      <c r="F17" s="134">
        <f>+'C-A6'!G22</f>
        <v>1212091.94</v>
      </c>
      <c r="G17" s="134">
        <f>+'C-A6'!H22</f>
        <v>11592904.619999999</v>
      </c>
      <c r="H17" s="134">
        <v>0</v>
      </c>
      <c r="I17" s="134">
        <f>+'C-A6'!J22</f>
        <v>8272607.3700000001</v>
      </c>
      <c r="J17" s="134">
        <f>+'C-A6'!K22</f>
        <v>1641769.3800000008</v>
      </c>
      <c r="K17" s="134">
        <f>+'C-A6'!L22</f>
        <v>4186829.3800000008</v>
      </c>
      <c r="L17" s="538">
        <f>+'C-A6'!M22</f>
        <v>87.594939021542956</v>
      </c>
    </row>
    <row r="18" spans="1:13" ht="18" hidden="1" customHeight="1">
      <c r="A18" s="132" t="s">
        <v>225</v>
      </c>
      <c r="B18" s="133" t="s">
        <v>226</v>
      </c>
      <c r="C18" s="134">
        <f>+'C-A6'!C27</f>
        <v>0</v>
      </c>
      <c r="D18" s="134">
        <v>0</v>
      </c>
      <c r="E18" s="134">
        <f>+'C-A6'!F27</f>
        <v>0</v>
      </c>
      <c r="F18" s="134">
        <f>+'C-A6'!G27</f>
        <v>0</v>
      </c>
      <c r="G18" s="134">
        <f>+'C-A6'!H27</f>
        <v>0</v>
      </c>
      <c r="H18" s="134">
        <f>+'C-A6'!I23</f>
        <v>0</v>
      </c>
      <c r="I18" s="134">
        <f>+'C-A6'!J27</f>
        <v>0</v>
      </c>
      <c r="J18" s="134">
        <f>+'C-A6'!K27</f>
        <v>0</v>
      </c>
      <c r="K18" s="134" t="e">
        <f>+'C-A6'!L27</f>
        <v>#REF!</v>
      </c>
      <c r="L18" s="538">
        <f>+'C-A6'!M27</f>
        <v>0</v>
      </c>
    </row>
    <row r="19" spans="1:13" ht="18.75" customHeight="1">
      <c r="A19" s="132" t="s">
        <v>229</v>
      </c>
      <c r="B19" s="133" t="s">
        <v>230</v>
      </c>
      <c r="C19" s="134">
        <f>+'C-A6'!C29</f>
        <v>0</v>
      </c>
      <c r="D19" s="134">
        <f>+'C-A6'!E29</f>
        <v>413000</v>
      </c>
      <c r="E19" s="134">
        <f>+'C-A6'!F29</f>
        <v>413000</v>
      </c>
      <c r="F19" s="134">
        <f>+'C-A6'!G29</f>
        <v>28156.590000000004</v>
      </c>
      <c r="G19" s="134">
        <f>+'C-A6'!H29</f>
        <v>278064.97000000003</v>
      </c>
      <c r="H19" s="134">
        <f>+'C-A6'!I29</f>
        <v>241013.6</v>
      </c>
      <c r="I19" s="134">
        <f>+'C-A6'!J29</f>
        <v>265492.47999999998</v>
      </c>
      <c r="J19" s="134">
        <f>+'C-A6'!K29</f>
        <v>134935.02999999997</v>
      </c>
      <c r="K19" s="134">
        <f>+'C-A6'!L29</f>
        <v>134935.02999999997</v>
      </c>
      <c r="L19" s="538">
        <f>+'C-A6'!M24</f>
        <v>85.154763851073056</v>
      </c>
    </row>
    <row r="20" spans="1:13" ht="4.5" customHeight="1">
      <c r="A20" s="132"/>
      <c r="B20" s="133"/>
      <c r="C20" s="134"/>
      <c r="D20" s="134"/>
      <c r="E20" s="134"/>
      <c r="F20" s="134"/>
      <c r="G20" s="134"/>
      <c r="H20" s="135"/>
      <c r="I20" s="134"/>
      <c r="J20" s="134"/>
      <c r="K20" s="134"/>
      <c r="L20" s="538"/>
    </row>
    <row r="21" spans="1:13" ht="19.899999999999999" customHeight="1">
      <c r="A21" s="136" t="s">
        <v>243</v>
      </c>
      <c r="B21" s="137" t="s">
        <v>244</v>
      </c>
      <c r="C21" s="138">
        <f>SUM(C22:C31)</f>
        <v>7293008</v>
      </c>
      <c r="D21" s="138">
        <f>D22+D23+D24++D25+D26+D28+D29+D30+D31+D27</f>
        <v>7251873</v>
      </c>
      <c r="E21" s="138">
        <f>SUM(E22:E31)</f>
        <v>7032617</v>
      </c>
      <c r="F21" s="138">
        <f>F22+F23+F24++F25+F26+F28+F29+F30+F31+F27</f>
        <v>419060.91</v>
      </c>
      <c r="G21" s="138">
        <f>SUM(G22:G31)</f>
        <v>5294870.26</v>
      </c>
      <c r="H21" s="138">
        <f>SUM(H22:H31)</f>
        <v>4466585.4000000004</v>
      </c>
      <c r="I21" s="138">
        <f>I22+I23+I24++I25+I26+I28+I29+I30+I31+I27</f>
        <v>3794599.4099999997</v>
      </c>
      <c r="J21" s="138">
        <f t="shared" ref="J21:J31" si="2">+E21-G21</f>
        <v>1737746.7400000002</v>
      </c>
      <c r="K21" s="138">
        <f t="shared" ref="K21:K31" si="3">+D21-G21</f>
        <v>1957002.7400000002</v>
      </c>
      <c r="L21" s="539">
        <f t="shared" ref="L21:L31" si="4">+G21*100/E21</f>
        <v>75.290183725347191</v>
      </c>
      <c r="M21" s="1"/>
    </row>
    <row r="22" spans="1:13" ht="15" customHeight="1">
      <c r="A22" s="132">
        <v>100</v>
      </c>
      <c r="B22" s="133" t="s">
        <v>245</v>
      </c>
      <c r="C22" s="134">
        <f>+'C-A6'!C38</f>
        <v>151437</v>
      </c>
      <c r="D22" s="134">
        <f>+'C-A6'!E38</f>
        <v>97787</v>
      </c>
      <c r="E22" s="134">
        <f>+'C-A6'!F38</f>
        <v>97787</v>
      </c>
      <c r="F22" s="134">
        <f>+'C-A6'!G38</f>
        <v>-3745</v>
      </c>
      <c r="G22" s="134">
        <f>+'C-A6'!H38</f>
        <v>62931.11</v>
      </c>
      <c r="H22" s="134">
        <f>+'C-A6'!I38</f>
        <v>48201.479999999996</v>
      </c>
      <c r="I22" s="134">
        <f>+'C-A6'!J38</f>
        <v>45840.11</v>
      </c>
      <c r="J22" s="134">
        <f t="shared" si="2"/>
        <v>34855.89</v>
      </c>
      <c r="K22" s="134">
        <f t="shared" si="3"/>
        <v>34855.89</v>
      </c>
      <c r="L22" s="540">
        <f t="shared" si="4"/>
        <v>64.355292625809156</v>
      </c>
    </row>
    <row r="23" spans="1:13" ht="15" customHeight="1">
      <c r="A23" s="139" t="s">
        <v>258</v>
      </c>
      <c r="B23" s="134" t="s">
        <v>259</v>
      </c>
      <c r="C23" s="134">
        <f>+'C-A6'!C45</f>
        <v>2652943</v>
      </c>
      <c r="D23" s="134">
        <f>+'C-A6'!E45</f>
        <v>4136443</v>
      </c>
      <c r="E23" s="134">
        <f>+'C-A6'!F45</f>
        <v>3917187</v>
      </c>
      <c r="F23" s="134">
        <f>+'C-A6'!G45</f>
        <v>297144.2</v>
      </c>
      <c r="G23" s="134">
        <f>+'C-A6'!H45</f>
        <v>3339673.8200000003</v>
      </c>
      <c r="H23" s="134">
        <f>+'C-A6'!I45</f>
        <v>3190242.8899999997</v>
      </c>
      <c r="I23" s="134">
        <f>+'C-A6'!J45</f>
        <v>2604940.92</v>
      </c>
      <c r="J23" s="155">
        <f t="shared" si="2"/>
        <v>577513.1799999997</v>
      </c>
      <c r="K23" s="134">
        <f t="shared" si="3"/>
        <v>796769.1799999997</v>
      </c>
      <c r="L23" s="540">
        <f t="shared" si="4"/>
        <v>85.256941269334348</v>
      </c>
    </row>
    <row r="24" spans="1:13" ht="15" customHeight="1">
      <c r="A24" s="139" t="s">
        <v>468</v>
      </c>
      <c r="B24" s="134" t="s">
        <v>273</v>
      </c>
      <c r="C24" s="134">
        <f>+'C-A6'!C54</f>
        <v>87500</v>
      </c>
      <c r="D24" s="134">
        <f>+'C-A6'!E54</f>
        <v>16800</v>
      </c>
      <c r="E24" s="134">
        <f>+'C-A6'!F54</f>
        <v>16800</v>
      </c>
      <c r="F24" s="134">
        <f>+'C-A6'!G54</f>
        <v>0</v>
      </c>
      <c r="G24" s="134">
        <f>+'C-A6'!H54</f>
        <v>9850.3799999999992</v>
      </c>
      <c r="H24" s="134">
        <f>+'C-A6'!I54</f>
        <v>9697.73</v>
      </c>
      <c r="I24" s="134">
        <f>+'C-A6'!J54</f>
        <v>9607.73</v>
      </c>
      <c r="J24" s="134">
        <f t="shared" si="2"/>
        <v>6949.6200000000008</v>
      </c>
      <c r="K24" s="134">
        <f t="shared" si="3"/>
        <v>6949.6200000000008</v>
      </c>
      <c r="L24" s="540">
        <f t="shared" si="4"/>
        <v>58.633214285714281</v>
      </c>
    </row>
    <row r="25" spans="1:13" ht="15" customHeight="1">
      <c r="A25" s="139" t="s">
        <v>274</v>
      </c>
      <c r="B25" s="134" t="s">
        <v>275</v>
      </c>
      <c r="C25" s="134">
        <f>+'C-A6'!C55</f>
        <v>163284</v>
      </c>
      <c r="D25" s="134">
        <f>+'C-A6'!E55</f>
        <v>27189</v>
      </c>
      <c r="E25" s="134">
        <f>+'C-A6'!F55</f>
        <v>27189</v>
      </c>
      <c r="F25" s="134">
        <f>+'C-A6'!G55</f>
        <v>0</v>
      </c>
      <c r="G25" s="134">
        <f>+'C-A6'!H55</f>
        <v>12607.779999999999</v>
      </c>
      <c r="H25" s="134">
        <f>+'C-A6'!I55</f>
        <v>11726.08</v>
      </c>
      <c r="I25" s="134">
        <f>+'C-A6'!J55</f>
        <v>11414.92</v>
      </c>
      <c r="J25" s="134">
        <f t="shared" si="2"/>
        <v>14581.220000000001</v>
      </c>
      <c r="K25" s="134">
        <f t="shared" si="3"/>
        <v>14581.220000000001</v>
      </c>
      <c r="L25" s="540">
        <f t="shared" si="4"/>
        <v>46.370885284490051</v>
      </c>
    </row>
    <row r="26" spans="1:13" ht="15" customHeight="1">
      <c r="A26" s="139" t="s">
        <v>280</v>
      </c>
      <c r="B26" s="134" t="s">
        <v>281</v>
      </c>
      <c r="C26" s="134">
        <f>+'C-A6'!C58</f>
        <v>981486</v>
      </c>
      <c r="D26" s="134">
        <f>+'C-A6'!E58</f>
        <v>341905</v>
      </c>
      <c r="E26" s="134">
        <f>+'C-A6'!F58</f>
        <v>341905</v>
      </c>
      <c r="F26" s="134">
        <f>+'C-A6'!G58</f>
        <v>33673</v>
      </c>
      <c r="G26" s="134">
        <f>+'C-A6'!H58</f>
        <v>234272.5</v>
      </c>
      <c r="H26" s="134">
        <f>+'C-A6'!I58</f>
        <v>234272.5</v>
      </c>
      <c r="I26" s="134">
        <f>+'C-A6'!J58</f>
        <v>234098.5</v>
      </c>
      <c r="J26" s="134">
        <f t="shared" si="2"/>
        <v>107632.5</v>
      </c>
      <c r="K26" s="134">
        <f t="shared" si="3"/>
        <v>107632.5</v>
      </c>
      <c r="L26" s="540">
        <f t="shared" si="4"/>
        <v>68.51976426200261</v>
      </c>
    </row>
    <row r="27" spans="1:13" ht="15" customHeight="1">
      <c r="A27" s="139" t="s">
        <v>287</v>
      </c>
      <c r="B27" s="134" t="s">
        <v>288</v>
      </c>
      <c r="C27" s="134">
        <f>+'C-A6'!C62</f>
        <v>448811</v>
      </c>
      <c r="D27" s="134">
        <f>+'C-A6'!E62</f>
        <v>189048</v>
      </c>
      <c r="E27" s="134">
        <f>+'C-A6'!F62</f>
        <v>189048</v>
      </c>
      <c r="F27" s="134">
        <f>+'C-A6'!G62</f>
        <v>20458.91</v>
      </c>
      <c r="G27" s="134">
        <f>+'C-A6'!H62</f>
        <v>85053.62</v>
      </c>
      <c r="H27" s="134">
        <f>+'C-A6'!I62</f>
        <v>51177.09</v>
      </c>
      <c r="I27" s="134">
        <f>+'C-A6'!J62</f>
        <v>49417.729999999996</v>
      </c>
      <c r="J27" s="134">
        <f t="shared" si="2"/>
        <v>103994.38</v>
      </c>
      <c r="K27" s="134">
        <f t="shared" si="3"/>
        <v>103994.38</v>
      </c>
      <c r="L27" s="540">
        <f t="shared" si="4"/>
        <v>44.990489187931111</v>
      </c>
    </row>
    <row r="28" spans="1:13" ht="15" customHeight="1">
      <c r="A28" s="132">
        <v>160</v>
      </c>
      <c r="B28" s="134" t="s">
        <v>295</v>
      </c>
      <c r="C28" s="134">
        <f>+'C-A6'!C67</f>
        <v>1492093</v>
      </c>
      <c r="D28" s="134">
        <f>+'C-A6'!E67</f>
        <v>1492451</v>
      </c>
      <c r="E28" s="134">
        <f>+'C-A6'!F67</f>
        <v>1492451</v>
      </c>
      <c r="F28" s="134">
        <f>+'C-A6'!G67</f>
        <v>49419.45</v>
      </c>
      <c r="G28" s="134">
        <f>+'C-A6'!H67</f>
        <v>941325.73</v>
      </c>
      <c r="H28" s="134">
        <f>+'C-A6'!I67</f>
        <v>531973.32000000007</v>
      </c>
      <c r="I28" s="134">
        <f>+'C-A6'!J67</f>
        <v>498183.19</v>
      </c>
      <c r="J28" s="134">
        <f t="shared" si="2"/>
        <v>551125.27</v>
      </c>
      <c r="K28" s="134">
        <f t="shared" si="3"/>
        <v>551125.27</v>
      </c>
      <c r="L28" s="540">
        <f t="shared" si="4"/>
        <v>63.072471391020542</v>
      </c>
    </row>
    <row r="29" spans="1:13" ht="15" customHeight="1">
      <c r="A29" s="140">
        <v>170</v>
      </c>
      <c r="B29" s="141" t="s">
        <v>304</v>
      </c>
      <c r="C29" s="134">
        <f>+'C-A6'!C73</f>
        <v>305833</v>
      </c>
      <c r="D29" s="134">
        <f>+'C-A6'!E73</f>
        <v>114855</v>
      </c>
      <c r="E29" s="134">
        <f>+'C-A6'!F73</f>
        <v>114855</v>
      </c>
      <c r="F29" s="134">
        <f>+'C-A6'!G73</f>
        <v>5355.88</v>
      </c>
      <c r="G29" s="134">
        <f>+'C-A6'!H73</f>
        <v>52993.74</v>
      </c>
      <c r="H29" s="134">
        <f>+'C-A6'!I73</f>
        <v>50361.26</v>
      </c>
      <c r="I29" s="134">
        <f>+'C-A6'!J73</f>
        <v>11324.72</v>
      </c>
      <c r="J29" s="134">
        <f t="shared" si="2"/>
        <v>61861.26</v>
      </c>
      <c r="K29" s="134">
        <f t="shared" si="3"/>
        <v>61861.26</v>
      </c>
      <c r="L29" s="540">
        <f t="shared" si="4"/>
        <v>46.13968917330547</v>
      </c>
    </row>
    <row r="30" spans="1:13" ht="15.75" customHeight="1">
      <c r="A30" s="139" t="s">
        <v>308</v>
      </c>
      <c r="B30" s="133" t="s">
        <v>309</v>
      </c>
      <c r="C30" s="134">
        <f>+'C-A6'!C76</f>
        <v>1009621</v>
      </c>
      <c r="D30" s="134">
        <f>+'C-A6'!E76</f>
        <v>685915</v>
      </c>
      <c r="E30" s="134">
        <f>+'C-A6'!F76</f>
        <v>685915</v>
      </c>
      <c r="F30" s="134">
        <f>+'C-A6'!G76</f>
        <v>15644.470000000001</v>
      </c>
      <c r="G30" s="134">
        <f>+'C-A6'!H76</f>
        <v>418738.4</v>
      </c>
      <c r="H30" s="134">
        <f>+'C-A6'!I76</f>
        <v>259375.19</v>
      </c>
      <c r="I30" s="134">
        <f>+'C-A6'!J76</f>
        <v>230049.96999999997</v>
      </c>
      <c r="J30" s="134">
        <f t="shared" si="2"/>
        <v>267176.59999999998</v>
      </c>
      <c r="K30" s="134">
        <f t="shared" si="3"/>
        <v>267176.59999999998</v>
      </c>
      <c r="L30" s="540">
        <f t="shared" si="4"/>
        <v>61.048147365198311</v>
      </c>
    </row>
    <row r="31" spans="1:13" ht="15" customHeight="1">
      <c r="A31" s="142">
        <v>190</v>
      </c>
      <c r="B31" s="133" t="s">
        <v>469</v>
      </c>
      <c r="C31" s="134">
        <f>+'C-A6'!C83</f>
        <v>0</v>
      </c>
      <c r="D31" s="134">
        <f>+'C-A6'!E83</f>
        <v>149480</v>
      </c>
      <c r="E31" s="134">
        <f>+'C-A6'!F83</f>
        <v>149480</v>
      </c>
      <c r="F31" s="134">
        <f>+'C-A6'!G83</f>
        <v>1110</v>
      </c>
      <c r="G31" s="134">
        <f>+'C-A6'!H83</f>
        <v>137423.18</v>
      </c>
      <c r="H31" s="134">
        <f>+'C-A6'!I83</f>
        <v>79557.86</v>
      </c>
      <c r="I31" s="134">
        <f>+'C-A6'!J83</f>
        <v>99721.62</v>
      </c>
      <c r="J31" s="134">
        <f t="shared" si="2"/>
        <v>12056.820000000007</v>
      </c>
      <c r="K31" s="134">
        <f t="shared" si="3"/>
        <v>12056.820000000007</v>
      </c>
      <c r="L31" s="540">
        <f t="shared" si="4"/>
        <v>91.93415841584158</v>
      </c>
    </row>
    <row r="32" spans="1:13" ht="6.75" customHeight="1">
      <c r="A32" s="132" t="s">
        <v>12</v>
      </c>
      <c r="B32" s="133"/>
      <c r="C32" s="134"/>
      <c r="D32" s="134"/>
      <c r="E32" s="134"/>
      <c r="F32" s="134"/>
      <c r="G32" s="134"/>
      <c r="H32" s="135"/>
      <c r="I32" s="134"/>
      <c r="J32" s="134"/>
      <c r="K32" s="134"/>
      <c r="L32" s="540"/>
    </row>
    <row r="33" spans="1:12" ht="19.899999999999999" customHeight="1">
      <c r="A33" s="125" t="s">
        <v>326</v>
      </c>
      <c r="B33" s="126" t="s">
        <v>327</v>
      </c>
      <c r="C33" s="127">
        <f>+C34+C35+C36+C37+C38+C39+C40+C41+C42+C43</f>
        <v>3042561</v>
      </c>
      <c r="D33" s="127">
        <f>SUM(D34:D43)</f>
        <v>3897255</v>
      </c>
      <c r="E33" s="138">
        <f>SUM(E34:E43)</f>
        <v>3897255</v>
      </c>
      <c r="F33" s="127">
        <f>+F34+F35+F36+F37+F38+F39+F40+F41+F42+F43</f>
        <v>82052.899999999994</v>
      </c>
      <c r="G33" s="127">
        <f>SUM(G34:G43)</f>
        <v>2941217.44</v>
      </c>
      <c r="H33" s="138">
        <f>SUM(H34:H43)</f>
        <v>2257393.8199999998</v>
      </c>
      <c r="I33" s="127">
        <f>+I34+I35+I36+I37+I38+I39+I40+I41+I42+I43</f>
        <v>2021845.14</v>
      </c>
      <c r="J33" s="127">
        <f>+E33-G33</f>
        <v>956037.56</v>
      </c>
      <c r="K33" s="127">
        <f t="shared" ref="K33:K43" si="5">+D33-G33</f>
        <v>956037.56</v>
      </c>
      <c r="L33" s="541">
        <f t="shared" ref="L33:L43" si="6">+G33*100/E33</f>
        <v>75.468950325293065</v>
      </c>
    </row>
    <row r="34" spans="1:12" ht="15" customHeight="1">
      <c r="A34" s="132" t="s">
        <v>328</v>
      </c>
      <c r="B34" s="133" t="s">
        <v>329</v>
      </c>
      <c r="C34" s="134">
        <f>+'C-A6'!C95</f>
        <v>185018</v>
      </c>
      <c r="D34" s="134">
        <f>+'C-A6'!E95</f>
        <v>121226</v>
      </c>
      <c r="E34" s="134">
        <f>+'C-A6'!F95</f>
        <v>121226</v>
      </c>
      <c r="F34" s="134">
        <f>+'C-A6'!G95</f>
        <v>4700.5</v>
      </c>
      <c r="G34" s="134">
        <f>+'C-A6'!H95</f>
        <v>56858.38</v>
      </c>
      <c r="H34" s="134">
        <f>+'C-A6'!I95</f>
        <v>53063.38</v>
      </c>
      <c r="I34" s="134">
        <f>+'C-A6'!J95</f>
        <v>47431.619999999995</v>
      </c>
      <c r="J34" s="134">
        <f>+'C-A6'!K95</f>
        <v>64367.62</v>
      </c>
      <c r="K34" s="134">
        <f t="shared" si="5"/>
        <v>64367.62</v>
      </c>
      <c r="L34" s="540">
        <f t="shared" si="6"/>
        <v>46.902793130186595</v>
      </c>
    </row>
    <row r="35" spans="1:12" ht="15" customHeight="1">
      <c r="A35" s="139" t="s">
        <v>334</v>
      </c>
      <c r="B35" s="134" t="s">
        <v>335</v>
      </c>
      <c r="C35" s="134">
        <f>+'C-A6'!C98</f>
        <v>196410</v>
      </c>
      <c r="D35" s="134">
        <f>+'C-A6'!E98</f>
        <v>254860</v>
      </c>
      <c r="E35" s="134">
        <f>+'C-A6'!F98</f>
        <v>254860</v>
      </c>
      <c r="F35" s="134">
        <f>+'C-A6'!G98</f>
        <v>458.39</v>
      </c>
      <c r="G35" s="134">
        <f>+'C-A6'!H98</f>
        <v>214157.12000000002</v>
      </c>
      <c r="H35" s="134">
        <f>+'C-A6'!I98</f>
        <v>197660.12</v>
      </c>
      <c r="I35" s="134">
        <f>+'C-A6'!J98</f>
        <v>158651.18</v>
      </c>
      <c r="J35" s="134">
        <f>+'C-A6'!K98</f>
        <v>40702.879999999976</v>
      </c>
      <c r="K35" s="134">
        <f t="shared" si="5"/>
        <v>40702.879999999976</v>
      </c>
      <c r="L35" s="540">
        <f t="shared" si="6"/>
        <v>84.029318056972471</v>
      </c>
    </row>
    <row r="36" spans="1:12" ht="15" customHeight="1">
      <c r="A36" s="139" t="s">
        <v>346</v>
      </c>
      <c r="B36" s="134" t="s">
        <v>347</v>
      </c>
      <c r="C36" s="134">
        <f>+'C-A6'!C104</f>
        <v>361282</v>
      </c>
      <c r="D36" s="134">
        <f>+'C-A6'!E104</f>
        <v>471432</v>
      </c>
      <c r="E36" s="134">
        <f>+'C-A6'!F104</f>
        <v>471432</v>
      </c>
      <c r="F36" s="134">
        <f>+'C-A6'!G104</f>
        <v>4619.1899999999996</v>
      </c>
      <c r="G36" s="134">
        <f>+'C-A6'!H104</f>
        <v>286291.02</v>
      </c>
      <c r="H36" s="134">
        <f>+'C-A6'!I104</f>
        <v>202123.77000000002</v>
      </c>
      <c r="I36" s="134">
        <f>+'C-A6'!J104</f>
        <v>182118.72000000003</v>
      </c>
      <c r="J36" s="134">
        <f>+'C-A6'!K104</f>
        <v>185140.97999999998</v>
      </c>
      <c r="K36" s="134">
        <f t="shared" si="5"/>
        <v>185140.97999999998</v>
      </c>
      <c r="L36" s="540">
        <f t="shared" si="6"/>
        <v>60.72795652395255</v>
      </c>
    </row>
    <row r="37" spans="1:12" ht="15" customHeight="1">
      <c r="A37" s="139" t="s">
        <v>356</v>
      </c>
      <c r="B37" s="134" t="s">
        <v>357</v>
      </c>
      <c r="C37" s="134">
        <f>+'C-A6'!C110</f>
        <v>249812</v>
      </c>
      <c r="D37" s="134">
        <f>+'C-A6'!E110</f>
        <v>128730</v>
      </c>
      <c r="E37" s="134">
        <f>+'C-A6'!F110</f>
        <v>128730</v>
      </c>
      <c r="F37" s="134">
        <f>+'C-A6'!G110</f>
        <v>0</v>
      </c>
      <c r="G37" s="134">
        <f>+'C-A6'!H110</f>
        <v>72901.09</v>
      </c>
      <c r="H37" s="134">
        <f>+'C-A6'!I110</f>
        <v>72366.73</v>
      </c>
      <c r="I37" s="134">
        <f>+'C-A6'!J110</f>
        <v>70284.240000000005</v>
      </c>
      <c r="J37" s="134">
        <f>+'C-A6'!K110</f>
        <v>55828.91</v>
      </c>
      <c r="K37" s="134">
        <f t="shared" si="5"/>
        <v>55828.91</v>
      </c>
      <c r="L37" s="540">
        <f t="shared" si="6"/>
        <v>56.631002874232891</v>
      </c>
    </row>
    <row r="38" spans="1:12" ht="15" customHeight="1">
      <c r="A38" s="139" t="s">
        <v>364</v>
      </c>
      <c r="B38" s="134" t="s">
        <v>365</v>
      </c>
      <c r="C38" s="134">
        <f>+'C-A6'!C114</f>
        <v>258848</v>
      </c>
      <c r="D38" s="134">
        <f>+'C-A6'!E114</f>
        <v>207854</v>
      </c>
      <c r="E38" s="134">
        <f>+'C-A6'!F114</f>
        <v>207854</v>
      </c>
      <c r="F38" s="134">
        <f>+'C-A6'!G114</f>
        <v>2169.23</v>
      </c>
      <c r="G38" s="134">
        <f>+'C-A6'!H114</f>
        <v>155574.62000000002</v>
      </c>
      <c r="H38" s="134">
        <f>+'C-A6'!I114</f>
        <v>143881.84</v>
      </c>
      <c r="I38" s="134">
        <f>+'C-A6'!J114</f>
        <v>125476.57999999999</v>
      </c>
      <c r="J38" s="134">
        <f>+'C-A6'!K114</f>
        <v>52279.379999999976</v>
      </c>
      <c r="K38" s="134">
        <f t="shared" si="5"/>
        <v>52279.379999999976</v>
      </c>
      <c r="L38" s="540">
        <f t="shared" si="6"/>
        <v>74.84802794269055</v>
      </c>
    </row>
    <row r="39" spans="1:12" ht="15" customHeight="1">
      <c r="A39" s="139" t="s">
        <v>376</v>
      </c>
      <c r="B39" s="134" t="s">
        <v>377</v>
      </c>
      <c r="C39" s="134">
        <f>+'C-A6'!C120</f>
        <v>277892</v>
      </c>
      <c r="D39" s="134">
        <f>+'C-A6'!E120</f>
        <v>689582</v>
      </c>
      <c r="E39" s="134">
        <f>+'C-A6'!F120</f>
        <v>689582</v>
      </c>
      <c r="F39" s="134">
        <f>+'C-A6'!G120</f>
        <v>-2854.4299999999994</v>
      </c>
      <c r="G39" s="134">
        <f>+'C-A6'!H120</f>
        <v>554057.91999999993</v>
      </c>
      <c r="H39" s="134">
        <f>+'C-A6'!I120</f>
        <v>472729.07</v>
      </c>
      <c r="I39" s="134">
        <f>+'C-A6'!J120</f>
        <v>418741.80999999994</v>
      </c>
      <c r="J39" s="134">
        <f>+'C-A6'!K120</f>
        <v>135524.08000000007</v>
      </c>
      <c r="K39" s="134">
        <f t="shared" si="5"/>
        <v>135524.08000000007</v>
      </c>
      <c r="L39" s="540">
        <f t="shared" si="6"/>
        <v>80.346923208552411</v>
      </c>
    </row>
    <row r="40" spans="1:12" ht="15" customHeight="1">
      <c r="A40" s="139" t="s">
        <v>390</v>
      </c>
      <c r="B40" s="134" t="s">
        <v>391</v>
      </c>
      <c r="C40" s="134">
        <f>+'C-A6'!C128</f>
        <v>475695</v>
      </c>
      <c r="D40" s="134">
        <f>+'C-A6'!E128</f>
        <v>582192</v>
      </c>
      <c r="E40" s="134">
        <f>+'C-A6'!F128</f>
        <v>582192</v>
      </c>
      <c r="F40" s="134">
        <f>+'C-A6'!G128</f>
        <v>-1631.1299999999999</v>
      </c>
      <c r="G40" s="134">
        <f>+'C-A6'!H128</f>
        <v>458168.44</v>
      </c>
      <c r="H40" s="134">
        <f>+'C-A6'!I128</f>
        <v>376335.75999999995</v>
      </c>
      <c r="I40" s="134">
        <f>+'C-A6'!J128</f>
        <v>292866.36</v>
      </c>
      <c r="J40" s="134">
        <f>+'C-A6'!K128</f>
        <v>124023.56</v>
      </c>
      <c r="K40" s="134">
        <f t="shared" si="5"/>
        <v>124023.56</v>
      </c>
      <c r="L40" s="540">
        <f t="shared" si="6"/>
        <v>78.697137714018737</v>
      </c>
    </row>
    <row r="41" spans="1:12" ht="15" customHeight="1">
      <c r="A41" s="139" t="s">
        <v>401</v>
      </c>
      <c r="B41" s="134" t="s">
        <v>402</v>
      </c>
      <c r="C41" s="134">
        <f>+'C-A6'!C134</f>
        <v>829295</v>
      </c>
      <c r="D41" s="134">
        <f>+'C-A6'!E134</f>
        <v>674815</v>
      </c>
      <c r="E41" s="134">
        <f>+'C-A6'!F134</f>
        <v>674815</v>
      </c>
      <c r="F41" s="134">
        <f>+'C-A6'!G134</f>
        <v>67361.209999999992</v>
      </c>
      <c r="G41" s="134">
        <f>+'C-A6'!H134</f>
        <v>571027.18999999994</v>
      </c>
      <c r="H41" s="134">
        <f>+'C-A6'!I134</f>
        <v>463738.27</v>
      </c>
      <c r="I41" s="134">
        <f>+'C-A6'!J134</f>
        <v>297547.55</v>
      </c>
      <c r="J41" s="134">
        <f>+'C-A6'!K134</f>
        <v>103787.81000000006</v>
      </c>
      <c r="K41" s="134">
        <f t="shared" si="5"/>
        <v>103787.81000000006</v>
      </c>
      <c r="L41" s="540">
        <f t="shared" si="6"/>
        <v>84.619812837592519</v>
      </c>
    </row>
    <row r="42" spans="1:12" ht="15.75" customHeight="1">
      <c r="A42" s="139" t="s">
        <v>417</v>
      </c>
      <c r="B42" s="134" t="s">
        <v>418</v>
      </c>
      <c r="C42" s="134">
        <f>+'C-A6'!C143</f>
        <v>208309</v>
      </c>
      <c r="D42" s="134">
        <f>+'C-A6'!E143</f>
        <v>361709</v>
      </c>
      <c r="E42" s="134">
        <f>+'C-A6'!F143</f>
        <v>361709</v>
      </c>
      <c r="F42" s="134">
        <f>+'C-A6'!G143</f>
        <v>-62.19</v>
      </c>
      <c r="G42" s="134">
        <f>+'C-A6'!H143</f>
        <v>262101.15999999997</v>
      </c>
      <c r="H42" s="134">
        <f>+'C-A6'!I143</f>
        <v>216303.29</v>
      </c>
      <c r="I42" s="134">
        <f>+'C-A6'!J143</f>
        <v>203067.49</v>
      </c>
      <c r="J42" s="134">
        <f>+'C-A6'!K143</f>
        <v>99607.840000000026</v>
      </c>
      <c r="K42" s="134">
        <f t="shared" si="5"/>
        <v>99607.840000000026</v>
      </c>
      <c r="L42" s="540">
        <f t="shared" si="6"/>
        <v>72.461885106535902</v>
      </c>
    </row>
    <row r="43" spans="1:12" ht="16.5" customHeight="1">
      <c r="A43" s="132">
        <v>290</v>
      </c>
      <c r="B43" s="134" t="s">
        <v>419</v>
      </c>
      <c r="C43" s="134">
        <f>+'C-A6'!C144</f>
        <v>0</v>
      </c>
      <c r="D43" s="134">
        <f>+'C-A6'!E144</f>
        <v>404855</v>
      </c>
      <c r="E43" s="134">
        <f>+'C-A6'!F144</f>
        <v>404855</v>
      </c>
      <c r="F43" s="134">
        <f>+'C-A6'!G144</f>
        <v>7292.13</v>
      </c>
      <c r="G43" s="134">
        <f>+'C-A6'!H144</f>
        <v>310080.5</v>
      </c>
      <c r="H43" s="134">
        <f>+'C-A6'!I144</f>
        <v>59191.590000000004</v>
      </c>
      <c r="I43" s="134">
        <f>+'C-A6'!J144</f>
        <v>225659.59</v>
      </c>
      <c r="J43" s="134">
        <f>+E43-G43</f>
        <v>94774.5</v>
      </c>
      <c r="K43" s="134">
        <f t="shared" si="5"/>
        <v>94774.5</v>
      </c>
      <c r="L43" s="540">
        <f t="shared" si="6"/>
        <v>76.590507712637859</v>
      </c>
    </row>
    <row r="44" spans="1:12" ht="6" customHeight="1">
      <c r="A44" s="132"/>
      <c r="B44" s="134"/>
      <c r="C44" s="134"/>
      <c r="D44" s="134"/>
      <c r="E44" s="134"/>
      <c r="F44" s="134"/>
      <c r="G44" s="134"/>
      <c r="I44" s="134"/>
      <c r="J44" s="134"/>
      <c r="K44" s="134"/>
      <c r="L44" s="540"/>
    </row>
    <row r="45" spans="1:12" ht="19.899999999999999" customHeight="1">
      <c r="A45" s="125">
        <v>4</v>
      </c>
      <c r="B45" s="127" t="s">
        <v>429</v>
      </c>
      <c r="C45" s="127">
        <f>SUM(C46)</f>
        <v>3207914</v>
      </c>
      <c r="D45" s="127">
        <f>SUM(D46:D47)</f>
        <v>2295040</v>
      </c>
      <c r="E45" s="127">
        <f>+E46+E47</f>
        <v>2295040</v>
      </c>
      <c r="F45" s="127">
        <f>+F46+F47</f>
        <v>52847.65</v>
      </c>
      <c r="G45" s="127">
        <f>+G46+G47</f>
        <v>1432956.2299999997</v>
      </c>
      <c r="H45" s="138">
        <f>+H46+H47</f>
        <v>1171712.7300000002</v>
      </c>
      <c r="I45" s="127">
        <f>SUM(I46:I47)</f>
        <v>984404.14</v>
      </c>
      <c r="J45" s="127">
        <f>+E45-G45</f>
        <v>862083.77000000025</v>
      </c>
      <c r="K45" s="127">
        <f>+D45-G45</f>
        <v>862083.77000000025</v>
      </c>
      <c r="L45" s="541">
        <f>+G45*100/E45</f>
        <v>62.437091728248731</v>
      </c>
    </row>
    <row r="46" spans="1:12" ht="14.25" customHeight="1">
      <c r="A46" s="132">
        <v>430</v>
      </c>
      <c r="B46" s="143" t="s">
        <v>430</v>
      </c>
      <c r="C46" s="134">
        <f>+'C-A6'!C156</f>
        <v>3207914</v>
      </c>
      <c r="D46" s="134">
        <f>+'C-A6'!E156</f>
        <v>2200790</v>
      </c>
      <c r="E46" s="134">
        <f>+'C-A6'!F155</f>
        <v>2200790</v>
      </c>
      <c r="F46" s="134">
        <f>+'C-A6'!G155</f>
        <v>52847.65</v>
      </c>
      <c r="G46" s="134">
        <f>+'C-A6'!H156</f>
        <v>1362260.3099999998</v>
      </c>
      <c r="H46" s="134">
        <f>+'C-A6'!I156</f>
        <v>1145905.8700000001</v>
      </c>
      <c r="I46" s="134">
        <f>+'C-A6'!J155</f>
        <v>936014.13</v>
      </c>
      <c r="J46" s="134">
        <f>+E46-G46</f>
        <v>838529.69000000018</v>
      </c>
      <c r="K46" s="134">
        <f>+D46-G46</f>
        <v>838529.69000000018</v>
      </c>
      <c r="L46" s="540">
        <f>+G46*100/E46</f>
        <v>61.898695922827699</v>
      </c>
    </row>
    <row r="47" spans="1:12" ht="15.75" customHeight="1">
      <c r="A47" s="132">
        <v>490</v>
      </c>
      <c r="B47" s="134" t="s">
        <v>432</v>
      </c>
      <c r="C47" s="134">
        <v>0</v>
      </c>
      <c r="D47" s="134">
        <f>+'C-A6'!E157</f>
        <v>94250</v>
      </c>
      <c r="E47" s="134">
        <f>+'C-A6'!F157</f>
        <v>94250</v>
      </c>
      <c r="F47" s="134">
        <f>+'C-A6'!G157</f>
        <v>0</v>
      </c>
      <c r="G47" s="134">
        <f>+'C-A6'!H157</f>
        <v>70695.92</v>
      </c>
      <c r="H47" s="134">
        <f>+'C-A6'!I157</f>
        <v>25806.86</v>
      </c>
      <c r="I47" s="134">
        <f>+'C-A6'!J157</f>
        <v>48390.01</v>
      </c>
      <c r="J47" s="134">
        <f>+E47-G47</f>
        <v>23554.080000000002</v>
      </c>
      <c r="K47" s="134">
        <f>+D47-G47</f>
        <v>23554.080000000002</v>
      </c>
      <c r="L47" s="540">
        <f>+G47*100/E47</f>
        <v>75.008933687002653</v>
      </c>
    </row>
    <row r="48" spans="1:12" ht="5.25" customHeight="1">
      <c r="A48" s="144"/>
      <c r="B48" s="145"/>
      <c r="C48" s="146"/>
      <c r="D48" s="145"/>
      <c r="E48" s="145"/>
      <c r="F48" s="145"/>
      <c r="G48" s="145"/>
      <c r="H48" s="135"/>
      <c r="I48" s="145"/>
      <c r="J48" s="145"/>
      <c r="K48" s="145"/>
      <c r="L48" s="542"/>
    </row>
    <row r="49" spans="1:16" ht="19.899999999999999" customHeight="1">
      <c r="A49" s="125" t="s">
        <v>434</v>
      </c>
      <c r="B49" s="126" t="s">
        <v>435</v>
      </c>
      <c r="C49" s="127">
        <f t="shared" ref="C49:G49" si="7">SUM(C50:C55)</f>
        <v>2251594</v>
      </c>
      <c r="D49" s="127">
        <f t="shared" si="7"/>
        <v>4033441</v>
      </c>
      <c r="E49" s="127">
        <f t="shared" si="7"/>
        <v>4013747</v>
      </c>
      <c r="F49" s="127">
        <f t="shared" si="7"/>
        <v>324037.42</v>
      </c>
      <c r="G49" s="127">
        <f t="shared" si="7"/>
        <v>2213745.56</v>
      </c>
      <c r="H49" s="147">
        <f>+H50+H52+H54+H51</f>
        <v>2112664.84</v>
      </c>
      <c r="I49" s="127">
        <f>SUM(I50:I55)</f>
        <v>2098753.5099999998</v>
      </c>
      <c r="J49" s="127">
        <f t="shared" ref="J49:J55" si="8">+E49-G49</f>
        <v>1800001.44</v>
      </c>
      <c r="K49" s="127">
        <f t="shared" ref="K49:K56" si="9">+D49-G49</f>
        <v>1819695.44</v>
      </c>
      <c r="L49" s="541">
        <f t="shared" ref="L49:L56" si="10">+G49*100/E49</f>
        <v>55.154088187421877</v>
      </c>
    </row>
    <row r="50" spans="1:16" ht="15" customHeight="1">
      <c r="A50" s="132" t="s">
        <v>436</v>
      </c>
      <c r="B50" s="133" t="s">
        <v>470</v>
      </c>
      <c r="C50" s="134">
        <f>+'C-A6'!C160</f>
        <v>118164</v>
      </c>
      <c r="D50" s="134">
        <f>+'C-A6'!E160</f>
        <v>118164</v>
      </c>
      <c r="E50" s="134">
        <f>+'C-A6'!F160</f>
        <v>98470</v>
      </c>
      <c r="F50" s="134">
        <f>+'C-A6'!G160</f>
        <v>3373.87</v>
      </c>
      <c r="G50" s="134">
        <f>+'C-A6'!H160</f>
        <v>33738.699999999997</v>
      </c>
      <c r="H50" s="134">
        <f>+'C-A6'!I160</f>
        <v>33738.699999999997</v>
      </c>
      <c r="I50" s="134">
        <f>+'C-A6'!J160</f>
        <v>33738.699999999997</v>
      </c>
      <c r="J50" s="134">
        <f t="shared" si="8"/>
        <v>64731.3</v>
      </c>
      <c r="K50" s="134">
        <f t="shared" si="9"/>
        <v>84425.3</v>
      </c>
      <c r="L50" s="540">
        <f t="shared" si="10"/>
        <v>34.262922717578952</v>
      </c>
    </row>
    <row r="51" spans="1:16" ht="15" customHeight="1">
      <c r="A51" s="139" t="s">
        <v>440</v>
      </c>
      <c r="B51" s="134" t="s">
        <v>286</v>
      </c>
      <c r="C51" s="134">
        <f>+'C-A6'!C162</f>
        <v>956224</v>
      </c>
      <c r="D51" s="134">
        <f>+'C-A6'!E162</f>
        <v>3468724</v>
      </c>
      <c r="E51" s="134">
        <f>+'C-A6'!F162</f>
        <v>3468724</v>
      </c>
      <c r="F51" s="134">
        <f>+'C-A6'!G162</f>
        <v>319490.43</v>
      </c>
      <c r="G51" s="134">
        <f>+'C-A6'!H162</f>
        <v>2002084.07</v>
      </c>
      <c r="H51" s="134">
        <f>+'C-A6'!I162</f>
        <v>2002084.07</v>
      </c>
      <c r="I51" s="134">
        <f>+'C-A6'!J162</f>
        <v>2002084.0699999998</v>
      </c>
      <c r="J51" s="134">
        <f t="shared" si="8"/>
        <v>1466639.93</v>
      </c>
      <c r="K51" s="134">
        <f t="shared" si="9"/>
        <v>1466639.93</v>
      </c>
      <c r="L51" s="540">
        <f t="shared" si="10"/>
        <v>57.718171581250047</v>
      </c>
    </row>
    <row r="52" spans="1:16" ht="15" customHeight="1">
      <c r="A52" s="132">
        <v>620</v>
      </c>
      <c r="B52" s="134" t="s">
        <v>446</v>
      </c>
      <c r="C52" s="134">
        <f>+'C-A6'!C168</f>
        <v>730940</v>
      </c>
      <c r="D52" s="134">
        <f>+'C-A6'!E168</f>
        <v>152207</v>
      </c>
      <c r="E52" s="134">
        <f>+'C-A6'!F168</f>
        <v>152207</v>
      </c>
      <c r="F52" s="134">
        <f>+'C-A6'!G168</f>
        <v>1173.1199999999999</v>
      </c>
      <c r="G52" s="134">
        <f>+'C-A6'!H168</f>
        <v>128603.58</v>
      </c>
      <c r="H52" s="134">
        <f>+'C-A6'!I168</f>
        <v>75942.070000000007</v>
      </c>
      <c r="I52" s="134">
        <f>+'C-A6'!J168</f>
        <v>62030.74</v>
      </c>
      <c r="J52" s="134">
        <f t="shared" si="8"/>
        <v>23603.42</v>
      </c>
      <c r="K52" s="134">
        <f t="shared" si="9"/>
        <v>23603.42</v>
      </c>
      <c r="L52" s="540">
        <f t="shared" si="10"/>
        <v>84.492552904925532</v>
      </c>
    </row>
    <row r="53" spans="1:16" ht="15" customHeight="1">
      <c r="A53" s="132">
        <v>640</v>
      </c>
      <c r="B53" s="134" t="s">
        <v>471</v>
      </c>
      <c r="C53" s="134">
        <f>+'C-A6'!C173</f>
        <v>159266</v>
      </c>
      <c r="D53" s="134">
        <f>+'C-A6'!E173</f>
        <v>159266</v>
      </c>
      <c r="E53" s="134">
        <f>+'C-A6'!F173</f>
        <v>159266</v>
      </c>
      <c r="F53" s="134">
        <f>+'C-A6'!G173</f>
        <v>0</v>
      </c>
      <c r="G53" s="134">
        <f>+'C-A6'!H173</f>
        <v>0</v>
      </c>
      <c r="H53" s="134"/>
      <c r="I53" s="134">
        <f>+'C-A6'!J173</f>
        <v>0</v>
      </c>
      <c r="J53" s="134"/>
      <c r="K53" s="134"/>
      <c r="L53" s="540"/>
    </row>
    <row r="54" spans="1:16" ht="15" customHeight="1">
      <c r="A54" s="132" t="s">
        <v>453</v>
      </c>
      <c r="B54" s="133" t="s">
        <v>454</v>
      </c>
      <c r="C54" s="134">
        <f>+'C-A6'!C174</f>
        <v>287000</v>
      </c>
      <c r="D54" s="134">
        <f>+'C-A6'!E174</f>
        <v>93500</v>
      </c>
      <c r="E54" s="134">
        <f>+'C-A6'!F174</f>
        <v>93500</v>
      </c>
      <c r="F54" s="134">
        <f>+'C-A6'!G174</f>
        <v>0</v>
      </c>
      <c r="G54" s="134">
        <f>+'C-A6'!H174</f>
        <v>25424.21</v>
      </c>
      <c r="H54" s="134">
        <f>+'C-A6'!I174</f>
        <v>900</v>
      </c>
      <c r="I54" s="134">
        <f>+'C-A6'!J174</f>
        <v>900</v>
      </c>
      <c r="J54" s="134">
        <f t="shared" si="8"/>
        <v>68075.790000000008</v>
      </c>
      <c r="K54" s="134">
        <f t="shared" si="9"/>
        <v>68075.790000000008</v>
      </c>
      <c r="L54" s="540">
        <f t="shared" si="10"/>
        <v>27.191668449197859</v>
      </c>
      <c r="O54" s="1">
        <f>+G50+G52+G51+G55</f>
        <v>2188321.35</v>
      </c>
    </row>
    <row r="55" spans="1:16" ht="14.25" customHeight="1">
      <c r="A55" s="132">
        <v>690</v>
      </c>
      <c r="B55" s="134" t="s">
        <v>472</v>
      </c>
      <c r="C55" s="134">
        <f>+'C-A6'!C178</f>
        <v>0</v>
      </c>
      <c r="D55" s="134">
        <f>+'C-A6'!E178</f>
        <v>41580</v>
      </c>
      <c r="E55" s="134">
        <f>+'C-A6'!F178</f>
        <v>41580</v>
      </c>
      <c r="F55" s="134">
        <f>+'C-A6'!G178</f>
        <v>0</v>
      </c>
      <c r="G55" s="134">
        <f>+'C-A6'!H178</f>
        <v>23895</v>
      </c>
      <c r="H55" s="134">
        <f>+'C-A6'!I178</f>
        <v>0</v>
      </c>
      <c r="I55" s="134">
        <f>+'C-A6'!J178</f>
        <v>0</v>
      </c>
      <c r="J55" s="134">
        <f t="shared" si="8"/>
        <v>17685</v>
      </c>
      <c r="K55" s="134">
        <f t="shared" si="9"/>
        <v>17685</v>
      </c>
      <c r="L55" s="540" t="s">
        <v>12</v>
      </c>
    </row>
    <row r="56" spans="1:16" ht="24" customHeight="1">
      <c r="A56" s="148" t="s">
        <v>12</v>
      </c>
      <c r="B56" s="149" t="s">
        <v>464</v>
      </c>
      <c r="C56" s="150">
        <f t="shared" ref="C56:I56" si="11">+C49+C45+C33+C21+C9</f>
        <v>141094806</v>
      </c>
      <c r="D56" s="150">
        <f t="shared" si="11"/>
        <v>140457693</v>
      </c>
      <c r="E56" s="150">
        <f t="shared" si="11"/>
        <v>117960318</v>
      </c>
      <c r="F56" s="150">
        <f t="shared" si="11"/>
        <v>9865502.0600000024</v>
      </c>
      <c r="G56" s="150">
        <f t="shared" si="11"/>
        <v>100399270.21000001</v>
      </c>
      <c r="H56" s="150">
        <f t="shared" si="11"/>
        <v>86897883.600000009</v>
      </c>
      <c r="I56" s="150">
        <f t="shared" si="11"/>
        <v>94083213.180000022</v>
      </c>
      <c r="J56" s="150">
        <f>+E56-G56</f>
        <v>17561047.789999992</v>
      </c>
      <c r="K56" s="150">
        <f t="shared" si="9"/>
        <v>40058422.789999992</v>
      </c>
      <c r="L56" s="543">
        <f t="shared" si="10"/>
        <v>85.112749704523523</v>
      </c>
    </row>
    <row r="57" spans="1:16" ht="4.5" customHeight="1">
      <c r="A57" s="151"/>
      <c r="B57" s="152"/>
      <c r="C57" s="153"/>
      <c r="D57" s="153"/>
      <c r="E57" s="153"/>
      <c r="F57" s="153"/>
      <c r="G57" s="153"/>
      <c r="H57" s="153"/>
      <c r="I57" s="153"/>
      <c r="J57" s="153"/>
      <c r="K57" s="153"/>
      <c r="L57" s="544"/>
    </row>
    <row r="58" spans="1:16" ht="18.75" customHeight="1">
      <c r="A58" s="720" t="s">
        <v>473</v>
      </c>
      <c r="B58" s="720"/>
      <c r="C58" s="720"/>
      <c r="D58" s="11"/>
      <c r="E58" s="11"/>
      <c r="F58" s="11"/>
      <c r="G58" s="11" t="s">
        <v>12</v>
      </c>
      <c r="H58" s="11" t="s">
        <v>12</v>
      </c>
      <c r="I58" s="11"/>
      <c r="J58" s="11"/>
      <c r="K58" s="11"/>
      <c r="L58" s="545"/>
      <c r="N58" s="156" t="s">
        <v>12</v>
      </c>
      <c r="P58" t="s">
        <v>12</v>
      </c>
    </row>
    <row r="59" spans="1:16" ht="19.899999999999999" customHeight="1">
      <c r="D59" s="4"/>
      <c r="E59" s="71"/>
      <c r="F59" s="4"/>
      <c r="G59" s="71"/>
      <c r="H59" s="71" t="s">
        <v>12</v>
      </c>
      <c r="I59" s="4"/>
      <c r="J59" s="4"/>
      <c r="K59" s="4"/>
      <c r="L59" s="546"/>
    </row>
    <row r="60" spans="1:16" ht="19.899999999999999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272"/>
    </row>
    <row r="61" spans="1:16" ht="19.899999999999999" customHeight="1">
      <c r="A61" s="4"/>
      <c r="B61" s="4"/>
      <c r="C61" s="4"/>
      <c r="D61" s="71"/>
      <c r="E61" s="4"/>
      <c r="F61" s="4"/>
      <c r="G61" s="4"/>
      <c r="H61" s="4"/>
      <c r="I61" s="4"/>
      <c r="J61" s="4"/>
      <c r="K61" s="4"/>
      <c r="L61" s="272"/>
    </row>
    <row r="62" spans="1:16" ht="19.899999999999999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272"/>
    </row>
    <row r="63" spans="1:16" ht="19.899999999999999" customHeight="1">
      <c r="A63" s="4"/>
      <c r="B63" s="4"/>
      <c r="C63" s="4"/>
      <c r="D63" s="71" t="s">
        <v>12</v>
      </c>
      <c r="E63" s="4"/>
      <c r="F63" s="4"/>
      <c r="G63" s="4"/>
      <c r="H63" s="4"/>
      <c r="I63" s="4"/>
      <c r="J63" s="4"/>
      <c r="K63" s="4"/>
      <c r="L63" s="272"/>
    </row>
    <row r="64" spans="1:16" ht="19.899999999999999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272"/>
    </row>
    <row r="65" spans="1:12" ht="19.899999999999999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272"/>
    </row>
    <row r="66" spans="1:12" ht="19.899999999999999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272"/>
    </row>
    <row r="67" spans="1:12" ht="19.899999999999999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272"/>
    </row>
    <row r="68" spans="1:12" ht="19.899999999999999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272"/>
    </row>
    <row r="69" spans="1:12" ht="19.899999999999999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272"/>
    </row>
    <row r="70" spans="1:12" ht="19.899999999999999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272"/>
    </row>
    <row r="71" spans="1:12" ht="19.899999999999999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272"/>
    </row>
    <row r="72" spans="1:12" ht="19.899999999999999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272"/>
    </row>
    <row r="73" spans="1:12" ht="19.899999999999999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272"/>
    </row>
    <row r="74" spans="1:12" ht="19.899999999999999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272"/>
    </row>
    <row r="75" spans="1:12" ht="19.899999999999999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272"/>
    </row>
    <row r="76" spans="1:12" ht="19.899999999999999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272"/>
    </row>
    <row r="77" spans="1:12" ht="19.899999999999999" customHeight="1"/>
    <row r="78" spans="1:12" ht="19.899999999999999" customHeight="1"/>
    <row r="79" spans="1:12" ht="19.899999999999999" customHeight="1"/>
    <row r="80" spans="1:12" ht="19.899999999999999" customHeight="1"/>
    <row r="81" ht="19.899999999999999" customHeight="1"/>
    <row r="82" ht="19.899999999999999" customHeight="1"/>
    <row r="83" ht="19.899999999999999" customHeight="1"/>
    <row r="84" ht="19.899999999999999" customHeight="1"/>
    <row r="85" ht="19.899999999999999" customHeight="1"/>
    <row r="86" ht="19.899999999999999" customHeight="1"/>
    <row r="87" ht="19.899999999999999" customHeight="1"/>
    <row r="88" ht="19.899999999999999" customHeight="1"/>
    <row r="89" ht="19.899999999999999" customHeight="1"/>
    <row r="90" ht="19.899999999999999" customHeight="1"/>
    <row r="91" ht="19.899999999999999" customHeight="1"/>
    <row r="92" ht="19.899999999999999" customHeight="1"/>
    <row r="93" ht="19.899999999999999" customHeight="1"/>
    <row r="94" ht="19.899999999999999" customHeight="1"/>
    <row r="95" ht="19.899999999999999" customHeight="1"/>
    <row r="96" ht="19.899999999999999" customHeight="1"/>
    <row r="97" ht="19.899999999999999" customHeight="1"/>
    <row r="98" ht="19.899999999999999" customHeight="1"/>
    <row r="99" ht="19.899999999999999" customHeight="1"/>
    <row r="100" ht="19.899999999999999" customHeight="1"/>
    <row r="101" ht="19.899999999999999" customHeight="1"/>
    <row r="102" ht="19.899999999999999" customHeight="1"/>
    <row r="103" ht="19.899999999999999" customHeight="1"/>
    <row r="104" ht="19.899999999999999" customHeight="1"/>
    <row r="105" ht="19.899999999999999" customHeight="1"/>
    <row r="106" ht="19.899999999999999" customHeight="1"/>
    <row r="107" ht="19.899999999999999" customHeight="1"/>
    <row r="108" ht="19.899999999999999" customHeight="1"/>
    <row r="109" ht="19.899999999999999" customHeight="1"/>
    <row r="110" ht="19.899999999999999" customHeight="1"/>
    <row r="111" ht="19.899999999999999" customHeight="1"/>
    <row r="112" ht="19.899999999999999" customHeight="1"/>
    <row r="113" ht="19.899999999999999" customHeight="1"/>
    <row r="114" ht="19.899999999999999" customHeight="1"/>
    <row r="115" ht="19.899999999999999" customHeight="1"/>
    <row r="116" ht="19.899999999999999" customHeight="1"/>
    <row r="117" ht="19.899999999999999" customHeight="1"/>
    <row r="118" ht="19.899999999999999" customHeight="1"/>
    <row r="119" ht="19.899999999999999" customHeight="1"/>
    <row r="120" ht="19.899999999999999" customHeight="1"/>
    <row r="121" ht="19.899999999999999" customHeight="1"/>
    <row r="122" ht="19.899999999999999" customHeight="1"/>
    <row r="123" ht="19.899999999999999" customHeight="1"/>
    <row r="124" ht="19.899999999999999" customHeight="1"/>
    <row r="125" ht="19.899999999999999" customHeight="1"/>
    <row r="126" ht="19.899999999999999" customHeight="1"/>
    <row r="127" ht="19.899999999999999" customHeight="1"/>
    <row r="128" ht="19.899999999999999" customHeight="1"/>
    <row r="129" ht="19.899999999999999" customHeight="1"/>
    <row r="130" ht="19.899999999999999" customHeight="1"/>
    <row r="131" ht="19.899999999999999" customHeight="1"/>
    <row r="132" ht="19.899999999999999" customHeight="1"/>
    <row r="133" ht="19.899999999999999" customHeight="1"/>
    <row r="134" ht="19.899999999999999" customHeight="1"/>
    <row r="135" ht="19.899999999999999" customHeight="1"/>
    <row r="136" ht="19.899999999999999" customHeight="1"/>
    <row r="137" ht="19.899999999999999" customHeight="1"/>
    <row r="138" ht="19.899999999999999" customHeight="1"/>
    <row r="139" ht="19.899999999999999" customHeight="1"/>
    <row r="140" ht="19.899999999999999" customHeight="1"/>
    <row r="141" ht="19.899999999999999" customHeight="1"/>
    <row r="142" ht="19.899999999999999" customHeight="1"/>
    <row r="143" ht="19.899999999999999" customHeight="1"/>
    <row r="144" ht="19.899999999999999" customHeight="1"/>
    <row r="145" ht="19.899999999999999" customHeight="1"/>
    <row r="146" ht="19.899999999999999" customHeight="1"/>
    <row r="147" ht="19.899999999999999" customHeight="1"/>
    <row r="148" ht="19.899999999999999" customHeight="1"/>
    <row r="149" ht="19.899999999999999" customHeight="1"/>
  </sheetData>
  <mergeCells count="11">
    <mergeCell ref="A58:C58"/>
    <mergeCell ref="A6:A8"/>
    <mergeCell ref="B6:B8"/>
    <mergeCell ref="L6:L8"/>
    <mergeCell ref="J6:K8"/>
    <mergeCell ref="C6:I7"/>
    <mergeCell ref="A1:L1"/>
    <mergeCell ref="A2:L2"/>
    <mergeCell ref="A3:L3"/>
    <mergeCell ref="A4:L4"/>
    <mergeCell ref="A5:L5"/>
  </mergeCells>
  <pageMargins left="0.39370078740157499" right="0.196850393700787" top="0.78740157480314998" bottom="0.78740157480314998" header="0.511811023622047" footer="0.511811023622047"/>
  <pageSetup paperSize="5" scale="75" orientation="portrait" r:id="rId1"/>
  <ignoredErrors>
    <ignoredError sqref="A9:A27 A30 A54 A49:A51 A33:A42" numberStoredAsText="1"/>
    <ignoredError sqref="F33 H10 D10 D21:E21 D56 H21 H49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8">
    <tabColor theme="8" tint="0.39985351115451523"/>
  </sheetPr>
  <dimension ref="A1:T38"/>
  <sheetViews>
    <sheetView showGridLines="0" showZeros="0" zoomScale="106" zoomScaleNormal="106" workbookViewId="0">
      <selection activeCell="B1" sqref="A1:L32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4" width="15" style="4" customWidth="1"/>
    <col min="5" max="5" width="11.5703125" style="4" customWidth="1"/>
    <col min="6" max="6" width="13" style="4" hidden="1" customWidth="1"/>
    <col min="7" max="7" width="16" style="4" customWidth="1"/>
    <col min="8" max="8" width="13.28515625" style="71" customWidth="1"/>
    <col min="9" max="9" width="14.140625" style="4" customWidth="1"/>
    <col min="10" max="10" width="11" style="4" customWidth="1"/>
    <col min="11" max="11" width="11.28515625" style="4" hidden="1" customWidth="1"/>
    <col min="12" max="12" width="12.85546875" style="272" customWidth="1"/>
    <col min="13" max="13" width="0.140625" customWidth="1"/>
    <col min="14" max="14" width="17" hidden="1" customWidth="1"/>
    <col min="16" max="16" width="22.28515625" customWidth="1"/>
    <col min="17" max="17" width="12.28515625" customWidth="1"/>
    <col min="20" max="20" width="13.28515625" customWidth="1"/>
  </cols>
  <sheetData>
    <row r="1" spans="1:18" ht="15.75">
      <c r="A1" s="6"/>
      <c r="B1" s="645" t="s">
        <v>60</v>
      </c>
      <c r="C1" s="645"/>
      <c r="D1" s="645"/>
      <c r="E1" s="645"/>
      <c r="F1" s="645"/>
      <c r="G1" s="645"/>
      <c r="H1" s="645"/>
      <c r="I1" s="645"/>
      <c r="J1" s="645"/>
      <c r="K1" s="645"/>
      <c r="L1" s="645"/>
    </row>
    <row r="2" spans="1:18" ht="15.75">
      <c r="A2" s="6"/>
      <c r="B2" s="645" t="s">
        <v>61</v>
      </c>
      <c r="C2" s="645"/>
      <c r="D2" s="645"/>
      <c r="E2" s="645"/>
      <c r="F2" s="645"/>
      <c r="G2" s="645"/>
      <c r="H2" s="645"/>
      <c r="I2" s="645"/>
      <c r="J2" s="645"/>
      <c r="K2" s="645"/>
      <c r="L2" s="645"/>
      <c r="M2" s="9"/>
    </row>
    <row r="3" spans="1:18" ht="16.5" customHeight="1">
      <c r="A3" s="646" t="s">
        <v>474</v>
      </c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</row>
    <row r="4" spans="1:18" ht="19.5" customHeight="1">
      <c r="A4" s="742" t="s">
        <v>537</v>
      </c>
      <c r="B4" s="742"/>
      <c r="C4" s="742"/>
      <c r="D4" s="742"/>
      <c r="E4" s="742"/>
      <c r="F4" s="742"/>
      <c r="G4" s="742"/>
      <c r="H4" s="742"/>
      <c r="I4" s="742"/>
      <c r="J4" s="742"/>
      <c r="K4" s="742"/>
      <c r="L4" s="742"/>
    </row>
    <row r="5" spans="1:18" ht="6.75" customHeight="1">
      <c r="A5"/>
      <c r="B5"/>
      <c r="C5"/>
      <c r="D5"/>
      <c r="E5"/>
      <c r="F5"/>
      <c r="G5" t="s">
        <v>12</v>
      </c>
      <c r="H5" s="1"/>
      <c r="I5"/>
      <c r="J5"/>
      <c r="K5"/>
      <c r="L5" s="3"/>
    </row>
    <row r="6" spans="1:18" ht="24.95" customHeight="1">
      <c r="A6" s="745" t="s">
        <v>475</v>
      </c>
      <c r="B6" s="746" t="s">
        <v>0</v>
      </c>
      <c r="C6" s="743" t="s">
        <v>50</v>
      </c>
      <c r="D6" s="652"/>
      <c r="E6" s="652"/>
      <c r="F6" s="652"/>
      <c r="G6" s="652"/>
      <c r="H6" s="652"/>
      <c r="I6" s="744"/>
      <c r="J6" s="748" t="s">
        <v>476</v>
      </c>
      <c r="K6" s="745"/>
      <c r="L6" s="748" t="s">
        <v>54</v>
      </c>
    </row>
    <row r="7" spans="1:18" ht="24.95" customHeight="1">
      <c r="A7" s="687"/>
      <c r="B7" s="747"/>
      <c r="C7" s="74" t="s">
        <v>2</v>
      </c>
      <c r="D7" s="75" t="s">
        <v>3</v>
      </c>
      <c r="E7" s="76" t="s">
        <v>25</v>
      </c>
      <c r="F7" s="77" t="s">
        <v>66</v>
      </c>
      <c r="G7" s="72" t="s">
        <v>44</v>
      </c>
      <c r="H7" s="78" t="s">
        <v>48</v>
      </c>
      <c r="I7" s="73" t="s">
        <v>45</v>
      </c>
      <c r="J7" s="749"/>
      <c r="K7" s="687"/>
      <c r="L7" s="749"/>
    </row>
    <row r="8" spans="1:18" ht="15" customHeight="1">
      <c r="A8" s="79"/>
      <c r="B8" s="80"/>
      <c r="C8" s="81"/>
      <c r="D8" s="82"/>
      <c r="E8" s="83"/>
      <c r="F8" s="82"/>
      <c r="G8" s="84"/>
      <c r="H8" s="85"/>
      <c r="I8" s="82"/>
      <c r="J8" s="82"/>
      <c r="K8" s="82"/>
      <c r="L8" s="116"/>
    </row>
    <row r="9" spans="1:18" ht="24.95" customHeight="1">
      <c r="A9" s="86"/>
      <c r="B9" s="87" t="s">
        <v>477</v>
      </c>
      <c r="C9" s="88">
        <f>+C11+C21+C29</f>
        <v>141094806</v>
      </c>
      <c r="D9" s="88">
        <f>+D11+D21+D29</f>
        <v>140457693</v>
      </c>
      <c r="E9" s="534">
        <f t="shared" ref="E9" si="0">+E11+E21+E29</f>
        <v>117960318</v>
      </c>
      <c r="F9" s="607">
        <f>F11+F21+F29</f>
        <v>9865502.0600000005</v>
      </c>
      <c r="G9" s="88">
        <f>N9+F9</f>
        <v>100399270.21000001</v>
      </c>
      <c r="H9" s="88">
        <f>+H11+H21+H29</f>
        <v>86897883.599999994</v>
      </c>
      <c r="I9" s="88">
        <f>+I11+I21+I29</f>
        <v>94083213.379999995</v>
      </c>
      <c r="J9" s="88">
        <f>E9-G9</f>
        <v>17561047.789999992</v>
      </c>
      <c r="K9" s="99">
        <f>+D9-G9</f>
        <v>40058422.789999992</v>
      </c>
      <c r="L9" s="530">
        <f>+G9/E9*100</f>
        <v>85.112749704523523</v>
      </c>
      <c r="N9" s="117">
        <f>90541960.15-8192</f>
        <v>90533768.150000006</v>
      </c>
      <c r="P9" s="118"/>
      <c r="Q9" s="606" t="s">
        <v>12</v>
      </c>
      <c r="R9" s="1"/>
    </row>
    <row r="10" spans="1:18" ht="24.95" customHeight="1">
      <c r="A10" s="86"/>
      <c r="B10" s="90"/>
      <c r="C10" s="89"/>
      <c r="D10" s="88"/>
      <c r="E10" s="534"/>
      <c r="F10" s="607"/>
      <c r="G10" s="88"/>
      <c r="H10" s="631"/>
      <c r="I10" s="631"/>
      <c r="J10" s="89"/>
      <c r="K10" s="90"/>
      <c r="L10" s="531"/>
      <c r="N10" s="9"/>
    </row>
    <row r="11" spans="1:18" ht="24.95" customHeight="1">
      <c r="A11" s="91">
        <v>1</v>
      </c>
      <c r="B11" s="92" t="s">
        <v>52</v>
      </c>
      <c r="C11" s="88">
        <f>SUM(C13:C20)</f>
        <v>52074126</v>
      </c>
      <c r="D11" s="88">
        <f>SUM(D13:D19)</f>
        <v>54312887</v>
      </c>
      <c r="E11" s="534">
        <f>SUM(E13:E19)</f>
        <v>46550741</v>
      </c>
      <c r="F11" s="607">
        <f>SUM(F13:F19)</f>
        <v>3694771.3200000003</v>
      </c>
      <c r="G11" s="88">
        <f>N11+F11+1</f>
        <v>35912127.420000002</v>
      </c>
      <c r="H11" s="88">
        <f>SUM(H13:H19)</f>
        <v>31228810.690000001</v>
      </c>
      <c r="I11" s="88">
        <f>+I13+I15+I17+I19</f>
        <v>33085607.649999999</v>
      </c>
      <c r="J11" s="88">
        <f>+E11-G11</f>
        <v>10638613.579999998</v>
      </c>
      <c r="K11" s="99">
        <f>+D11-G11</f>
        <v>18400759.579999998</v>
      </c>
      <c r="L11" s="530">
        <f>+G11/E11*100</f>
        <v>77.146199283916886</v>
      </c>
      <c r="N11" s="117">
        <f>32225615.1-8260</f>
        <v>32217355.100000001</v>
      </c>
      <c r="O11" s="1" t="s">
        <v>12</v>
      </c>
      <c r="P11" s="59"/>
      <c r="Q11" s="1"/>
    </row>
    <row r="12" spans="1:18" ht="24.95" customHeight="1">
      <c r="A12" s="86"/>
      <c r="B12" s="93"/>
      <c r="C12" s="94"/>
      <c r="D12" s="94"/>
      <c r="E12" s="535"/>
      <c r="F12" s="608"/>
      <c r="G12" s="94"/>
      <c r="H12" s="94"/>
      <c r="I12" s="94"/>
      <c r="J12" s="95"/>
      <c r="K12" s="97"/>
      <c r="L12" s="532"/>
      <c r="N12" s="9"/>
    </row>
    <row r="13" spans="1:18" ht="24.95" customHeight="1">
      <c r="A13" s="96" t="s">
        <v>12</v>
      </c>
      <c r="B13" s="93" t="s">
        <v>478</v>
      </c>
      <c r="C13" s="97">
        <v>13072514</v>
      </c>
      <c r="D13" s="94">
        <v>12326899</v>
      </c>
      <c r="E13" s="535">
        <v>10245741</v>
      </c>
      <c r="F13" s="608">
        <v>849953.48</v>
      </c>
      <c r="G13" s="94">
        <f>N13+F13</f>
        <v>8590614.8800000008</v>
      </c>
      <c r="H13" s="94">
        <v>7380368.6200000001</v>
      </c>
      <c r="I13" s="94">
        <v>8091306.8300000001</v>
      </c>
      <c r="J13" s="97">
        <f>+E13-G13</f>
        <v>1655126.1199999992</v>
      </c>
      <c r="K13" s="97">
        <f>+D13-G13</f>
        <v>3736284.1199999992</v>
      </c>
      <c r="L13" s="532">
        <f>+G13/E13*100</f>
        <v>83.845715795470539</v>
      </c>
      <c r="N13" s="9">
        <v>7740661.4000000004</v>
      </c>
      <c r="P13" s="1"/>
      <c r="Q13" s="1"/>
    </row>
    <row r="14" spans="1:18" ht="24.95" customHeight="1">
      <c r="A14" s="96"/>
      <c r="B14" s="93"/>
      <c r="C14" s="97"/>
      <c r="D14" s="94"/>
      <c r="E14" s="535"/>
      <c r="F14" s="608"/>
      <c r="G14" s="94"/>
      <c r="H14" s="94"/>
      <c r="I14" s="94"/>
      <c r="J14" s="97"/>
      <c r="K14" s="97"/>
      <c r="L14" s="532"/>
      <c r="N14" s="9"/>
    </row>
    <row r="15" spans="1:18" ht="24.95" customHeight="1">
      <c r="A15" s="96" t="s">
        <v>12</v>
      </c>
      <c r="B15" s="98" t="s">
        <v>479</v>
      </c>
      <c r="C15" s="97">
        <v>1063473</v>
      </c>
      <c r="D15" s="94">
        <v>999673</v>
      </c>
      <c r="E15" s="535">
        <v>818064</v>
      </c>
      <c r="F15" s="608">
        <v>67568.179999999993</v>
      </c>
      <c r="G15" s="94">
        <f>N15+F15</f>
        <v>740960.59999999986</v>
      </c>
      <c r="H15" s="94">
        <v>636989.64</v>
      </c>
      <c r="I15" s="94">
        <v>711293.61</v>
      </c>
      <c r="J15" s="97">
        <f>+E15-G15</f>
        <v>77103.40000000014</v>
      </c>
      <c r="K15" s="97">
        <f>+D15-G15</f>
        <v>258712.40000000014</v>
      </c>
      <c r="L15" s="532">
        <f>+G15/E15*100</f>
        <v>90.574893895832105</v>
      </c>
      <c r="N15" s="9">
        <v>673392.41999999993</v>
      </c>
      <c r="P15" s="1"/>
      <c r="Q15" s="1"/>
    </row>
    <row r="16" spans="1:18" ht="24.95" customHeight="1">
      <c r="A16" s="96"/>
      <c r="B16" s="98"/>
      <c r="C16" s="97"/>
      <c r="D16" s="94"/>
      <c r="E16" s="535"/>
      <c r="F16" s="608"/>
      <c r="G16" s="94">
        <f>F16+M16</f>
        <v>0</v>
      </c>
      <c r="H16" s="94"/>
      <c r="I16" s="94"/>
      <c r="J16" s="97">
        <f>+E16-G16</f>
        <v>0</v>
      </c>
      <c r="K16" s="97" t="s">
        <v>12</v>
      </c>
      <c r="L16" s="532"/>
      <c r="N16" s="9">
        <v>0</v>
      </c>
    </row>
    <row r="17" spans="1:20" ht="24.95" customHeight="1">
      <c r="A17" s="96" t="s">
        <v>12</v>
      </c>
      <c r="B17" s="93" t="s">
        <v>480</v>
      </c>
      <c r="C17" s="97">
        <v>35488163</v>
      </c>
      <c r="D17" s="94">
        <v>38811597</v>
      </c>
      <c r="E17" s="535">
        <v>33727799</v>
      </c>
      <c r="F17" s="608">
        <v>2686616.91</v>
      </c>
      <c r="G17" s="94">
        <f>N17+F17</f>
        <v>25557067</v>
      </c>
      <c r="H17" s="94">
        <v>22317856.620000001</v>
      </c>
      <c r="I17" s="94">
        <v>23354372.93</v>
      </c>
      <c r="J17" s="97">
        <f>+E17-G17</f>
        <v>8170732</v>
      </c>
      <c r="K17" s="97">
        <f>+D17-G17</f>
        <v>13254530</v>
      </c>
      <c r="L17" s="532">
        <f>+G17/E17*100</f>
        <v>75.774487982450324</v>
      </c>
      <c r="N17" s="9">
        <f>22878710.09-8260</f>
        <v>22870450.09</v>
      </c>
      <c r="P17" s="606"/>
      <c r="Q17" s="1"/>
      <c r="R17" s="9"/>
      <c r="T17" s="9"/>
    </row>
    <row r="18" spans="1:20" ht="24.95" customHeight="1">
      <c r="A18" s="96"/>
      <c r="B18" s="93"/>
      <c r="C18" s="97"/>
      <c r="D18" s="94"/>
      <c r="E18" s="535"/>
      <c r="F18" s="608"/>
      <c r="G18" s="94" t="s">
        <v>12</v>
      </c>
      <c r="H18" s="94"/>
      <c r="I18" s="94"/>
      <c r="J18" s="97" t="s">
        <v>12</v>
      </c>
      <c r="K18" s="97" t="s">
        <v>12</v>
      </c>
      <c r="L18" s="532"/>
      <c r="N18" s="9" t="s">
        <v>12</v>
      </c>
    </row>
    <row r="19" spans="1:20" ht="24.95" customHeight="1">
      <c r="A19" s="96" t="s">
        <v>12</v>
      </c>
      <c r="B19" s="98" t="s">
        <v>481</v>
      </c>
      <c r="C19" s="97">
        <v>2449976</v>
      </c>
      <c r="D19" s="94">
        <v>2174718</v>
      </c>
      <c r="E19" s="535">
        <v>1759137</v>
      </c>
      <c r="F19" s="608">
        <v>90632.75</v>
      </c>
      <c r="G19" s="94">
        <f>N19+F19</f>
        <v>1023483.94</v>
      </c>
      <c r="H19" s="94">
        <v>893595.81</v>
      </c>
      <c r="I19" s="94">
        <v>928634.28</v>
      </c>
      <c r="J19" s="97">
        <f>+E19-J2319</f>
        <v>1759137</v>
      </c>
      <c r="K19" s="97">
        <f>+D19-G19</f>
        <v>1151234.06</v>
      </c>
      <c r="L19" s="532">
        <f>+G19/E19*100</f>
        <v>58.181025127662025</v>
      </c>
      <c r="N19" s="9">
        <v>932851.19</v>
      </c>
      <c r="P19" s="1"/>
    </row>
    <row r="20" spans="1:20" ht="24.95" customHeight="1">
      <c r="A20" s="96"/>
      <c r="B20" s="93"/>
      <c r="C20" s="97"/>
      <c r="D20" s="94" t="s">
        <v>12</v>
      </c>
      <c r="E20" s="535"/>
      <c r="F20" s="608"/>
      <c r="G20" s="94">
        <f>F20</f>
        <v>0</v>
      </c>
      <c r="H20" s="94"/>
      <c r="I20" s="94"/>
      <c r="J20" s="97">
        <f>+E20-G20</f>
        <v>0</v>
      </c>
      <c r="K20" s="97" t="s">
        <v>12</v>
      </c>
      <c r="L20" s="532"/>
      <c r="N20" s="9">
        <v>0</v>
      </c>
    </row>
    <row r="21" spans="1:20" ht="24.95" customHeight="1">
      <c r="A21" s="91">
        <v>2</v>
      </c>
      <c r="B21" s="92" t="s">
        <v>53</v>
      </c>
      <c r="C21" s="99">
        <f t="shared" ref="C21:F21" si="1">SUM(C23:C27)</f>
        <v>73122532</v>
      </c>
      <c r="D21" s="88">
        <f t="shared" si="1"/>
        <v>72190082</v>
      </c>
      <c r="E21" s="534">
        <f t="shared" si="1"/>
        <v>59857170</v>
      </c>
      <c r="F21" s="607">
        <f t="shared" si="1"/>
        <v>5274508.58</v>
      </c>
      <c r="G21" s="88">
        <f>N21+F21</f>
        <v>54935919.359999999</v>
      </c>
      <c r="H21" s="88">
        <f>SUM(H23:H27)</f>
        <v>47443690.629999995</v>
      </c>
      <c r="I21" s="88">
        <f>SUM(I23:I27)</f>
        <v>52040926.439999998</v>
      </c>
      <c r="J21" s="99">
        <f>+E21-G21</f>
        <v>4921250.6400000006</v>
      </c>
      <c r="K21" s="99">
        <f>+D21-G21</f>
        <v>17254162.640000001</v>
      </c>
      <c r="L21" s="530">
        <f>+G21/E21*100</f>
        <v>91.778343947767667</v>
      </c>
      <c r="N21" s="117">
        <v>49661410.780000001</v>
      </c>
    </row>
    <row r="22" spans="1:20" ht="24.95" customHeight="1">
      <c r="A22" s="100"/>
      <c r="B22" s="93"/>
      <c r="C22" s="97"/>
      <c r="D22" s="94"/>
      <c r="E22" s="535"/>
      <c r="F22" s="608"/>
      <c r="G22" s="94">
        <f>F22</f>
        <v>0</v>
      </c>
      <c r="H22" s="94"/>
      <c r="I22" s="94"/>
      <c r="J22" s="97">
        <f>+E22-G22</f>
        <v>0</v>
      </c>
      <c r="K22" s="97" t="s">
        <v>12</v>
      </c>
      <c r="L22" s="532" t="s">
        <v>12</v>
      </c>
      <c r="N22" s="9">
        <v>0</v>
      </c>
    </row>
    <row r="23" spans="1:20" ht="24.95" customHeight="1">
      <c r="A23" s="101" t="s">
        <v>12</v>
      </c>
      <c r="B23" s="93" t="s">
        <v>482</v>
      </c>
      <c r="C23" s="97">
        <v>3496882</v>
      </c>
      <c r="D23" s="94">
        <v>3350113</v>
      </c>
      <c r="E23" s="94">
        <v>2905166</v>
      </c>
      <c r="F23" s="609">
        <v>161651.79</v>
      </c>
      <c r="G23" s="94">
        <f>+N23+F23</f>
        <v>2214421.3099999996</v>
      </c>
      <c r="H23" s="94">
        <v>1855498.61</v>
      </c>
      <c r="I23" s="94">
        <v>1728729.21</v>
      </c>
      <c r="J23" s="97">
        <f>+E23-G23</f>
        <v>690744.69000000041</v>
      </c>
      <c r="K23" s="97">
        <f>+D23-G23</f>
        <v>1135691.6900000004</v>
      </c>
      <c r="L23" s="532">
        <f>+G23/E17*100</f>
        <v>6.5655672046669862</v>
      </c>
      <c r="N23" s="9">
        <v>2052769.5199999998</v>
      </c>
      <c r="P23" s="1"/>
      <c r="Q23" s="9"/>
    </row>
    <row r="24" spans="1:20" ht="24.95" customHeight="1">
      <c r="A24" s="101"/>
      <c r="B24" s="93"/>
      <c r="C24" s="97"/>
      <c r="D24" s="94" t="s">
        <v>12</v>
      </c>
      <c r="E24" s="94"/>
      <c r="F24" s="609"/>
      <c r="G24" s="94">
        <f>E24+M24</f>
        <v>0</v>
      </c>
      <c r="H24" s="94"/>
      <c r="I24" s="94"/>
      <c r="J24" s="97" t="s">
        <v>12</v>
      </c>
      <c r="K24" s="97" t="s">
        <v>12</v>
      </c>
      <c r="L24" s="532"/>
      <c r="N24" s="9">
        <v>0</v>
      </c>
      <c r="Q24" s="9"/>
    </row>
    <row r="25" spans="1:20" ht="24.95" customHeight="1">
      <c r="A25" s="101" t="s">
        <v>12</v>
      </c>
      <c r="B25" s="93" t="s">
        <v>483</v>
      </c>
      <c r="C25" s="97">
        <v>36159943</v>
      </c>
      <c r="D25" s="94">
        <v>35825282</v>
      </c>
      <c r="E25" s="94">
        <v>29523231</v>
      </c>
      <c r="F25" s="609">
        <v>2631197.66</v>
      </c>
      <c r="G25" s="94">
        <f>+N25+F25</f>
        <v>27307127.129999999</v>
      </c>
      <c r="H25" s="94">
        <v>23582618.609999999</v>
      </c>
      <c r="I25" s="94">
        <v>26058808.039999999</v>
      </c>
      <c r="J25" s="97">
        <f>+E25-G25</f>
        <v>2216103.870000001</v>
      </c>
      <c r="K25" s="97">
        <f>+D25-G25</f>
        <v>8518154.870000001</v>
      </c>
      <c r="L25" s="532">
        <f>+G25/E25*100</f>
        <v>92.493694643380991</v>
      </c>
      <c r="N25" s="9">
        <v>24675929.469999999</v>
      </c>
      <c r="P25" s="9"/>
      <c r="Q25" s="9"/>
    </row>
    <row r="26" spans="1:20" ht="24.95" customHeight="1">
      <c r="A26" s="101"/>
      <c r="B26" s="93"/>
      <c r="C26" s="97"/>
      <c r="D26" s="94"/>
      <c r="E26" s="94"/>
      <c r="F26" s="609"/>
      <c r="G26" s="94">
        <f>E26+M26</f>
        <v>0</v>
      </c>
      <c r="H26" s="94"/>
      <c r="I26" s="94"/>
      <c r="J26" s="97" t="s">
        <v>12</v>
      </c>
      <c r="K26" s="97" t="e">
        <f>+#REF!-G26</f>
        <v>#REF!</v>
      </c>
      <c r="L26" s="532"/>
      <c r="N26" s="9">
        <v>0</v>
      </c>
      <c r="Q26" s="9"/>
    </row>
    <row r="27" spans="1:20" ht="24.95" customHeight="1">
      <c r="A27" s="101" t="s">
        <v>12</v>
      </c>
      <c r="B27" s="93" t="s">
        <v>484</v>
      </c>
      <c r="C27" s="97">
        <v>33465707</v>
      </c>
      <c r="D27" s="94">
        <v>33014687</v>
      </c>
      <c r="E27" s="94">
        <v>27428773</v>
      </c>
      <c r="F27" s="609">
        <v>2481659.13</v>
      </c>
      <c r="G27" s="94">
        <f>+F27+N27</f>
        <v>25414370.919999998</v>
      </c>
      <c r="H27" s="94">
        <v>22005573.41</v>
      </c>
      <c r="I27" s="94">
        <v>24253389.190000001</v>
      </c>
      <c r="J27" s="97">
        <f>+E27-G27</f>
        <v>2014402.0800000019</v>
      </c>
      <c r="K27" s="97">
        <f>+D27-G27</f>
        <v>7600316.0800000019</v>
      </c>
      <c r="L27" s="532">
        <f>+G27/E27*100</f>
        <v>92.655879721633909</v>
      </c>
      <c r="N27" s="9">
        <v>22932711.789999999</v>
      </c>
      <c r="P27" s="1"/>
    </row>
    <row r="28" spans="1:20" ht="24.95" customHeight="1">
      <c r="A28" s="102"/>
      <c r="B28" s="93"/>
      <c r="C28" s="97"/>
      <c r="D28" s="94"/>
      <c r="E28" s="535"/>
      <c r="F28" s="608"/>
      <c r="G28" s="94">
        <f>F28+M28</f>
        <v>0</v>
      </c>
      <c r="H28" s="94"/>
      <c r="I28" s="94"/>
      <c r="J28" s="97">
        <f>+E28-G28</f>
        <v>0</v>
      </c>
      <c r="K28" s="97" t="s">
        <v>12</v>
      </c>
      <c r="L28" s="532" t="s">
        <v>12</v>
      </c>
      <c r="N28" s="9">
        <v>0</v>
      </c>
    </row>
    <row r="29" spans="1:20" ht="24.95" customHeight="1">
      <c r="A29" s="103" t="s">
        <v>485</v>
      </c>
      <c r="B29" s="92" t="s">
        <v>486</v>
      </c>
      <c r="C29" s="99">
        <v>15898148</v>
      </c>
      <c r="D29" s="88">
        <v>13954724</v>
      </c>
      <c r="E29" s="534">
        <v>11552407</v>
      </c>
      <c r="F29" s="607">
        <v>896222.16</v>
      </c>
      <c r="G29" s="88">
        <f>+F29+N29</f>
        <v>9551224.4299999997</v>
      </c>
      <c r="H29" s="88">
        <v>8225382.2800000003</v>
      </c>
      <c r="I29" s="88">
        <v>8956679.2899999991</v>
      </c>
      <c r="J29" s="99">
        <f>+E29-G29</f>
        <v>2001182.5700000003</v>
      </c>
      <c r="K29" s="99">
        <f>+D29-G29</f>
        <v>4403499.57</v>
      </c>
      <c r="L29" s="530">
        <f>+G29/E29*100</f>
        <v>82.677353992116096</v>
      </c>
      <c r="N29" s="117">
        <f>8654934.27+68</f>
        <v>8655002.2699999996</v>
      </c>
      <c r="P29">
        <f>224.43-156.43</f>
        <v>68</v>
      </c>
    </row>
    <row r="30" spans="1:20" ht="24.95" customHeight="1">
      <c r="A30" s="104"/>
      <c r="B30" s="105"/>
      <c r="C30" s="106"/>
      <c r="D30" s="107" t="s">
        <v>12</v>
      </c>
      <c r="E30" s="108"/>
      <c r="F30" s="610"/>
      <c r="G30" s="610" t="s">
        <v>12</v>
      </c>
      <c r="H30" s="610"/>
      <c r="I30" s="610"/>
      <c r="J30" s="106"/>
      <c r="K30" s="106" t="s">
        <v>12</v>
      </c>
      <c r="L30" s="533" t="s">
        <v>12</v>
      </c>
      <c r="M30" t="s">
        <v>12</v>
      </c>
      <c r="N30" s="9" t="s">
        <v>12</v>
      </c>
    </row>
    <row r="31" spans="1:20" ht="11.25" customHeight="1">
      <c r="A31" s="109"/>
      <c r="B31" s="110"/>
      <c r="C31" s="111"/>
      <c r="D31" s="111"/>
      <c r="E31" s="111"/>
      <c r="F31" s="111"/>
      <c r="G31" s="111" t="s">
        <v>12</v>
      </c>
      <c r="H31" s="111"/>
      <c r="I31" s="111"/>
      <c r="J31" s="111"/>
      <c r="K31" s="111" t="s">
        <v>12</v>
      </c>
      <c r="L31" s="3"/>
    </row>
    <row r="32" spans="1:20" ht="13.5" customHeight="1">
      <c r="A32" s="112"/>
      <c r="B32" s="640" t="s">
        <v>41</v>
      </c>
      <c r="C32" s="640"/>
      <c r="D32" s="113"/>
      <c r="E32" s="113"/>
      <c r="F32" s="113"/>
      <c r="G32" s="114"/>
      <c r="H32" s="115"/>
      <c r="I32" s="114"/>
      <c r="J32" s="114"/>
      <c r="K32" s="119"/>
      <c r="L32" s="3"/>
    </row>
    <row r="35" spans="4:12">
      <c r="D35" s="71" t="s">
        <v>12</v>
      </c>
    </row>
    <row r="38" spans="4:12">
      <c r="L38" s="272" t="s">
        <v>12</v>
      </c>
    </row>
  </sheetData>
  <mergeCells count="10">
    <mergeCell ref="B32:C32"/>
    <mergeCell ref="A6:A7"/>
    <mergeCell ref="B6:B7"/>
    <mergeCell ref="L6:L7"/>
    <mergeCell ref="J6:K7"/>
    <mergeCell ref="B1:L1"/>
    <mergeCell ref="B2:L2"/>
    <mergeCell ref="A3:L3"/>
    <mergeCell ref="A4:L4"/>
    <mergeCell ref="C6:I6"/>
  </mergeCells>
  <pageMargins left="3.9370078740157501E-2" right="0" top="0.55118110236220497" bottom="0.35433070866141703" header="0.511811023622047" footer="0.98425196850393704"/>
  <pageSetup paperSize="5" scale="75" firstPageNumber="0" fitToWidth="0" fitToHeight="0" orientation="portrait" useFirstPageNumber="1" r:id="rId1"/>
  <headerFooter alignWithMargins="0">
    <oddFooter>&amp;R&amp;"Times New Roman,Normal"&amp;12</oddFooter>
  </headerFooter>
  <ignoredErrors>
    <ignoredError sqref="A29" numberStoredAsText="1"/>
    <ignoredError sqref="G28 G20:G21 G16 G24:G25 G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17</vt:i4>
      </vt:variant>
    </vt:vector>
  </HeadingPairs>
  <TitlesOfParts>
    <vt:vector size="27" baseType="lpstr">
      <vt:lpstr>Resumen Pto</vt:lpstr>
      <vt:lpstr>CA1</vt:lpstr>
      <vt:lpstr>CA2</vt:lpstr>
      <vt:lpstr>C-A3 </vt:lpstr>
      <vt:lpstr>C-A4</vt:lpstr>
      <vt:lpstr>C-A5</vt:lpstr>
      <vt:lpstr>C-A6</vt:lpstr>
      <vt:lpstr>C-A6C</vt:lpstr>
      <vt:lpstr>C-A7</vt:lpstr>
      <vt:lpstr>C-A8A</vt:lpstr>
      <vt:lpstr>'CA2'!Área_de_impresión</vt:lpstr>
      <vt:lpstr>'C-A3 '!Área_de_impresión</vt:lpstr>
      <vt:lpstr>'C-A4'!Área_de_impresión</vt:lpstr>
      <vt:lpstr>'C-A5'!Área_de_impresión</vt:lpstr>
      <vt:lpstr>'C-A6C'!Área_de_impresión</vt:lpstr>
      <vt:lpstr>'C-A7'!Área_de_impresión</vt:lpstr>
      <vt:lpstr>'C-A8A'!Área_de_impresión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'CA1'!Títulos_a_imprimir</vt:lpstr>
      <vt:lpstr>'C-A5'!Títulos_a_imprimir</vt:lpstr>
      <vt:lpstr>'C-A6'!Títulos_a_imprimir</vt:lpstr>
      <vt:lpstr>'C-A8A'!Títulos_a_imprimir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2025-11-12T18:31:41Z</cp:lastPrinted>
  <dcterms:created xsi:type="dcterms:W3CDTF">2010-01-07T20:52:00Z</dcterms:created>
  <dcterms:modified xsi:type="dcterms:W3CDTF">2025-11-13T19:09:36Z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