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5\Septiembre\"/>
    </mc:Choice>
  </mc:AlternateContent>
  <xr:revisionPtr revIDLastSave="0" documentId="8_{653EF3E4-E47D-49E1-AD12-66D7B565D74A}" xr6:coauthVersionLast="47" xr6:coauthVersionMax="47" xr10:uidLastSave="{00000000-0000-0000-0000-000000000000}"/>
  <bookViews>
    <workbookView xWindow="-120" yWindow="-120" windowWidth="29040" windowHeight="15720" tabRatio="875" activeTab="1" xr2:uid="{00000000-000D-0000-FFFF-FFFF00000000}"/>
  </bookViews>
  <sheets>
    <sheet name="Resumen Pto" sheetId="18" r:id="rId1"/>
    <sheet name="Recaudación" sheetId="8" r:id="rId2"/>
    <sheet name="Ingresos" sheetId="9" r:id="rId3"/>
    <sheet name="Financiamiento" sheetId="63" r:id="rId4"/>
    <sheet name="Flujo " sheetId="11" r:id="rId5"/>
    <sheet name="Balance" sheetId="12" r:id="rId6"/>
    <sheet name="Funcionamiento " sheetId="24" r:id="rId7"/>
    <sheet name="Func.Cta." sheetId="26" r:id="rId8"/>
    <sheet name="Estr. Progr." sheetId="15" r:id="rId9"/>
    <sheet name="Proyectos Inv" sheetId="60" r:id="rId10"/>
  </sheets>
  <externalReferences>
    <externalReference r:id="rId11"/>
    <externalReference r:id="rId12"/>
  </externalReferences>
  <definedNames>
    <definedName name="a">"$#REF!.$CP$1"</definedName>
    <definedName name="_xlnm.Print_Area" localSheetId="5">Balance!$A$6:$K$53</definedName>
    <definedName name="_xlnm.Print_Area" localSheetId="8">'Estr. Progr.'!$A$3:$L$32</definedName>
    <definedName name="_xlnm.Print_Area" localSheetId="3">Financiamiento!$A$1:$H$35</definedName>
    <definedName name="_xlnm.Print_Area" localSheetId="4">'Flujo '!$A$3:$I$54</definedName>
    <definedName name="_xlnm.Print_Area" localSheetId="7">'Func.Cta.'!$A$1:$L$59</definedName>
    <definedName name="_xlnm.Print_Area" localSheetId="2">Ingresos!$A$1:$J$33</definedName>
    <definedName name="_xlnm.Print_Area" localSheetId="9">'Proyectos Inv'!$A$8:$K$44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Recaudación!$B$3:$I$47</definedName>
    <definedName name="Excel_BuiltIn_Print_Area_7_1">Recaudación!$B$3:$I$41</definedName>
    <definedName name="Excel_BuiltIn_Print_Area_7_1_1">Recaudación!$B$3:$I$47</definedName>
    <definedName name="Excel_BuiltIn_Print_Area_8_1">[1]INGRESOS!$A$6:$I$39</definedName>
    <definedName name="Excel_BuiltIn_Print_Area_8_1_1">[1]INGRESOS!$A$6:$I$40</definedName>
    <definedName name="Excel_BuiltIn_Print_Area_9_1">Financiamiento!$A$4:$H$36</definedName>
    <definedName name="Excel_BuiltIn_Print_Titles_11">Balance!$4:$5</definedName>
    <definedName name="Excel_BuiltIn_Print_Titles_12_1">"$#REF!.$A$1:$B$65535;$#REF!.$A$1:$IV$7"</definedName>
    <definedName name="Excel_BuiltIn_Print_Titles_7">Recaudación!$3:$4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Balance!$1:$5</definedName>
    <definedName name="_xlnm.Print_Titles" localSheetId="6">'Funcionamiento '!$4:$10</definedName>
    <definedName name="_xlnm.Print_Titles" localSheetId="9">'Proyectos Inv'!$1:$7</definedName>
    <definedName name="_xlnm.Print_Titles" localSheetId="1">Recaudación!$1:$4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63" l="1"/>
  <c r="D15" i="63"/>
  <c r="D14" i="63"/>
  <c r="D13" i="63"/>
  <c r="D12" i="63"/>
  <c r="D10" i="63"/>
  <c r="B10" i="63"/>
  <c r="F41" i="60" l="1"/>
  <c r="K41" i="60" s="1"/>
  <c r="F40" i="60"/>
  <c r="K40" i="60" s="1"/>
  <c r="F39" i="60"/>
  <c r="K39" i="60" s="1"/>
  <c r="F38" i="60"/>
  <c r="I38" i="60" s="1"/>
  <c r="F37" i="60"/>
  <c r="K37" i="60" s="1"/>
  <c r="F36" i="60"/>
  <c r="J36" i="60" s="1"/>
  <c r="F35" i="60"/>
  <c r="K35" i="60" s="1"/>
  <c r="F34" i="60"/>
  <c r="L33" i="60"/>
  <c r="H33" i="60"/>
  <c r="H43" i="12" s="1"/>
  <c r="G33" i="60"/>
  <c r="G43" i="12" s="1"/>
  <c r="E33" i="60"/>
  <c r="E43" i="12" s="1"/>
  <c r="D33" i="60"/>
  <c r="D43" i="12" s="1"/>
  <c r="C33" i="60"/>
  <c r="C43" i="12" s="1"/>
  <c r="B33" i="60"/>
  <c r="B43" i="12" s="1"/>
  <c r="F30" i="60"/>
  <c r="K30" i="60" s="1"/>
  <c r="F29" i="60"/>
  <c r="I29" i="60" s="1"/>
  <c r="F28" i="60"/>
  <c r="K28" i="60" s="1"/>
  <c r="F27" i="60"/>
  <c r="K27" i="60" s="1"/>
  <c r="F26" i="60"/>
  <c r="J26" i="60" s="1"/>
  <c r="F25" i="60"/>
  <c r="K25" i="60" s="1"/>
  <c r="F24" i="60"/>
  <c r="K24" i="60" s="1"/>
  <c r="F23" i="60"/>
  <c r="I22" i="60"/>
  <c r="F22" i="60"/>
  <c r="K22" i="60" s="1"/>
  <c r="F21" i="60"/>
  <c r="K21" i="60" s="1"/>
  <c r="F20" i="60"/>
  <c r="I20" i="60" s="1"/>
  <c r="F19" i="60"/>
  <c r="K19" i="60" s="1"/>
  <c r="F18" i="60"/>
  <c r="I18" i="60" s="1"/>
  <c r="L17" i="60"/>
  <c r="F17" i="60" s="1"/>
  <c r="K17" i="60" s="1"/>
  <c r="L16" i="60"/>
  <c r="H16" i="60"/>
  <c r="H42" i="12" s="1"/>
  <c r="G16" i="60"/>
  <c r="G42" i="12" s="1"/>
  <c r="E16" i="60"/>
  <c r="E42" i="12" s="1"/>
  <c r="D16" i="60"/>
  <c r="D42" i="12" s="1"/>
  <c r="C16" i="60"/>
  <c r="C42" i="12" s="1"/>
  <c r="B16" i="60"/>
  <c r="B42" i="12" s="1"/>
  <c r="F15" i="60"/>
  <c r="J15" i="60" s="1"/>
  <c r="F14" i="60"/>
  <c r="I14" i="60" s="1"/>
  <c r="I13" i="60"/>
  <c r="I12" i="60"/>
  <c r="F10" i="60"/>
  <c r="K10" i="60" s="1"/>
  <c r="F9" i="60"/>
  <c r="B9" i="60"/>
  <c r="B8" i="60" s="1"/>
  <c r="B26" i="18" s="1"/>
  <c r="L8" i="60"/>
  <c r="H8" i="60"/>
  <c r="G8" i="60"/>
  <c r="G41" i="12" s="1"/>
  <c r="E8" i="60"/>
  <c r="E41" i="12" s="1"/>
  <c r="D8" i="60"/>
  <c r="D41" i="12" s="1"/>
  <c r="C8" i="60"/>
  <c r="C41" i="12" s="1"/>
  <c r="P29" i="15"/>
  <c r="N29" i="15"/>
  <c r="G29" i="15" s="1"/>
  <c r="L29" i="15" s="1"/>
  <c r="G28" i="15"/>
  <c r="J28" i="15" s="1"/>
  <c r="N27" i="15"/>
  <c r="G27" i="15" s="1"/>
  <c r="J27" i="15" s="1"/>
  <c r="G26" i="15"/>
  <c r="K26" i="15" s="1"/>
  <c r="N25" i="15"/>
  <c r="G25" i="15" s="1"/>
  <c r="L25" i="15" s="1"/>
  <c r="G24" i="15"/>
  <c r="N23" i="15"/>
  <c r="G23" i="15" s="1"/>
  <c r="G22" i="15"/>
  <c r="J22" i="15" s="1"/>
  <c r="I21" i="15"/>
  <c r="H21" i="15"/>
  <c r="F21" i="15"/>
  <c r="E21" i="15"/>
  <c r="D21" i="15"/>
  <c r="C21" i="15"/>
  <c r="B21" i="18" s="1"/>
  <c r="G20" i="15"/>
  <c r="J20" i="15" s="1"/>
  <c r="J19" i="15"/>
  <c r="G19" i="15"/>
  <c r="L19" i="15" s="1"/>
  <c r="N17" i="15"/>
  <c r="G17" i="15" s="1"/>
  <c r="L17" i="15" s="1"/>
  <c r="G16" i="15"/>
  <c r="J16" i="15" s="1"/>
  <c r="G15" i="15"/>
  <c r="L15" i="15" s="1"/>
  <c r="N13" i="15"/>
  <c r="G13" i="15" s="1"/>
  <c r="L13" i="15" s="1"/>
  <c r="I11" i="15"/>
  <c r="H11" i="15"/>
  <c r="F11" i="15"/>
  <c r="E11" i="15"/>
  <c r="D11" i="15"/>
  <c r="C11" i="15"/>
  <c r="B19" i="18" s="1"/>
  <c r="H55" i="26"/>
  <c r="F55" i="26"/>
  <c r="I53" i="26"/>
  <c r="G53" i="26"/>
  <c r="F53" i="26"/>
  <c r="E53" i="26"/>
  <c r="D53" i="26"/>
  <c r="C53" i="26"/>
  <c r="F50" i="26"/>
  <c r="E50" i="26"/>
  <c r="H47" i="26"/>
  <c r="H46" i="26"/>
  <c r="D46" i="26"/>
  <c r="C46" i="26"/>
  <c r="C45" i="26" s="1"/>
  <c r="I42" i="26"/>
  <c r="H42" i="26"/>
  <c r="G42" i="26"/>
  <c r="F42" i="26"/>
  <c r="E42" i="26"/>
  <c r="D42" i="26"/>
  <c r="C42" i="26"/>
  <c r="F35" i="26"/>
  <c r="F34" i="26"/>
  <c r="F25" i="26"/>
  <c r="I24" i="26"/>
  <c r="H24" i="26"/>
  <c r="F24" i="26"/>
  <c r="E24" i="26"/>
  <c r="C24" i="26"/>
  <c r="F22" i="26"/>
  <c r="C19" i="26"/>
  <c r="L18" i="26"/>
  <c r="H18" i="26"/>
  <c r="F18" i="26"/>
  <c r="E18" i="26"/>
  <c r="I16" i="26"/>
  <c r="H16" i="26"/>
  <c r="F16" i="26"/>
  <c r="E16" i="26"/>
  <c r="D16" i="26"/>
  <c r="C16" i="26"/>
  <c r="I15" i="26"/>
  <c r="H15" i="26"/>
  <c r="F15" i="26"/>
  <c r="E15" i="26"/>
  <c r="C15" i="26"/>
  <c r="I13" i="26"/>
  <c r="H13" i="26"/>
  <c r="F13" i="26"/>
  <c r="E13" i="26"/>
  <c r="D13" i="26"/>
  <c r="C13" i="26"/>
  <c r="I12" i="26"/>
  <c r="H12" i="26"/>
  <c r="F12" i="26"/>
  <c r="E12" i="26"/>
  <c r="D12" i="26"/>
  <c r="C12" i="26"/>
  <c r="I11" i="26"/>
  <c r="H11" i="26"/>
  <c r="F11" i="26"/>
  <c r="E11" i="26"/>
  <c r="D11" i="26"/>
  <c r="C11" i="26"/>
  <c r="G181" i="24"/>
  <c r="L181" i="24" s="1"/>
  <c r="D181" i="24"/>
  <c r="G179" i="24"/>
  <c r="J179" i="24" s="1"/>
  <c r="I178" i="24"/>
  <c r="I55" i="26" s="1"/>
  <c r="G178" i="24"/>
  <c r="G55" i="26" s="1"/>
  <c r="E178" i="24"/>
  <c r="E55" i="26" s="1"/>
  <c r="C178" i="24"/>
  <c r="C55" i="26" s="1"/>
  <c r="G177" i="24"/>
  <c r="L177" i="24" s="1"/>
  <c r="L176" i="24"/>
  <c r="K176" i="24"/>
  <c r="L175" i="24"/>
  <c r="K175" i="24"/>
  <c r="J175" i="24"/>
  <c r="N174" i="24"/>
  <c r="I174" i="24"/>
  <c r="I54" i="26" s="1"/>
  <c r="H174" i="24"/>
  <c r="H54" i="26" s="1"/>
  <c r="F174" i="24"/>
  <c r="E32" i="12" s="1"/>
  <c r="E174" i="24"/>
  <c r="D32" i="12" s="1"/>
  <c r="D174" i="24"/>
  <c r="D54" i="26" s="1"/>
  <c r="C174" i="24"/>
  <c r="C54" i="26" s="1"/>
  <c r="K172" i="24"/>
  <c r="J172" i="24"/>
  <c r="I172" i="24"/>
  <c r="H172" i="24"/>
  <c r="G172" i="24"/>
  <c r="F172" i="24"/>
  <c r="E172" i="24"/>
  <c r="D172" i="24"/>
  <c r="C172" i="24"/>
  <c r="G170" i="24"/>
  <c r="K170" i="24" s="1"/>
  <c r="G169" i="24"/>
  <c r="K169" i="24" s="1"/>
  <c r="I168" i="24"/>
  <c r="I52" i="26" s="1"/>
  <c r="H168" i="24"/>
  <c r="H52" i="26" s="1"/>
  <c r="F168" i="24"/>
  <c r="F52" i="26" s="1"/>
  <c r="E168" i="24"/>
  <c r="D168" i="24"/>
  <c r="C168" i="24"/>
  <c r="C52" i="26" s="1"/>
  <c r="G167" i="24"/>
  <c r="G166" i="24"/>
  <c r="K166" i="24" s="1"/>
  <c r="G165" i="24"/>
  <c r="L165" i="24" s="1"/>
  <c r="G164" i="24"/>
  <c r="L164" i="24" s="1"/>
  <c r="G163" i="24"/>
  <c r="J163" i="24" s="1"/>
  <c r="D163" i="24"/>
  <c r="D162" i="24" s="1"/>
  <c r="N162" i="24"/>
  <c r="I162" i="24"/>
  <c r="F162" i="24"/>
  <c r="F51" i="26" s="1"/>
  <c r="E162" i="24"/>
  <c r="E51" i="26" s="1"/>
  <c r="C162" i="24"/>
  <c r="C51" i="26" s="1"/>
  <c r="G161" i="24"/>
  <c r="L161" i="24" s="1"/>
  <c r="I160" i="24"/>
  <c r="I50" i="26" s="1"/>
  <c r="H160" i="24"/>
  <c r="D160" i="24"/>
  <c r="C160" i="24"/>
  <c r="G158" i="24"/>
  <c r="K158" i="24" s="1"/>
  <c r="I157" i="24"/>
  <c r="I47" i="26" s="1"/>
  <c r="F157" i="24"/>
  <c r="E157" i="24"/>
  <c r="D157" i="24"/>
  <c r="C157" i="24"/>
  <c r="G156" i="24"/>
  <c r="G46" i="26" s="1"/>
  <c r="I155" i="24"/>
  <c r="H155" i="24"/>
  <c r="H154" i="24" s="1"/>
  <c r="G18" i="12" s="1"/>
  <c r="F155" i="24"/>
  <c r="F46" i="26" s="1"/>
  <c r="E155" i="24"/>
  <c r="E46" i="26" s="1"/>
  <c r="C155" i="24"/>
  <c r="C154" i="24" s="1"/>
  <c r="G153" i="24"/>
  <c r="J153" i="24" s="1"/>
  <c r="G152" i="24"/>
  <c r="K152" i="24" s="1"/>
  <c r="G151" i="24"/>
  <c r="L151" i="24" s="1"/>
  <c r="G150" i="24"/>
  <c r="G149" i="24"/>
  <c r="K149" i="24" s="1"/>
  <c r="G148" i="24"/>
  <c r="L148" i="24" s="1"/>
  <c r="G147" i="24"/>
  <c r="L147" i="24" s="1"/>
  <c r="G146" i="24"/>
  <c r="L146" i="24" s="1"/>
  <c r="D146" i="24"/>
  <c r="D144" i="24" s="1"/>
  <c r="G145" i="24"/>
  <c r="J145" i="24" s="1"/>
  <c r="N144" i="24"/>
  <c r="I144" i="24"/>
  <c r="I43" i="26" s="1"/>
  <c r="H144" i="24"/>
  <c r="H43" i="26" s="1"/>
  <c r="F144" i="24"/>
  <c r="F43" i="26" s="1"/>
  <c r="E144" i="24"/>
  <c r="E43" i="26" s="1"/>
  <c r="C144" i="24"/>
  <c r="C43" i="26" s="1"/>
  <c r="N143" i="24"/>
  <c r="L143" i="24"/>
  <c r="K143" i="24"/>
  <c r="J143" i="24"/>
  <c r="J42" i="26" s="1"/>
  <c r="G142" i="24"/>
  <c r="D142" i="24"/>
  <c r="G141" i="24"/>
  <c r="K141" i="24" s="1"/>
  <c r="G140" i="24"/>
  <c r="L140" i="24" s="1"/>
  <c r="D140" i="24"/>
  <c r="G139" i="24"/>
  <c r="K139" i="24" s="1"/>
  <c r="G138" i="24"/>
  <c r="L138" i="24" s="1"/>
  <c r="G137" i="24"/>
  <c r="G136" i="24"/>
  <c r="L136" i="24" s="1"/>
  <c r="G135" i="24"/>
  <c r="J135" i="24" s="1"/>
  <c r="N134" i="24"/>
  <c r="I134" i="24"/>
  <c r="I41" i="26" s="1"/>
  <c r="H134" i="24"/>
  <c r="H41" i="26" s="1"/>
  <c r="F134" i="24"/>
  <c r="F41" i="26" s="1"/>
  <c r="E134" i="24"/>
  <c r="E41" i="26" s="1"/>
  <c r="C134" i="24"/>
  <c r="C41" i="26" s="1"/>
  <c r="G133" i="24"/>
  <c r="K133" i="24" s="1"/>
  <c r="G132" i="24"/>
  <c r="J132" i="24" s="1"/>
  <c r="G131" i="24"/>
  <c r="L131" i="24" s="1"/>
  <c r="D131" i="24"/>
  <c r="G130" i="24"/>
  <c r="L130" i="24" s="1"/>
  <c r="G129" i="24"/>
  <c r="J129" i="24" s="1"/>
  <c r="D129" i="24"/>
  <c r="N128" i="24"/>
  <c r="I128" i="24"/>
  <c r="I40" i="26" s="1"/>
  <c r="H128" i="24"/>
  <c r="H40" i="26" s="1"/>
  <c r="F128" i="24"/>
  <c r="F40" i="26" s="1"/>
  <c r="E128" i="24"/>
  <c r="E40" i="26" s="1"/>
  <c r="C128" i="24"/>
  <c r="C40" i="26" s="1"/>
  <c r="G127" i="24"/>
  <c r="L127" i="24" s="1"/>
  <c r="G126" i="24"/>
  <c r="J126" i="24" s="1"/>
  <c r="D126" i="24"/>
  <c r="G125" i="24"/>
  <c r="J125" i="24" s="1"/>
  <c r="G124" i="24"/>
  <c r="L124" i="24" s="1"/>
  <c r="D124" i="24"/>
  <c r="G123" i="24"/>
  <c r="L123" i="24" s="1"/>
  <c r="D123" i="24"/>
  <c r="G122" i="24"/>
  <c r="G121" i="24"/>
  <c r="D121" i="24"/>
  <c r="N120" i="24"/>
  <c r="I120" i="24"/>
  <c r="I39" i="26" s="1"/>
  <c r="H120" i="24"/>
  <c r="H39" i="26" s="1"/>
  <c r="F120" i="24"/>
  <c r="F39" i="26" s="1"/>
  <c r="E120" i="24"/>
  <c r="E39" i="26" s="1"/>
  <c r="C120" i="24"/>
  <c r="C39" i="26" s="1"/>
  <c r="G119" i="24"/>
  <c r="D119" i="24"/>
  <c r="G118" i="24"/>
  <c r="L118" i="24" s="1"/>
  <c r="D118" i="24"/>
  <c r="K118" i="24" s="1"/>
  <c r="G117" i="24"/>
  <c r="L117" i="24" s="1"/>
  <c r="D117" i="24"/>
  <c r="K117" i="24" s="1"/>
  <c r="G116" i="24"/>
  <c r="L116" i="24" s="1"/>
  <c r="D116" i="24"/>
  <c r="G115" i="24"/>
  <c r="D115" i="24"/>
  <c r="N114" i="24"/>
  <c r="I114" i="24"/>
  <c r="I38" i="26" s="1"/>
  <c r="H114" i="24"/>
  <c r="H38" i="26" s="1"/>
  <c r="F114" i="24"/>
  <c r="F38" i="26" s="1"/>
  <c r="E114" i="24"/>
  <c r="C114" i="24"/>
  <c r="C38" i="26" s="1"/>
  <c r="G113" i="24"/>
  <c r="L113" i="24" s="1"/>
  <c r="D113" i="24"/>
  <c r="G112" i="24"/>
  <c r="J112" i="24" s="1"/>
  <c r="G111" i="24"/>
  <c r="J111" i="24" s="1"/>
  <c r="D111" i="24"/>
  <c r="N110" i="24"/>
  <c r="I110" i="24"/>
  <c r="I37" i="26" s="1"/>
  <c r="H110" i="24"/>
  <c r="H37" i="26" s="1"/>
  <c r="F110" i="24"/>
  <c r="F37" i="26" s="1"/>
  <c r="E110" i="24"/>
  <c r="E37" i="26" s="1"/>
  <c r="C110" i="24"/>
  <c r="C37" i="26" s="1"/>
  <c r="G109" i="24"/>
  <c r="J109" i="24" s="1"/>
  <c r="N108" i="24"/>
  <c r="G108" i="24" s="1"/>
  <c r="D108" i="24"/>
  <c r="D104" i="24" s="1"/>
  <c r="D36" i="26" s="1"/>
  <c r="G107" i="24"/>
  <c r="L107" i="24" s="1"/>
  <c r="G106" i="24"/>
  <c r="L106" i="24" s="1"/>
  <c r="G105" i="24"/>
  <c r="L105" i="24" s="1"/>
  <c r="I104" i="24"/>
  <c r="I36" i="26" s="1"/>
  <c r="H104" i="24"/>
  <c r="H36" i="26" s="1"/>
  <c r="F104" i="24"/>
  <c r="E104" i="24"/>
  <c r="E36" i="26" s="1"/>
  <c r="C104" i="24"/>
  <c r="C36" i="26" s="1"/>
  <c r="G103" i="24"/>
  <c r="L103" i="24" s="1"/>
  <c r="D103" i="24"/>
  <c r="G102" i="24"/>
  <c r="L102" i="24" s="1"/>
  <c r="G101" i="24"/>
  <c r="J101" i="24" s="1"/>
  <c r="D101" i="24"/>
  <c r="G100" i="24"/>
  <c r="J100" i="24" s="1"/>
  <c r="G99" i="24"/>
  <c r="L99" i="24" s="1"/>
  <c r="N98" i="24"/>
  <c r="G98" i="24" s="1"/>
  <c r="G35" i="26" s="1"/>
  <c r="I98" i="24"/>
  <c r="I35" i="26" s="1"/>
  <c r="H98" i="24"/>
  <c r="H35" i="26" s="1"/>
  <c r="E98" i="24"/>
  <c r="E35" i="26" s="1"/>
  <c r="C98" i="24"/>
  <c r="C35" i="26" s="1"/>
  <c r="G97" i="24"/>
  <c r="D97" i="24"/>
  <c r="N96" i="24"/>
  <c r="N95" i="24" s="1"/>
  <c r="G95" i="24" s="1"/>
  <c r="G34" i="26" s="1"/>
  <c r="D96" i="24"/>
  <c r="I95" i="24"/>
  <c r="H95" i="24"/>
  <c r="E95" i="24"/>
  <c r="C95" i="24"/>
  <c r="G92" i="24"/>
  <c r="L92" i="24" s="1"/>
  <c r="D92" i="24"/>
  <c r="L91" i="24"/>
  <c r="J91" i="24"/>
  <c r="G90" i="24"/>
  <c r="K90" i="24" s="1"/>
  <c r="G89" i="24"/>
  <c r="K89" i="24" s="1"/>
  <c r="G88" i="24"/>
  <c r="L88" i="24" s="1"/>
  <c r="D88" i="24"/>
  <c r="G87" i="24"/>
  <c r="L87" i="24" s="1"/>
  <c r="K86" i="24"/>
  <c r="J86" i="24"/>
  <c r="G85" i="24"/>
  <c r="K85" i="24" s="1"/>
  <c r="G84" i="24"/>
  <c r="D84" i="24"/>
  <c r="I83" i="24"/>
  <c r="I31" i="26" s="1"/>
  <c r="H83" i="24"/>
  <c r="H31" i="26" s="1"/>
  <c r="F83" i="24"/>
  <c r="F31" i="26" s="1"/>
  <c r="E83" i="24"/>
  <c r="E31" i="26" s="1"/>
  <c r="C83" i="24"/>
  <c r="C31" i="26" s="1"/>
  <c r="G82" i="24"/>
  <c r="E82" i="24"/>
  <c r="D82" i="24"/>
  <c r="G81" i="24"/>
  <c r="E81" i="24"/>
  <c r="D81" i="24"/>
  <c r="G80" i="24"/>
  <c r="L80" i="24" s="1"/>
  <c r="D80" i="24"/>
  <c r="G79" i="24"/>
  <c r="L79" i="24" s="1"/>
  <c r="D79" i="24"/>
  <c r="G78" i="24"/>
  <c r="L78" i="24" s="1"/>
  <c r="D78" i="24"/>
  <c r="G77" i="24"/>
  <c r="J77" i="24" s="1"/>
  <c r="D77" i="24"/>
  <c r="I76" i="24"/>
  <c r="I30" i="26" s="1"/>
  <c r="H76" i="24"/>
  <c r="H30" i="26" s="1"/>
  <c r="F76" i="24"/>
  <c r="F30" i="26" s="1"/>
  <c r="C76" i="24"/>
  <c r="C30" i="26" s="1"/>
  <c r="G75" i="24"/>
  <c r="L75" i="24" s="1"/>
  <c r="I73" i="24"/>
  <c r="I29" i="26" s="1"/>
  <c r="H73" i="24"/>
  <c r="H29" i="26" s="1"/>
  <c r="F73" i="24"/>
  <c r="F29" i="26" s="1"/>
  <c r="E73" i="24"/>
  <c r="E29" i="26" s="1"/>
  <c r="D73" i="24"/>
  <c r="D29" i="26" s="1"/>
  <c r="C73" i="24"/>
  <c r="C29" i="26" s="1"/>
  <c r="G72" i="24"/>
  <c r="L72" i="24" s="1"/>
  <c r="N71" i="24"/>
  <c r="N67" i="24" s="1"/>
  <c r="G71" i="24"/>
  <c r="L71" i="24" s="1"/>
  <c r="G70" i="24"/>
  <c r="K70" i="24" s="1"/>
  <c r="G69" i="24"/>
  <c r="K69" i="24" s="1"/>
  <c r="I67" i="24"/>
  <c r="I28" i="26" s="1"/>
  <c r="H67" i="24"/>
  <c r="H28" i="26" s="1"/>
  <c r="F67" i="24"/>
  <c r="F28" i="26" s="1"/>
  <c r="E67" i="24"/>
  <c r="E28" i="26" s="1"/>
  <c r="D67" i="24"/>
  <c r="C67" i="24"/>
  <c r="C28" i="26" s="1"/>
  <c r="G66" i="24"/>
  <c r="L66" i="24" s="1"/>
  <c r="D66" i="24"/>
  <c r="G65" i="24"/>
  <c r="L65" i="24" s="1"/>
  <c r="D65" i="24"/>
  <c r="G64" i="24"/>
  <c r="J64" i="24" s="1"/>
  <c r="D64" i="24"/>
  <c r="N63" i="24"/>
  <c r="N62" i="24" s="1"/>
  <c r="D63" i="24"/>
  <c r="I62" i="24"/>
  <c r="I27" i="26" s="1"/>
  <c r="H62" i="24"/>
  <c r="H27" i="26" s="1"/>
  <c r="F62" i="24"/>
  <c r="E62" i="24"/>
  <c r="E27" i="26" s="1"/>
  <c r="C62" i="24"/>
  <c r="C27" i="26" s="1"/>
  <c r="G61" i="24"/>
  <c r="L61" i="24" s="1"/>
  <c r="D61" i="24"/>
  <c r="D58" i="24" s="1"/>
  <c r="D26" i="26" s="1"/>
  <c r="G60" i="24"/>
  <c r="K60" i="24" s="1"/>
  <c r="N59" i="24"/>
  <c r="G59" i="24" s="1"/>
  <c r="L59" i="24" s="1"/>
  <c r="I58" i="24"/>
  <c r="I26" i="26" s="1"/>
  <c r="H58" i="24"/>
  <c r="H26" i="26" s="1"/>
  <c r="F58" i="24"/>
  <c r="F26" i="26" s="1"/>
  <c r="E58" i="24"/>
  <c r="E26" i="26" s="1"/>
  <c r="C58" i="24"/>
  <c r="C26" i="26" s="1"/>
  <c r="G57" i="24"/>
  <c r="J57" i="24" s="1"/>
  <c r="D57" i="24"/>
  <c r="G56" i="24"/>
  <c r="L56" i="24" s="1"/>
  <c r="D56" i="24"/>
  <c r="N55" i="24"/>
  <c r="G55" i="24" s="1"/>
  <c r="I55" i="24"/>
  <c r="I25" i="26" s="1"/>
  <c r="H55" i="24"/>
  <c r="H25" i="26" s="1"/>
  <c r="E55" i="24"/>
  <c r="E25" i="26" s="1"/>
  <c r="C55" i="24"/>
  <c r="C25" i="26" s="1"/>
  <c r="G54" i="24"/>
  <c r="G24" i="26" s="1"/>
  <c r="D54" i="24"/>
  <c r="D24" i="26" s="1"/>
  <c r="G52" i="24"/>
  <c r="L52" i="24" s="1"/>
  <c r="G51" i="24"/>
  <c r="G50" i="24"/>
  <c r="J50" i="24" s="1"/>
  <c r="G49" i="24"/>
  <c r="L49" i="24" s="1"/>
  <c r="D49" i="24"/>
  <c r="C49" i="24"/>
  <c r="C45" i="24" s="1"/>
  <c r="C23" i="26" s="1"/>
  <c r="G48" i="24"/>
  <c r="L48" i="24" s="1"/>
  <c r="G47" i="24"/>
  <c r="K47" i="24" s="1"/>
  <c r="G46" i="24"/>
  <c r="J46" i="24" s="1"/>
  <c r="N45" i="24"/>
  <c r="I45" i="24"/>
  <c r="I23" i="26" s="1"/>
  <c r="H45" i="24"/>
  <c r="H23" i="26" s="1"/>
  <c r="F45" i="24"/>
  <c r="F23" i="26" s="1"/>
  <c r="E45" i="24"/>
  <c r="E23" i="26" s="1"/>
  <c r="G44" i="24"/>
  <c r="L44" i="24" s="1"/>
  <c r="K43" i="24"/>
  <c r="J43" i="24"/>
  <c r="G42" i="24"/>
  <c r="J42" i="24" s="1"/>
  <c r="G41" i="24"/>
  <c r="J41" i="24" s="1"/>
  <c r="D41" i="24"/>
  <c r="G40" i="24"/>
  <c r="L40" i="24" s="1"/>
  <c r="D40" i="24"/>
  <c r="G39" i="24"/>
  <c r="L39" i="24" s="1"/>
  <c r="N38" i="24"/>
  <c r="G38" i="24" s="1"/>
  <c r="I38" i="24"/>
  <c r="I22" i="26" s="1"/>
  <c r="H38" i="24"/>
  <c r="H22" i="26" s="1"/>
  <c r="E38" i="24"/>
  <c r="E22" i="26" s="1"/>
  <c r="C38" i="24"/>
  <c r="C22" i="26" s="1"/>
  <c r="G35" i="24"/>
  <c r="L35" i="24" s="1"/>
  <c r="L34" i="24"/>
  <c r="G33" i="24"/>
  <c r="K33" i="24" s="1"/>
  <c r="G32" i="24"/>
  <c r="L32" i="24" s="1"/>
  <c r="G31" i="24"/>
  <c r="L31" i="24" s="1"/>
  <c r="G30" i="24"/>
  <c r="K30" i="24" s="1"/>
  <c r="N29" i="24"/>
  <c r="I29" i="24"/>
  <c r="I19" i="26" s="1"/>
  <c r="H29" i="24"/>
  <c r="H19" i="26" s="1"/>
  <c r="F29" i="24"/>
  <c r="F19" i="26" s="1"/>
  <c r="E29" i="24"/>
  <c r="E19" i="26" s="1"/>
  <c r="D29" i="24"/>
  <c r="D19" i="26" s="1"/>
  <c r="G28" i="24"/>
  <c r="J28" i="24" s="1"/>
  <c r="D28" i="24"/>
  <c r="D27" i="24" s="1"/>
  <c r="I27" i="24"/>
  <c r="I18" i="26" s="1"/>
  <c r="G27" i="24"/>
  <c r="G18" i="26" s="1"/>
  <c r="C27" i="24"/>
  <c r="C18" i="26" s="1"/>
  <c r="G26" i="24"/>
  <c r="J26" i="24" s="1"/>
  <c r="G25" i="24"/>
  <c r="L25" i="24" s="1"/>
  <c r="G24" i="24"/>
  <c r="L24" i="24" s="1"/>
  <c r="L19" i="26" s="1"/>
  <c r="G23" i="24"/>
  <c r="L23" i="24" s="1"/>
  <c r="N22" i="24"/>
  <c r="I22" i="24"/>
  <c r="F22" i="24"/>
  <c r="F17" i="26" s="1"/>
  <c r="E22" i="24"/>
  <c r="E17" i="26" s="1"/>
  <c r="D22" i="24"/>
  <c r="D17" i="26" s="1"/>
  <c r="C22" i="24"/>
  <c r="C17" i="26" s="1"/>
  <c r="G21" i="24"/>
  <c r="L21" i="24" s="1"/>
  <c r="L16" i="26" s="1"/>
  <c r="G20" i="24"/>
  <c r="J20" i="24" s="1"/>
  <c r="J15" i="26" s="1"/>
  <c r="D20" i="24"/>
  <c r="D15" i="26" s="1"/>
  <c r="G19" i="24"/>
  <c r="L19" i="24" s="1"/>
  <c r="G18" i="24"/>
  <c r="J18" i="24" s="1"/>
  <c r="G17" i="24"/>
  <c r="J17" i="24" s="1"/>
  <c r="N16" i="24"/>
  <c r="I16" i="24"/>
  <c r="I14" i="26" s="1"/>
  <c r="H16" i="24"/>
  <c r="H14" i="26" s="1"/>
  <c r="F16" i="24"/>
  <c r="F14" i="26" s="1"/>
  <c r="E16" i="24"/>
  <c r="E14" i="26" s="1"/>
  <c r="D16" i="24"/>
  <c r="D14" i="26" s="1"/>
  <c r="C16" i="24"/>
  <c r="C14" i="26" s="1"/>
  <c r="G15" i="24"/>
  <c r="G13" i="26" s="1"/>
  <c r="G14" i="24"/>
  <c r="G12" i="26" s="1"/>
  <c r="G13" i="24"/>
  <c r="L13" i="24" s="1"/>
  <c r="L11" i="26" s="1"/>
  <c r="N12" i="24"/>
  <c r="I12" i="24"/>
  <c r="H12" i="24"/>
  <c r="F12" i="24"/>
  <c r="E12" i="24"/>
  <c r="D12" i="24"/>
  <c r="C12" i="24"/>
  <c r="H41" i="12"/>
  <c r="B41" i="12"/>
  <c r="L36" i="12"/>
  <c r="F35" i="12"/>
  <c r="F30" i="12"/>
  <c r="G26" i="12"/>
  <c r="G25" i="12"/>
  <c r="G24" i="12"/>
  <c r="G23" i="12"/>
  <c r="H48" i="11"/>
  <c r="C47" i="11"/>
  <c r="H46" i="11"/>
  <c r="C46" i="11"/>
  <c r="E45" i="11"/>
  <c r="E43" i="11" s="1"/>
  <c r="D26" i="11"/>
  <c r="D25" i="11" s="1"/>
  <c r="B26" i="11"/>
  <c r="B25" i="11" s="1"/>
  <c r="H24" i="11"/>
  <c r="D23" i="11"/>
  <c r="D21" i="11" s="1"/>
  <c r="D19" i="11"/>
  <c r="D18" i="11"/>
  <c r="D16" i="11"/>
  <c r="D15" i="11" s="1"/>
  <c r="D12" i="11" s="1"/>
  <c r="H30" i="9"/>
  <c r="J30" i="9" s="1"/>
  <c r="H28" i="9"/>
  <c r="F28" i="9"/>
  <c r="H27" i="9"/>
  <c r="F27" i="9"/>
  <c r="H26" i="9"/>
  <c r="F26" i="9"/>
  <c r="D26" i="9"/>
  <c r="D24" i="9" s="1"/>
  <c r="D22" i="9" s="1"/>
  <c r="K24" i="9"/>
  <c r="G24" i="9"/>
  <c r="G22" i="9" s="1"/>
  <c r="E24" i="9"/>
  <c r="E22" i="9" s="1"/>
  <c r="C24" i="9"/>
  <c r="C22" i="9" s="1"/>
  <c r="H23" i="9"/>
  <c r="H21" i="9"/>
  <c r="F20" i="9"/>
  <c r="E20" i="9"/>
  <c r="D20" i="9"/>
  <c r="C20" i="9"/>
  <c r="G19" i="9"/>
  <c r="G18" i="9"/>
  <c r="E18" i="9"/>
  <c r="D18" i="9"/>
  <c r="C18" i="9"/>
  <c r="G17" i="9"/>
  <c r="E17" i="9"/>
  <c r="D17" i="9"/>
  <c r="C17" i="9"/>
  <c r="G16" i="9"/>
  <c r="E16" i="9"/>
  <c r="D16" i="9"/>
  <c r="C16" i="9"/>
  <c r="E15" i="9"/>
  <c r="C15" i="9"/>
  <c r="G14" i="9"/>
  <c r="E14" i="9"/>
  <c r="D14" i="9"/>
  <c r="C14" i="9"/>
  <c r="G13" i="9"/>
  <c r="E13" i="9"/>
  <c r="E11" i="9" s="1"/>
  <c r="D13" i="9"/>
  <c r="C13" i="9"/>
  <c r="F47" i="8"/>
  <c r="F45" i="8" s="1"/>
  <c r="G45" i="8" s="1"/>
  <c r="G46" i="8"/>
  <c r="E45" i="8"/>
  <c r="F26" i="11" s="1"/>
  <c r="F25" i="11" s="1"/>
  <c r="D45" i="8"/>
  <c r="E26" i="11" s="1"/>
  <c r="E25" i="11" s="1"/>
  <c r="G43" i="8"/>
  <c r="H20" i="9" s="1"/>
  <c r="F42" i="8"/>
  <c r="F41" i="8" s="1"/>
  <c r="F40" i="8" s="1"/>
  <c r="E42" i="8"/>
  <c r="E41" i="8" s="1"/>
  <c r="D42" i="8"/>
  <c r="D41" i="8" s="1"/>
  <c r="D40" i="8" s="1"/>
  <c r="C42" i="8"/>
  <c r="C41" i="8" s="1"/>
  <c r="C40" i="8" s="1"/>
  <c r="G39" i="8"/>
  <c r="F38" i="8"/>
  <c r="F37" i="8" s="1"/>
  <c r="F36" i="8" s="1"/>
  <c r="E38" i="8"/>
  <c r="E37" i="8" s="1"/>
  <c r="D38" i="8"/>
  <c r="D37" i="8" s="1"/>
  <c r="C30" i="63" s="1"/>
  <c r="C38" i="8"/>
  <c r="C37" i="8" s="1"/>
  <c r="B30" i="63" s="1"/>
  <c r="J34" i="8"/>
  <c r="G33" i="8"/>
  <c r="H19" i="9" s="1"/>
  <c r="G32" i="8"/>
  <c r="E32" i="8"/>
  <c r="F18" i="9" s="1"/>
  <c r="F31" i="8"/>
  <c r="G31" i="8" s="1"/>
  <c r="D31" i="8"/>
  <c r="C19" i="11" s="1"/>
  <c r="C31" i="8"/>
  <c r="B19" i="11" s="1"/>
  <c r="G30" i="8"/>
  <c r="H30" i="8" s="1"/>
  <c r="G29" i="8"/>
  <c r="E29" i="8"/>
  <c r="J28" i="8"/>
  <c r="F28" i="8"/>
  <c r="F26" i="8" s="1"/>
  <c r="E28" i="8"/>
  <c r="F15" i="9" s="1"/>
  <c r="D28" i="8"/>
  <c r="D26" i="8" s="1"/>
  <c r="G27" i="8"/>
  <c r="H17" i="9" s="1"/>
  <c r="E27" i="8"/>
  <c r="I27" i="8" s="1"/>
  <c r="C26" i="8"/>
  <c r="B18" i="11" s="1"/>
  <c r="G25" i="8"/>
  <c r="G23" i="8" s="1"/>
  <c r="G21" i="8" s="1"/>
  <c r="E25" i="8"/>
  <c r="E23" i="8" s="1"/>
  <c r="E21" i="8" s="1"/>
  <c r="F17" i="11" s="1"/>
  <c r="D25" i="8"/>
  <c r="D23" i="8" s="1"/>
  <c r="D21" i="8" s="1"/>
  <c r="D17" i="11" s="1"/>
  <c r="G24" i="8"/>
  <c r="H24" i="8" s="1"/>
  <c r="F23" i="8"/>
  <c r="F21" i="8" s="1"/>
  <c r="C23" i="8"/>
  <c r="C21" i="8" s="1"/>
  <c r="B17" i="11" s="1"/>
  <c r="G22" i="8"/>
  <c r="H22" i="8" s="1"/>
  <c r="G19" i="8"/>
  <c r="E19" i="8"/>
  <c r="F14" i="9" s="1"/>
  <c r="G18" i="8"/>
  <c r="E18" i="8"/>
  <c r="F13" i="9" s="1"/>
  <c r="J17" i="8"/>
  <c r="F17" i="8"/>
  <c r="D17" i="8"/>
  <c r="C17" i="8"/>
  <c r="C15" i="8" s="1"/>
  <c r="F15" i="8"/>
  <c r="D15" i="8"/>
  <c r="E16" i="11" s="1"/>
  <c r="C25" i="18"/>
  <c r="D23" i="18"/>
  <c r="B23" i="18"/>
  <c r="E22" i="18"/>
  <c r="B22" i="18"/>
  <c r="D21" i="18"/>
  <c r="E20" i="18"/>
  <c r="B20" i="18"/>
  <c r="C18" i="18"/>
  <c r="D9" i="18"/>
  <c r="C9" i="18"/>
  <c r="K123" i="24" l="1"/>
  <c r="K140" i="24"/>
  <c r="K124" i="24"/>
  <c r="K40" i="24"/>
  <c r="K116" i="24"/>
  <c r="K103" i="24"/>
  <c r="I154" i="24"/>
  <c r="H18" i="12" s="1"/>
  <c r="L57" i="24"/>
  <c r="K49" i="24"/>
  <c r="G96" i="24"/>
  <c r="L96" i="24" s="1"/>
  <c r="K131" i="24"/>
  <c r="E31" i="8"/>
  <c r="F19" i="11" s="1"/>
  <c r="I28" i="9"/>
  <c r="K41" i="24"/>
  <c r="J19" i="60"/>
  <c r="E54" i="26"/>
  <c r="K42" i="26"/>
  <c r="L42" i="26"/>
  <c r="L55" i="24"/>
  <c r="G42" i="8"/>
  <c r="G41" i="8" s="1"/>
  <c r="G28" i="63" s="1"/>
  <c r="B32" i="12"/>
  <c r="L90" i="24"/>
  <c r="C32" i="12"/>
  <c r="J35" i="24"/>
  <c r="E23" i="18"/>
  <c r="K35" i="24"/>
  <c r="K64" i="24"/>
  <c r="K92" i="24"/>
  <c r="D98" i="24"/>
  <c r="D35" i="26" s="1"/>
  <c r="K35" i="26" s="1"/>
  <c r="I19" i="60"/>
  <c r="C10" i="26"/>
  <c r="C9" i="26" s="1"/>
  <c r="B28" i="18"/>
  <c r="K179" i="24"/>
  <c r="J138" i="24"/>
  <c r="D28" i="18"/>
  <c r="H29" i="8"/>
  <c r="G17" i="8"/>
  <c r="K96" i="24"/>
  <c r="I18" i="8"/>
  <c r="H11" i="24"/>
  <c r="G15" i="12" s="1"/>
  <c r="K66" i="24"/>
  <c r="L100" i="24"/>
  <c r="K29" i="60"/>
  <c r="I94" i="24"/>
  <c r="H17" i="12" s="1"/>
  <c r="K111" i="24"/>
  <c r="J118" i="24"/>
  <c r="L125" i="24"/>
  <c r="H32" i="8"/>
  <c r="H94" i="24"/>
  <c r="G17" i="12" s="1"/>
  <c r="G110" i="24"/>
  <c r="G37" i="26" s="1"/>
  <c r="L37" i="26" s="1"/>
  <c r="K125" i="24"/>
  <c r="J14" i="24"/>
  <c r="J12" i="26" s="1"/>
  <c r="L14" i="24"/>
  <c r="L12" i="26" s="1"/>
  <c r="I11" i="24"/>
  <c r="H15" i="12" s="1"/>
  <c r="J61" i="24"/>
  <c r="L111" i="24"/>
  <c r="L85" i="24"/>
  <c r="C9" i="15"/>
  <c r="F8" i="60"/>
  <c r="I8" i="60" s="1"/>
  <c r="K132" i="24"/>
  <c r="J151" i="24"/>
  <c r="I20" i="9"/>
  <c r="K14" i="24"/>
  <c r="K12" i="26" s="1"/>
  <c r="G22" i="24"/>
  <c r="G17" i="26" s="1"/>
  <c r="B30" i="18"/>
  <c r="C36" i="8"/>
  <c r="C34" i="8" s="1"/>
  <c r="B13" i="18" s="1"/>
  <c r="D30" i="18"/>
  <c r="D36" i="8"/>
  <c r="D34" i="8" s="1"/>
  <c r="K79" i="24"/>
  <c r="K113" i="24"/>
  <c r="D10" i="26"/>
  <c r="D9" i="26" s="1"/>
  <c r="K135" i="24"/>
  <c r="K106" i="24"/>
  <c r="L135" i="24"/>
  <c r="G144" i="24"/>
  <c r="J144" i="24" s="1"/>
  <c r="J181" i="24"/>
  <c r="L132" i="24"/>
  <c r="L46" i="24"/>
  <c r="G63" i="24"/>
  <c r="L63" i="24" s="1"/>
  <c r="H45" i="26"/>
  <c r="E10" i="26"/>
  <c r="E9" i="26" s="1"/>
  <c r="E17" i="8"/>
  <c r="E15" i="8" s="1"/>
  <c r="F16" i="11" s="1"/>
  <c r="J81" i="24"/>
  <c r="D128" i="24"/>
  <c r="D40" i="26" s="1"/>
  <c r="G157" i="24"/>
  <c r="G47" i="26" s="1"/>
  <c r="G45" i="26" s="1"/>
  <c r="F10" i="26"/>
  <c r="F9" i="26" s="1"/>
  <c r="H18" i="9"/>
  <c r="I18" i="9" s="1"/>
  <c r="F28" i="12"/>
  <c r="F22" i="12" s="1"/>
  <c r="K164" i="24"/>
  <c r="J35" i="60"/>
  <c r="J27" i="9"/>
  <c r="K80" i="24"/>
  <c r="E28" i="12"/>
  <c r="E22" i="12" s="1"/>
  <c r="D29" i="11"/>
  <c r="D15" i="9"/>
  <c r="D11" i="9" s="1"/>
  <c r="D9" i="9" s="1"/>
  <c r="K82" i="24"/>
  <c r="E159" i="24"/>
  <c r="D20" i="12" s="1"/>
  <c r="G15" i="26"/>
  <c r="L23" i="15"/>
  <c r="J23" i="15"/>
  <c r="E18" i="11"/>
  <c r="C18" i="11"/>
  <c r="K28" i="24"/>
  <c r="K27" i="24" s="1"/>
  <c r="K18" i="26" s="1"/>
  <c r="I10" i="60"/>
  <c r="I30" i="60"/>
  <c r="N11" i="15"/>
  <c r="C37" i="24"/>
  <c r="J69" i="24"/>
  <c r="G134" i="24"/>
  <c r="G41" i="26" s="1"/>
  <c r="L41" i="26" s="1"/>
  <c r="H32" i="12"/>
  <c r="C11" i="24"/>
  <c r="B36" i="11" s="1"/>
  <c r="J38" i="24"/>
  <c r="L24" i="26"/>
  <c r="D76" i="24"/>
  <c r="D30" i="26" s="1"/>
  <c r="L89" i="24"/>
  <c r="B28" i="12"/>
  <c r="B22" i="12" s="1"/>
  <c r="F54" i="26"/>
  <c r="F49" i="26" s="1"/>
  <c r="K15" i="60"/>
  <c r="J127" i="24"/>
  <c r="L170" i="24"/>
  <c r="J169" i="24"/>
  <c r="G45" i="24"/>
  <c r="L45" i="24" s="1"/>
  <c r="J23" i="24"/>
  <c r="G62" i="24"/>
  <c r="L82" i="24"/>
  <c r="J89" i="24"/>
  <c r="D110" i="24"/>
  <c r="D37" i="26" s="1"/>
  <c r="J148" i="24"/>
  <c r="G162" i="24"/>
  <c r="J162" i="24" s="1"/>
  <c r="K97" i="24"/>
  <c r="K148" i="24"/>
  <c r="K17" i="24"/>
  <c r="L97" i="24"/>
  <c r="I32" i="8"/>
  <c r="E11" i="24"/>
  <c r="D15" i="12" s="1"/>
  <c r="L17" i="24"/>
  <c r="K25" i="24"/>
  <c r="L30" i="24"/>
  <c r="N58" i="24"/>
  <c r="G58" i="24" s="1"/>
  <c r="L58" i="24" s="1"/>
  <c r="J90" i="24"/>
  <c r="K121" i="24"/>
  <c r="G128" i="24"/>
  <c r="L128" i="24" s="1"/>
  <c r="G11" i="26"/>
  <c r="G10" i="26" s="1"/>
  <c r="J29" i="15"/>
  <c r="I24" i="60"/>
  <c r="F33" i="60"/>
  <c r="E30" i="18" s="1"/>
  <c r="G67" i="24"/>
  <c r="J67" i="24" s="1"/>
  <c r="L133" i="24"/>
  <c r="G174" i="24"/>
  <c r="G54" i="26" s="1"/>
  <c r="J102" i="24"/>
  <c r="J140" i="24"/>
  <c r="G32" i="12"/>
  <c r="G29" i="24"/>
  <c r="L29" i="24" s="1"/>
  <c r="L156" i="24"/>
  <c r="J70" i="24"/>
  <c r="D11" i="24"/>
  <c r="D36" i="11" s="1"/>
  <c r="J30" i="24"/>
  <c r="L54" i="24"/>
  <c r="L70" i="24"/>
  <c r="K77" i="24"/>
  <c r="G114" i="24"/>
  <c r="G38" i="26" s="1"/>
  <c r="B18" i="18"/>
  <c r="J20" i="9"/>
  <c r="F11" i="24"/>
  <c r="E15" i="12" s="1"/>
  <c r="J39" i="24"/>
  <c r="K46" i="24"/>
  <c r="L64" i="24"/>
  <c r="K78" i="24"/>
  <c r="G83" i="24"/>
  <c r="F94" i="24"/>
  <c r="E17" i="12" s="1"/>
  <c r="L121" i="24"/>
  <c r="F154" i="24"/>
  <c r="E18" i="12" s="1"/>
  <c r="J55" i="26"/>
  <c r="D42" i="60"/>
  <c r="F21" i="63" s="1"/>
  <c r="F19" i="63" s="1"/>
  <c r="L50" i="24"/>
  <c r="D62" i="24"/>
  <c r="D27" i="26" s="1"/>
  <c r="I10" i="26"/>
  <c r="J107" i="24"/>
  <c r="L139" i="24"/>
  <c r="J161" i="24"/>
  <c r="G47" i="8"/>
  <c r="I47" i="8" s="1"/>
  <c r="J19" i="24"/>
  <c r="C42" i="60"/>
  <c r="C21" i="63" s="1"/>
  <c r="C19" i="63" s="1"/>
  <c r="I26" i="60"/>
  <c r="K26" i="24"/>
  <c r="J32" i="24"/>
  <c r="J165" i="24"/>
  <c r="K50" i="24"/>
  <c r="D39" i="12"/>
  <c r="D36" i="12" s="1"/>
  <c r="H27" i="8"/>
  <c r="K147" i="24"/>
  <c r="C39" i="12"/>
  <c r="C36" i="12" s="1"/>
  <c r="J78" i="24"/>
  <c r="E39" i="12"/>
  <c r="E36" i="12" s="1"/>
  <c r="K32" i="24"/>
  <c r="K165" i="24"/>
  <c r="J130" i="24"/>
  <c r="J136" i="24"/>
  <c r="L158" i="24"/>
  <c r="K26" i="60"/>
  <c r="E9" i="9"/>
  <c r="F17" i="9"/>
  <c r="I17" i="9" s="1"/>
  <c r="H39" i="12"/>
  <c r="H36" i="12" s="1"/>
  <c r="K20" i="24"/>
  <c r="K15" i="26" s="1"/>
  <c r="D55" i="24"/>
  <c r="K55" i="24" s="1"/>
  <c r="K61" i="24"/>
  <c r="J66" i="24"/>
  <c r="D83" i="24"/>
  <c r="D31" i="26" s="1"/>
  <c r="K105" i="24"/>
  <c r="K136" i="24"/>
  <c r="K153" i="24"/>
  <c r="L166" i="24"/>
  <c r="F9" i="15"/>
  <c r="N21" i="15"/>
  <c r="G21" i="15" s="1"/>
  <c r="J21" i="15" s="1"/>
  <c r="G42" i="60"/>
  <c r="K38" i="60"/>
  <c r="N104" i="24"/>
  <c r="N94" i="24" s="1"/>
  <c r="L152" i="24"/>
  <c r="J178" i="24"/>
  <c r="L47" i="24"/>
  <c r="L60" i="24"/>
  <c r="L178" i="24"/>
  <c r="I46" i="26"/>
  <c r="I45" i="26" s="1"/>
  <c r="E9" i="15"/>
  <c r="E42" i="60"/>
  <c r="D26" i="18"/>
  <c r="L20" i="24"/>
  <c r="L15" i="26" s="1"/>
  <c r="L33" i="24"/>
  <c r="L41" i="24"/>
  <c r="G73" i="24"/>
  <c r="L153" i="24"/>
  <c r="I17" i="26"/>
  <c r="H9" i="15"/>
  <c r="I27" i="60"/>
  <c r="F16" i="60"/>
  <c r="J16" i="60" s="1"/>
  <c r="K156" i="24"/>
  <c r="H19" i="8"/>
  <c r="L26" i="24"/>
  <c r="J47" i="24"/>
  <c r="J60" i="24"/>
  <c r="I19" i="8"/>
  <c r="G39" i="12"/>
  <c r="G36" i="12" s="1"/>
  <c r="I9" i="15"/>
  <c r="J52" i="24"/>
  <c r="E76" i="24"/>
  <c r="E30" i="26" s="1"/>
  <c r="E21" i="26" s="1"/>
  <c r="C16" i="18"/>
  <c r="D95" i="24"/>
  <c r="K95" i="24" s="1"/>
  <c r="G160" i="24"/>
  <c r="J160" i="24" s="1"/>
  <c r="H13" i="9"/>
  <c r="D28" i="12"/>
  <c r="D22" i="12" s="1"/>
  <c r="K42" i="24"/>
  <c r="K57" i="24"/>
  <c r="J80" i="24"/>
  <c r="J85" i="24"/>
  <c r="E94" i="24"/>
  <c r="D17" i="12" s="1"/>
  <c r="K100" i="24"/>
  <c r="E52" i="26"/>
  <c r="B42" i="60"/>
  <c r="B45" i="11" s="1"/>
  <c r="B43" i="11" s="1"/>
  <c r="E40" i="8"/>
  <c r="G20" i="9"/>
  <c r="F34" i="8"/>
  <c r="H45" i="8"/>
  <c r="I45" i="8"/>
  <c r="L109" i="24"/>
  <c r="K109" i="24"/>
  <c r="J46" i="26"/>
  <c r="D11" i="63"/>
  <c r="D178" i="24"/>
  <c r="K181" i="24"/>
  <c r="J24" i="26"/>
  <c r="H24" i="9"/>
  <c r="K22" i="9"/>
  <c r="H22" i="9" s="1"/>
  <c r="L108" i="24"/>
  <c r="K108" i="24"/>
  <c r="J108" i="24"/>
  <c r="B39" i="11"/>
  <c r="B18" i="12"/>
  <c r="D28" i="63"/>
  <c r="D26" i="63" s="1"/>
  <c r="C28" i="63"/>
  <c r="C26" i="63" s="1"/>
  <c r="E23" i="11"/>
  <c r="E21" i="11" s="1"/>
  <c r="C23" i="11"/>
  <c r="K24" i="26"/>
  <c r="D43" i="26"/>
  <c r="I21" i="8"/>
  <c r="G17" i="11"/>
  <c r="H21" i="8"/>
  <c r="J26" i="9"/>
  <c r="F24" i="9"/>
  <c r="F22" i="9" s="1"/>
  <c r="L27" i="15"/>
  <c r="K27" i="15"/>
  <c r="L46" i="26"/>
  <c r="K46" i="26"/>
  <c r="L119" i="24"/>
  <c r="J119" i="24"/>
  <c r="B28" i="63"/>
  <c r="B26" i="63" s="1"/>
  <c r="B23" i="11"/>
  <c r="B21" i="11" s="1"/>
  <c r="K142" i="24"/>
  <c r="D134" i="24"/>
  <c r="K167" i="24"/>
  <c r="J167" i="24"/>
  <c r="G22" i="26"/>
  <c r="L38" i="24"/>
  <c r="D114" i="24"/>
  <c r="K115" i="24"/>
  <c r="L142" i="24"/>
  <c r="J142" i="24"/>
  <c r="G38" i="8"/>
  <c r="H39" i="8"/>
  <c r="H38" i="8" s="1"/>
  <c r="H37" i="8" s="1"/>
  <c r="H36" i="8" s="1"/>
  <c r="I39" i="8"/>
  <c r="F13" i="8"/>
  <c r="B16" i="11"/>
  <c r="B15" i="11" s="1"/>
  <c r="B12" i="11" s="1"/>
  <c r="C13" i="8"/>
  <c r="C11" i="8" s="1"/>
  <c r="I26" i="9"/>
  <c r="G28" i="8"/>
  <c r="J26" i="8"/>
  <c r="G26" i="8" s="1"/>
  <c r="C11" i="9"/>
  <c r="C9" i="9" s="1"/>
  <c r="J55" i="24"/>
  <c r="G25" i="26"/>
  <c r="L25" i="26" s="1"/>
  <c r="K65" i="24"/>
  <c r="L35" i="26"/>
  <c r="L115" i="24"/>
  <c r="J115" i="24"/>
  <c r="L150" i="24"/>
  <c r="K150" i="24"/>
  <c r="I51" i="26"/>
  <c r="I49" i="26" s="1"/>
  <c r="I159" i="24"/>
  <c r="H28" i="12"/>
  <c r="H22" i="12" s="1"/>
  <c r="E26" i="8"/>
  <c r="F18" i="11" s="1"/>
  <c r="F16" i="9"/>
  <c r="L15" i="24"/>
  <c r="L13" i="26" s="1"/>
  <c r="K15" i="24"/>
  <c r="K13" i="26" s="1"/>
  <c r="J15" i="24"/>
  <c r="J13" i="26" s="1"/>
  <c r="L122" i="24"/>
  <c r="K122" i="24"/>
  <c r="J122" i="24"/>
  <c r="L129" i="24"/>
  <c r="K129" i="24"/>
  <c r="J150" i="24"/>
  <c r="D154" i="24"/>
  <c r="D47" i="26"/>
  <c r="E19" i="11"/>
  <c r="E154" i="24"/>
  <c r="E47" i="26"/>
  <c r="D9" i="15"/>
  <c r="D19" i="18"/>
  <c r="D18" i="18" s="1"/>
  <c r="C28" i="12"/>
  <c r="C22" i="12" s="1"/>
  <c r="D51" i="26"/>
  <c r="C94" i="24"/>
  <c r="C34" i="26"/>
  <c r="C33" i="26" s="1"/>
  <c r="E17" i="11"/>
  <c r="C17" i="11"/>
  <c r="J28" i="9"/>
  <c r="I23" i="8"/>
  <c r="H23" i="8"/>
  <c r="H25" i="8"/>
  <c r="D34" i="26"/>
  <c r="I21" i="26"/>
  <c r="F27" i="26"/>
  <c r="F21" i="26" s="1"/>
  <c r="F37" i="24"/>
  <c r="E16" i="12" s="1"/>
  <c r="C21" i="26"/>
  <c r="L137" i="24"/>
  <c r="K137" i="24"/>
  <c r="H42" i="60"/>
  <c r="L18" i="24"/>
  <c r="K18" i="24"/>
  <c r="I29" i="8"/>
  <c r="H16" i="9"/>
  <c r="F30" i="63"/>
  <c r="E36" i="8"/>
  <c r="L51" i="24"/>
  <c r="K51" i="24"/>
  <c r="J137" i="24"/>
  <c r="H10" i="26"/>
  <c r="H9" i="26" s="1"/>
  <c r="G19" i="11"/>
  <c r="H21" i="26"/>
  <c r="J51" i="24"/>
  <c r="L101" i="24"/>
  <c r="K101" i="24"/>
  <c r="L112" i="24"/>
  <c r="K112" i="24"/>
  <c r="I25" i="8"/>
  <c r="B39" i="12"/>
  <c r="B36" i="12" s="1"/>
  <c r="I37" i="24"/>
  <c r="H16" i="12" s="1"/>
  <c r="L81" i="24"/>
  <c r="K81" i="24"/>
  <c r="K119" i="24"/>
  <c r="L126" i="24"/>
  <c r="K126" i="24"/>
  <c r="L145" i="24"/>
  <c r="K145" i="24"/>
  <c r="C159" i="24"/>
  <c r="C26" i="11"/>
  <c r="C25" i="11" s="1"/>
  <c r="J17" i="15"/>
  <c r="I39" i="60"/>
  <c r="D13" i="8"/>
  <c r="D11" i="8" s="1"/>
  <c r="C50" i="26"/>
  <c r="C49" i="26" s="1"/>
  <c r="K17" i="15"/>
  <c r="J44" i="24"/>
  <c r="J56" i="24"/>
  <c r="J59" i="24"/>
  <c r="J105" i="24"/>
  <c r="D50" i="26"/>
  <c r="D52" i="26"/>
  <c r="K20" i="60"/>
  <c r="C16" i="11"/>
  <c r="K44" i="24"/>
  <c r="K56" i="24"/>
  <c r="K59" i="24"/>
  <c r="I40" i="60"/>
  <c r="H18" i="8"/>
  <c r="H43" i="8"/>
  <c r="I30" i="9"/>
  <c r="G12" i="24"/>
  <c r="K12" i="24" s="1"/>
  <c r="K19" i="24"/>
  <c r="J27" i="24"/>
  <c r="J18" i="26" s="1"/>
  <c r="K39" i="24"/>
  <c r="J75" i="24"/>
  <c r="J92" i="24"/>
  <c r="J95" i="24"/>
  <c r="J34" i="26" s="1"/>
  <c r="K102" i="24"/>
  <c r="J113" i="24"/>
  <c r="D120" i="24"/>
  <c r="K127" i="24"/>
  <c r="K130" i="24"/>
  <c r="K138" i="24"/>
  <c r="J146" i="24"/>
  <c r="K151" i="24"/>
  <c r="E34" i="26"/>
  <c r="L34" i="26" s="1"/>
  <c r="E38" i="26"/>
  <c r="F47" i="26"/>
  <c r="F45" i="26" s="1"/>
  <c r="P17" i="15"/>
  <c r="I9" i="60"/>
  <c r="I28" i="60"/>
  <c r="I34" i="60"/>
  <c r="I43" i="8"/>
  <c r="J31" i="24"/>
  <c r="J48" i="24"/>
  <c r="J71" i="24"/>
  <c r="K75" i="24"/>
  <c r="J82" i="24"/>
  <c r="J98" i="24"/>
  <c r="J35" i="26" s="1"/>
  <c r="J116" i="24"/>
  <c r="J123" i="24"/>
  <c r="K146" i="24"/>
  <c r="J177" i="24"/>
  <c r="F36" i="26"/>
  <c r="F33" i="26" s="1"/>
  <c r="J9" i="60"/>
  <c r="K34" i="60"/>
  <c r="H14" i="9"/>
  <c r="K31" i="24"/>
  <c r="H37" i="24"/>
  <c r="G16" i="12" s="1"/>
  <c r="D45" i="24"/>
  <c r="K48" i="24"/>
  <c r="K71" i="24"/>
  <c r="L95" i="24"/>
  <c r="K98" i="24"/>
  <c r="K163" i="24"/>
  <c r="G168" i="24"/>
  <c r="K168" i="24" s="1"/>
  <c r="K177" i="24"/>
  <c r="H50" i="26"/>
  <c r="K23" i="15"/>
  <c r="K29" i="15"/>
  <c r="K9" i="60"/>
  <c r="I41" i="60"/>
  <c r="G16" i="24"/>
  <c r="K23" i="24"/>
  <c r="J54" i="24"/>
  <c r="J87" i="24"/>
  <c r="L98" i="24"/>
  <c r="G120" i="24"/>
  <c r="J120" i="24" s="1"/>
  <c r="J39" i="26" s="1"/>
  <c r="J139" i="24"/>
  <c r="J152" i="24"/>
  <c r="G155" i="24"/>
  <c r="J158" i="24"/>
  <c r="H34" i="26"/>
  <c r="H33" i="26" s="1"/>
  <c r="K19" i="15"/>
  <c r="I35" i="60"/>
  <c r="J40" i="24"/>
  <c r="K54" i="24"/>
  <c r="J79" i="24"/>
  <c r="J131" i="24"/>
  <c r="J147" i="24"/>
  <c r="J164" i="24"/>
  <c r="G16" i="26"/>
  <c r="I34" i="26"/>
  <c r="I33" i="26" s="1"/>
  <c r="J13" i="15"/>
  <c r="J10" i="60"/>
  <c r="J24" i="24"/>
  <c r="J72" i="24"/>
  <c r="J99" i="24"/>
  <c r="K107" i="24"/>
  <c r="J117" i="24"/>
  <c r="J124" i="24"/>
  <c r="K161" i="24"/>
  <c r="K13" i="15"/>
  <c r="K24" i="24"/>
  <c r="J49" i="24"/>
  <c r="K72" i="24"/>
  <c r="G76" i="24"/>
  <c r="K99" i="24"/>
  <c r="J25" i="15"/>
  <c r="I17" i="60"/>
  <c r="I36" i="60"/>
  <c r="J13" i="24"/>
  <c r="J11" i="26" s="1"/>
  <c r="J21" i="24"/>
  <c r="J16" i="26" s="1"/>
  <c r="K25" i="15"/>
  <c r="G15" i="9"/>
  <c r="K13" i="24"/>
  <c r="K11" i="26" s="1"/>
  <c r="K21" i="24"/>
  <c r="K16" i="26" s="1"/>
  <c r="J33" i="24"/>
  <c r="D38" i="24"/>
  <c r="F159" i="24"/>
  <c r="D28" i="26"/>
  <c r="I25" i="60"/>
  <c r="J156" i="24"/>
  <c r="J15" i="15"/>
  <c r="J25" i="60"/>
  <c r="I37" i="60"/>
  <c r="K15" i="15"/>
  <c r="J97" i="24"/>
  <c r="J121" i="24"/>
  <c r="J133" i="24"/>
  <c r="J141" i="24"/>
  <c r="J149" i="24"/>
  <c r="J166" i="24"/>
  <c r="J170" i="24"/>
  <c r="I15" i="60"/>
  <c r="J96" i="24" l="1"/>
  <c r="L110" i="24"/>
  <c r="L134" i="24"/>
  <c r="I42" i="8"/>
  <c r="L67" i="24"/>
  <c r="G28" i="26"/>
  <c r="L28" i="26" s="1"/>
  <c r="J18" i="9"/>
  <c r="K62" i="24"/>
  <c r="E49" i="26"/>
  <c r="F36" i="11"/>
  <c r="K16" i="60"/>
  <c r="F42" i="12"/>
  <c r="I42" i="12" s="1"/>
  <c r="C15" i="12"/>
  <c r="L62" i="24"/>
  <c r="H41" i="8"/>
  <c r="E28" i="18"/>
  <c r="J62" i="24"/>
  <c r="K128" i="24"/>
  <c r="I31" i="8"/>
  <c r="H13" i="12"/>
  <c r="H31" i="8"/>
  <c r="K157" i="24"/>
  <c r="I41" i="8"/>
  <c r="H42" i="8"/>
  <c r="G27" i="26"/>
  <c r="L27" i="26" s="1"/>
  <c r="G40" i="8"/>
  <c r="I40" i="8" s="1"/>
  <c r="F41" i="11"/>
  <c r="F15" i="63"/>
  <c r="I16" i="60"/>
  <c r="K8" i="60"/>
  <c r="H17" i="8"/>
  <c r="F41" i="12"/>
  <c r="I41" i="12" s="1"/>
  <c r="F11" i="9"/>
  <c r="F9" i="9" s="1"/>
  <c r="I17" i="8"/>
  <c r="K63" i="24"/>
  <c r="J47" i="26"/>
  <c r="L21" i="15"/>
  <c r="M5" i="60"/>
  <c r="I9" i="26"/>
  <c r="I56" i="26" s="1"/>
  <c r="J12" i="24"/>
  <c r="F38" i="11"/>
  <c r="E26" i="18"/>
  <c r="I33" i="60"/>
  <c r="N9" i="15"/>
  <c r="G9" i="15" s="1"/>
  <c r="L160" i="24"/>
  <c r="J29" i="24"/>
  <c r="J19" i="26" s="1"/>
  <c r="K162" i="24"/>
  <c r="J114" i="24"/>
  <c r="J38" i="26" s="1"/>
  <c r="G19" i="26"/>
  <c r="F45" i="11"/>
  <c r="F43" i="11" s="1"/>
  <c r="D25" i="18"/>
  <c r="D16" i="18" s="1"/>
  <c r="G15" i="8"/>
  <c r="I15" i="8" s="1"/>
  <c r="G13" i="12"/>
  <c r="J22" i="24"/>
  <c r="J17" i="26" s="1"/>
  <c r="K22" i="24"/>
  <c r="K17" i="26" s="1"/>
  <c r="G154" i="24"/>
  <c r="L154" i="24" s="1"/>
  <c r="L22" i="24"/>
  <c r="L17" i="26" s="1"/>
  <c r="B25" i="18"/>
  <c r="B16" i="18" s="1"/>
  <c r="L144" i="24"/>
  <c r="G43" i="26"/>
  <c r="L43" i="26" s="1"/>
  <c r="K29" i="24"/>
  <c r="K19" i="26" s="1"/>
  <c r="K76" i="24"/>
  <c r="K33" i="60"/>
  <c r="L114" i="24"/>
  <c r="K144" i="24"/>
  <c r="J10" i="26"/>
  <c r="F43" i="12"/>
  <c r="K43" i="12" s="1"/>
  <c r="G104" i="24"/>
  <c r="K104" i="24" s="1"/>
  <c r="N37" i="24"/>
  <c r="G37" i="24" s="1"/>
  <c r="J63" i="24"/>
  <c r="G11" i="15"/>
  <c r="K11" i="15" s="1"/>
  <c r="F42" i="60"/>
  <c r="I42" i="60" s="1"/>
  <c r="K37" i="26"/>
  <c r="K28" i="12"/>
  <c r="K160" i="24"/>
  <c r="L47" i="26"/>
  <c r="C56" i="26"/>
  <c r="G50" i="26"/>
  <c r="L50" i="26" s="1"/>
  <c r="G40" i="26"/>
  <c r="L40" i="26" s="1"/>
  <c r="G26" i="26"/>
  <c r="J110" i="24"/>
  <c r="J37" i="26" s="1"/>
  <c r="J128" i="24"/>
  <c r="J40" i="26" s="1"/>
  <c r="J58" i="24"/>
  <c r="E33" i="26"/>
  <c r="G23" i="26"/>
  <c r="L23" i="26" s="1"/>
  <c r="L157" i="24"/>
  <c r="J157" i="24"/>
  <c r="L54" i="26"/>
  <c r="K54" i="26"/>
  <c r="J33" i="60"/>
  <c r="K67" i="24"/>
  <c r="B16" i="12"/>
  <c r="B37" i="11"/>
  <c r="B21" i="63"/>
  <c r="B19" i="63" s="1"/>
  <c r="H47" i="8"/>
  <c r="K83" i="24"/>
  <c r="G11" i="9"/>
  <c r="G9" i="9" s="1"/>
  <c r="D21" i="63"/>
  <c r="D19" i="63" s="1"/>
  <c r="E15" i="11"/>
  <c r="E12" i="11" s="1"/>
  <c r="E29" i="11" s="1"/>
  <c r="G94" i="24"/>
  <c r="J94" i="24" s="1"/>
  <c r="G31" i="26"/>
  <c r="J83" i="24"/>
  <c r="L83" i="24"/>
  <c r="B29" i="11"/>
  <c r="K10" i="26"/>
  <c r="K28" i="26"/>
  <c r="L162" i="24"/>
  <c r="K21" i="15"/>
  <c r="C45" i="11"/>
  <c r="C43" i="11" s="1"/>
  <c r="H162" i="24"/>
  <c r="H159" i="24" s="1"/>
  <c r="J174" i="24"/>
  <c r="E37" i="24"/>
  <c r="D16" i="12" s="1"/>
  <c r="J17" i="9"/>
  <c r="B15" i="12"/>
  <c r="G51" i="26"/>
  <c r="L51" i="26" s="1"/>
  <c r="F32" i="12"/>
  <c r="K32" i="12" s="1"/>
  <c r="E21" i="18"/>
  <c r="D45" i="11"/>
  <c r="D43" i="11" s="1"/>
  <c r="L174" i="24"/>
  <c r="J13" i="9"/>
  <c r="I13" i="9"/>
  <c r="K110" i="24"/>
  <c r="J45" i="24"/>
  <c r="C36" i="11"/>
  <c r="E36" i="11"/>
  <c r="J134" i="24"/>
  <c r="J41" i="26" s="1"/>
  <c r="K174" i="24"/>
  <c r="D94" i="24"/>
  <c r="D38" i="11" s="1"/>
  <c r="D25" i="26"/>
  <c r="K25" i="26" s="1"/>
  <c r="G29" i="26"/>
  <c r="K73" i="24"/>
  <c r="L73" i="24"/>
  <c r="J73" i="24"/>
  <c r="K58" i="24"/>
  <c r="E13" i="12"/>
  <c r="C15" i="11"/>
  <c r="C12" i="11" s="1"/>
  <c r="I19" i="11"/>
  <c r="H19" i="11"/>
  <c r="B15" i="63"/>
  <c r="B20" i="12"/>
  <c r="C182" i="24"/>
  <c r="B41" i="11"/>
  <c r="F56" i="26"/>
  <c r="D18" i="12"/>
  <c r="F39" i="11"/>
  <c r="J76" i="24"/>
  <c r="L168" i="24"/>
  <c r="J168" i="24"/>
  <c r="G52" i="26"/>
  <c r="K52" i="26" s="1"/>
  <c r="J25" i="26"/>
  <c r="D41" i="26"/>
  <c r="K41" i="26" s="1"/>
  <c r="K134" i="24"/>
  <c r="J22" i="9"/>
  <c r="I22" i="9"/>
  <c r="K34" i="26"/>
  <c r="L155" i="24"/>
  <c r="K155" i="24"/>
  <c r="G18" i="11"/>
  <c r="H26" i="8"/>
  <c r="I26" i="8"/>
  <c r="L38" i="26"/>
  <c r="I24" i="9"/>
  <c r="J24" i="9"/>
  <c r="I28" i="8"/>
  <c r="H28" i="8"/>
  <c r="H15" i="9"/>
  <c r="G39" i="26"/>
  <c r="L39" i="26" s="1"/>
  <c r="L120" i="24"/>
  <c r="H17" i="11"/>
  <c r="I17" i="11"/>
  <c r="C21" i="11"/>
  <c r="E20" i="12"/>
  <c r="F182" i="24"/>
  <c r="C9" i="8"/>
  <c r="B11" i="18"/>
  <c r="B9" i="18" s="1"/>
  <c r="G30" i="26"/>
  <c r="L30" i="26" s="1"/>
  <c r="L76" i="24"/>
  <c r="K114" i="24"/>
  <c r="D38" i="26"/>
  <c r="K38" i="26" s="1"/>
  <c r="E13" i="8"/>
  <c r="E11" i="8" s="1"/>
  <c r="D39" i="26"/>
  <c r="K120" i="24"/>
  <c r="D22" i="26"/>
  <c r="D37" i="24"/>
  <c r="K38" i="24"/>
  <c r="K45" i="24"/>
  <c r="D23" i="26"/>
  <c r="I16" i="9"/>
  <c r="J16" i="9"/>
  <c r="K47" i="26"/>
  <c r="D45" i="26"/>
  <c r="K45" i="26" s="1"/>
  <c r="F15" i="11"/>
  <c r="F12" i="11" s="1"/>
  <c r="J54" i="26"/>
  <c r="L22" i="26"/>
  <c r="J22" i="26"/>
  <c r="G159" i="24"/>
  <c r="K178" i="24"/>
  <c r="D55" i="26"/>
  <c r="K55" i="26" s="1"/>
  <c r="F28" i="63"/>
  <c r="F23" i="11"/>
  <c r="F21" i="11" s="1"/>
  <c r="E34" i="8"/>
  <c r="L16" i="24"/>
  <c r="L14" i="26" s="1"/>
  <c r="K16" i="24"/>
  <c r="K14" i="26" s="1"/>
  <c r="J16" i="24"/>
  <c r="J14" i="26" s="1"/>
  <c r="G14" i="26"/>
  <c r="J14" i="9"/>
  <c r="I14" i="9"/>
  <c r="F11" i="8"/>
  <c r="F9" i="8" s="1"/>
  <c r="G9" i="8" s="1"/>
  <c r="G13" i="8"/>
  <c r="K22" i="12"/>
  <c r="J22" i="12"/>
  <c r="J28" i="12" s="1"/>
  <c r="C10" i="63"/>
  <c r="D9" i="8"/>
  <c r="B17" i="12"/>
  <c r="B38" i="11"/>
  <c r="C39" i="11"/>
  <c r="C18" i="12"/>
  <c r="E39" i="11"/>
  <c r="D39" i="11"/>
  <c r="H20" i="12"/>
  <c r="H11" i="12" s="1"/>
  <c r="H9" i="12" s="1"/>
  <c r="I182" i="24"/>
  <c r="J155" i="24"/>
  <c r="G11" i="24"/>
  <c r="L12" i="24"/>
  <c r="L10" i="26" s="1"/>
  <c r="I22" i="12"/>
  <c r="I28" i="12" s="1"/>
  <c r="D159" i="24"/>
  <c r="J8" i="60"/>
  <c r="G37" i="8"/>
  <c r="I38" i="8"/>
  <c r="E45" i="26"/>
  <c r="L45" i="26" s="1"/>
  <c r="E25" i="18" l="1"/>
  <c r="J28" i="26"/>
  <c r="J42" i="12"/>
  <c r="J42" i="60"/>
  <c r="L11" i="15"/>
  <c r="K42" i="12"/>
  <c r="G16" i="11"/>
  <c r="H16" i="11" s="1"/>
  <c r="G36" i="26"/>
  <c r="G33" i="26" s="1"/>
  <c r="J104" i="24"/>
  <c r="J36" i="26" s="1"/>
  <c r="K40" i="26"/>
  <c r="K9" i="15"/>
  <c r="J9" i="15"/>
  <c r="L9" i="15"/>
  <c r="G9" i="26"/>
  <c r="I43" i="12"/>
  <c r="K39" i="26"/>
  <c r="J23" i="26"/>
  <c r="K50" i="26"/>
  <c r="G23" i="11"/>
  <c r="H23" i="11" s="1"/>
  <c r="G38" i="11"/>
  <c r="I38" i="11" s="1"/>
  <c r="J43" i="12"/>
  <c r="H40" i="8"/>
  <c r="H15" i="8"/>
  <c r="K27" i="26"/>
  <c r="E19" i="18"/>
  <c r="E18" i="18" s="1"/>
  <c r="G28" i="12"/>
  <c r="G22" i="12" s="1"/>
  <c r="H51" i="26"/>
  <c r="H49" i="26" s="1"/>
  <c r="H56" i="26" s="1"/>
  <c r="J41" i="12"/>
  <c r="G45" i="11"/>
  <c r="I45" i="11" s="1"/>
  <c r="K41" i="12"/>
  <c r="K42" i="60"/>
  <c r="F39" i="12"/>
  <c r="I39" i="12" s="1"/>
  <c r="G21" i="63"/>
  <c r="G19" i="63" s="1"/>
  <c r="H19" i="63" s="1"/>
  <c r="J27" i="26"/>
  <c r="L104" i="24"/>
  <c r="K43" i="26"/>
  <c r="L37" i="24"/>
  <c r="G37" i="11"/>
  <c r="F16" i="12"/>
  <c r="I16" i="12" s="1"/>
  <c r="J154" i="24"/>
  <c r="G39" i="11"/>
  <c r="I39" i="11" s="1"/>
  <c r="K154" i="24"/>
  <c r="F18" i="12"/>
  <c r="K18" i="12" s="1"/>
  <c r="E182" i="24"/>
  <c r="F12" i="63" s="1"/>
  <c r="C38" i="11"/>
  <c r="C17" i="12"/>
  <c r="E38" i="11"/>
  <c r="B35" i="11"/>
  <c r="B33" i="11" s="1"/>
  <c r="B50" i="11" s="1"/>
  <c r="B13" i="12"/>
  <c r="B11" i="12" s="1"/>
  <c r="B9" i="12" s="1"/>
  <c r="J50" i="26"/>
  <c r="J43" i="26"/>
  <c r="J11" i="15"/>
  <c r="I32" i="12"/>
  <c r="F17" i="12"/>
  <c r="I17" i="12" s="1"/>
  <c r="L26" i="26"/>
  <c r="K26" i="26"/>
  <c r="J26" i="26"/>
  <c r="J32" i="12"/>
  <c r="L94" i="24"/>
  <c r="K23" i="26"/>
  <c r="C29" i="11"/>
  <c r="J51" i="26"/>
  <c r="J37" i="24"/>
  <c r="J31" i="26"/>
  <c r="L31" i="26"/>
  <c r="L29" i="26"/>
  <c r="J29" i="26"/>
  <c r="K29" i="26"/>
  <c r="F37" i="11"/>
  <c r="F35" i="11" s="1"/>
  <c r="F33" i="11" s="1"/>
  <c r="F50" i="11" s="1"/>
  <c r="G21" i="26"/>
  <c r="K51" i="26"/>
  <c r="J30" i="26"/>
  <c r="K94" i="24"/>
  <c r="G49" i="26"/>
  <c r="L49" i="26" s="1"/>
  <c r="E11" i="12"/>
  <c r="E9" i="12" s="1"/>
  <c r="D33" i="26"/>
  <c r="K31" i="26"/>
  <c r="J9" i="26"/>
  <c r="K9" i="26"/>
  <c r="L36" i="26"/>
  <c r="K37" i="24"/>
  <c r="D49" i="26"/>
  <c r="C15" i="63"/>
  <c r="C20" i="12"/>
  <c r="E41" i="11"/>
  <c r="D182" i="24"/>
  <c r="D41" i="11"/>
  <c r="C41" i="11"/>
  <c r="K159" i="24"/>
  <c r="D21" i="26"/>
  <c r="K22" i="26"/>
  <c r="D13" i="12"/>
  <c r="G30" i="63"/>
  <c r="G26" i="11"/>
  <c r="G36" i="8"/>
  <c r="G34" i="8" s="1"/>
  <c r="I37" i="8"/>
  <c r="I36" i="8" s="1"/>
  <c r="F26" i="63"/>
  <c r="H28" i="63"/>
  <c r="K30" i="26"/>
  <c r="G20" i="12"/>
  <c r="G11" i="12" s="1"/>
  <c r="G9" i="12" s="1"/>
  <c r="H182" i="24"/>
  <c r="C16" i="12"/>
  <c r="E37" i="11"/>
  <c r="D37" i="11"/>
  <c r="D35" i="11" s="1"/>
  <c r="C37" i="11"/>
  <c r="G15" i="63"/>
  <c r="H15" i="63" s="1"/>
  <c r="F20" i="12"/>
  <c r="G41" i="11"/>
  <c r="I41" i="11" s="1"/>
  <c r="L159" i="24"/>
  <c r="J159" i="24"/>
  <c r="F10" i="63"/>
  <c r="E9" i="8"/>
  <c r="I9" i="8" s="1"/>
  <c r="I13" i="8"/>
  <c r="H13" i="8"/>
  <c r="G11" i="8"/>
  <c r="G15" i="11"/>
  <c r="F29" i="11"/>
  <c r="J15" i="9"/>
  <c r="I15" i="9"/>
  <c r="G36" i="11"/>
  <c r="F15" i="12"/>
  <c r="G182" i="24"/>
  <c r="L11" i="24"/>
  <c r="L9" i="26" s="1"/>
  <c r="K11" i="24"/>
  <c r="J11" i="24"/>
  <c r="J45" i="26"/>
  <c r="E56" i="26"/>
  <c r="I18" i="11"/>
  <c r="H18" i="11"/>
  <c r="L52" i="26"/>
  <c r="J52" i="26"/>
  <c r="H11" i="9"/>
  <c r="E16" i="18" l="1"/>
  <c r="K36" i="26"/>
  <c r="F36" i="12"/>
  <c r="K36" i="12" s="1"/>
  <c r="J39" i="12"/>
  <c r="H38" i="11"/>
  <c r="I16" i="11"/>
  <c r="J17" i="12"/>
  <c r="H39" i="11"/>
  <c r="G43" i="11"/>
  <c r="H45" i="11"/>
  <c r="K39" i="12"/>
  <c r="I23" i="11"/>
  <c r="K17" i="12"/>
  <c r="J16" i="12"/>
  <c r="K16" i="12"/>
  <c r="I18" i="12"/>
  <c r="H21" i="63"/>
  <c r="J18" i="12"/>
  <c r="B14" i="63"/>
  <c r="B12" i="63" s="1"/>
  <c r="C13" i="12"/>
  <c r="C14" i="63" s="1"/>
  <c r="C35" i="11"/>
  <c r="C33" i="11" s="1"/>
  <c r="C50" i="11" s="1"/>
  <c r="K182" i="24"/>
  <c r="I37" i="11"/>
  <c r="K33" i="26"/>
  <c r="H9" i="8"/>
  <c r="D33" i="11"/>
  <c r="D50" i="11" s="1"/>
  <c r="J49" i="26"/>
  <c r="L21" i="26"/>
  <c r="J21" i="26"/>
  <c r="K21" i="26"/>
  <c r="I43" i="11"/>
  <c r="H43" i="11"/>
  <c r="G12" i="63"/>
  <c r="L182" i="24"/>
  <c r="H41" i="11"/>
  <c r="F13" i="12"/>
  <c r="I13" i="12" s="1"/>
  <c r="K15" i="12"/>
  <c r="J15" i="12"/>
  <c r="I15" i="12"/>
  <c r="G35" i="11"/>
  <c r="H36" i="11"/>
  <c r="I36" i="11"/>
  <c r="L33" i="26"/>
  <c r="J33" i="26"/>
  <c r="D56" i="26"/>
  <c r="K49" i="26"/>
  <c r="I34" i="8"/>
  <c r="H34" i="8"/>
  <c r="E13" i="18"/>
  <c r="E9" i="18" s="1"/>
  <c r="H30" i="63"/>
  <c r="G26" i="63"/>
  <c r="H26" i="63" s="1"/>
  <c r="K20" i="12"/>
  <c r="J20" i="12"/>
  <c r="I20" i="12"/>
  <c r="G25" i="11"/>
  <c r="I26" i="11"/>
  <c r="H26" i="11"/>
  <c r="H9" i="9"/>
  <c r="J11" i="9"/>
  <c r="I11" i="9"/>
  <c r="F14" i="63"/>
  <c r="D11" i="12"/>
  <c r="H37" i="11"/>
  <c r="E35" i="11"/>
  <c r="G12" i="11"/>
  <c r="I15" i="11"/>
  <c r="H15" i="11"/>
  <c r="G56" i="26"/>
  <c r="L56" i="26" s="1"/>
  <c r="J182" i="24"/>
  <c r="G10" i="63"/>
  <c r="H11" i="8"/>
  <c r="I11" i="8"/>
  <c r="I36" i="12" l="1"/>
  <c r="J36" i="12"/>
  <c r="C11" i="12"/>
  <c r="C12" i="63" s="1"/>
  <c r="K56" i="26"/>
  <c r="I12" i="11"/>
  <c r="H12" i="11"/>
  <c r="D9" i="12"/>
  <c r="H35" i="11"/>
  <c r="E33" i="11"/>
  <c r="I9" i="9"/>
  <c r="J9" i="9"/>
  <c r="G17" i="63"/>
  <c r="G32" i="63" s="1"/>
  <c r="H10" i="63"/>
  <c r="I25" i="11"/>
  <c r="H25" i="11"/>
  <c r="G21" i="11"/>
  <c r="K13" i="12"/>
  <c r="J13" i="12"/>
  <c r="F11" i="12"/>
  <c r="J56" i="26"/>
  <c r="G14" i="63"/>
  <c r="H14" i="63" s="1"/>
  <c r="H12" i="63"/>
  <c r="G33" i="11"/>
  <c r="I35" i="11"/>
  <c r="C9" i="12" l="1"/>
  <c r="I21" i="11"/>
  <c r="H21" i="11"/>
  <c r="F9" i="12"/>
  <c r="K11" i="12"/>
  <c r="J11" i="12"/>
  <c r="E50" i="11"/>
  <c r="E52" i="11" s="1"/>
  <c r="H33" i="11"/>
  <c r="H50" i="11" s="1"/>
  <c r="I11" i="12"/>
  <c r="I9" i="12"/>
  <c r="G29" i="11"/>
  <c r="G50" i="11"/>
  <c r="I50" i="11" s="1"/>
  <c r="I33" i="11"/>
  <c r="H29" i="11" l="1"/>
  <c r="G52" i="11"/>
  <c r="I29" i="11"/>
  <c r="K9" i="12"/>
  <c r="J9" i="12"/>
  <c r="E26" i="12"/>
  <c r="F26" i="12"/>
  <c r="F24" i="12"/>
  <c r="E24" i="12"/>
  <c r="U54" i="24"/>
  <c r="A54" i="12"/>
  <c r="F23" i="12"/>
  <c r="E23" i="12"/>
  <c r="A54" i="12" a="1"/>
  <c r="F25" i="12"/>
  <c r="E25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<sst xmlns="http://schemas.openxmlformats.org/spreadsheetml/2006/main" count="1079" uniqueCount="544">
  <si>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</si>
  <si>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</si>
  <si>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</si>
  <si>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</si>
  <si>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</si>
  <si>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</si>
  <si>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</si>
  <si>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</si>
  <si>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</si>
  <si>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</si>
  <si>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</si>
  <si>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</si>
  <si>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</si>
  <si>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</si>
  <si>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</si>
  <si>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</si>
  <si>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</si>
  <si>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</si>
  <si>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</si>
  <si>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</si>
  <si>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</si>
  <si>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</si>
  <si>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</si>
  <si>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</si>
  <si>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VARIACION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</si>
  <si>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</si>
  <si>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</si>
  <si>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</si>
  <si>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</si>
  <si>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</si>
  <si>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</si>
  <si>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   4. Ingresos Varios</t>
  </si>
  <si>
    <t xml:space="preserve"> II  Ingreso de Capital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</si>
  <si>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</si>
  <si>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</si>
  <si>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</si>
  <si>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</si>
  <si>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OTROS - BIBLIOTECA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</si>
  <si>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</si>
  <si>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</si>
  <si>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</si>
  <si>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</si>
  <si>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SALDO A LA FECHA</t>
  </si>
  <si>
    <t>EJECUCIÓN PORCENTUAL</t>
  </si>
  <si>
    <t>COMPROMETIDO</t>
  </si>
  <si>
    <t>PAGADO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</si>
  <si>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</si>
  <si>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</si>
  <si>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</si>
  <si>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</si>
  <si>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</si>
  <si>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ANUAL</t>
  </si>
  <si>
    <t>DIRECCION Y ADMON  GENERAL</t>
  </si>
  <si>
    <t>EDUC. SUPERIOR TECNOLOGICA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</si>
  <si>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</si>
  <si>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</si>
  <si>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</si>
  <si>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</si>
  <si>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</si>
  <si>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</si>
  <si>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</si>
  <si>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</si>
  <si>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</si>
  <si>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AL 30 DE SEPTIEMBRE DE 2025 (En Balboas)</t>
  </si>
  <si>
    <t>CODIFICACIÓN</t>
  </si>
  <si>
    <t>RECAUDACION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</si>
  <si>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</si>
  <si>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</si>
  <si>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</si>
  <si>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</si>
  <si>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</si>
  <si>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</si>
  <si>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</si>
  <si>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</si>
  <si>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</si>
  <si>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</si>
  <si>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</si>
  <si>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</si>
  <si>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</si>
  <si>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</si>
  <si>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</si>
  <si>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</si>
  <si>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</si>
  <si>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</si>
  <si>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</si>
  <si>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</si>
  <si>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</si>
  <si>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</si>
  <si>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</si>
  <si>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</si>
  <si>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</si>
  <si>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</si>
  <si>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1.95.1.2.4.1.97</t>
  </si>
  <si>
    <t xml:space="preserve">      3.3. Otros  -Biblioteca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</si>
  <si>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</si>
  <si>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</si>
  <si>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</si>
  <si>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</si>
  <si>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</si>
  <si>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</si>
  <si>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</si>
  <si>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</si>
  <si>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</si>
  <si>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</si>
  <si>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</si>
  <si>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</si>
  <si>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</si>
  <si>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</si>
  <si>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</si>
  <si>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</si>
  <si>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</si>
  <si>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</si>
  <si>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</si>
  <si>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</si>
  <si>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</si>
  <si>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</si>
  <si>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</si>
  <si>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 xml:space="preserve">  CODIFICACION PRESUPUESTARIA</t>
  </si>
  <si>
    <t xml:space="preserve"> RECAUDACION</t>
  </si>
  <si>
    <t>ACUMULADA</t>
  </si>
  <si>
    <t>ABOLUTA</t>
  </si>
  <si>
    <t xml:space="preserve">    LABORATORIOS Y C. ESPECIALIZADOS</t>
  </si>
  <si>
    <t xml:space="preserve"> 1.2.1.4.12</t>
  </si>
  <si>
    <t xml:space="preserve"> 1.2.1.4.99</t>
  </si>
  <si>
    <t>1.2.4.1.24</t>
  </si>
  <si>
    <t>1.2.4.1.97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</si>
  <si>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</si>
  <si>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</si>
  <si>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</si>
  <si>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</si>
  <si>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</si>
  <si>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</si>
  <si>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</si>
  <si>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</si>
  <si>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</si>
  <si>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</si>
  <si>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</si>
  <si>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</si>
  <si>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</si>
  <si>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</si>
  <si>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>AL 30 DE SEPIEMBRE DE 2025 (En Miles de Balboas)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</si>
  <si>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</si>
  <si>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</si>
  <si>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</si>
  <si>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</si>
  <si>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</si>
  <si>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</si>
  <si>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</si>
  <si>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</si>
  <si>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</si>
  <si>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</si>
  <si>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</si>
  <si>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</si>
  <si>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</si>
  <si>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</si>
  <si>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</si>
  <si>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</si>
  <si>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</si>
  <si>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</si>
  <si>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</si>
  <si>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</si>
  <si>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</si>
  <si>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</si>
  <si>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</si>
  <si>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</si>
  <si>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</si>
  <si>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</si>
  <si>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</si>
  <si>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</si>
  <si>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</si>
  <si>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</si>
  <si>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</si>
  <si>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</si>
  <si>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</si>
  <si>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</si>
  <si>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</si>
  <si>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</si>
  <si>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</si>
  <si>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</si>
  <si>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</si>
  <si>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</si>
  <si>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</si>
  <si>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</si>
  <si>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</si>
  <si>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II  Gastos DE CAPITAL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</si>
  <si>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</si>
  <si>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</si>
  <si>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</si>
  <si>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</si>
  <si>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</si>
  <si>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 xml:space="preserve"> OBJETO DE GASTO: AL 30 DE SEPTIEMBRE  DE 2025</t>
  </si>
  <si>
    <t>O/G</t>
  </si>
  <si>
    <t>EJECUCIÓN</t>
  </si>
  <si>
    <t>DEVENGADO ACUMULADO</t>
  </si>
  <si>
    <t>PAGADO ACUMULADO</t>
  </si>
  <si>
    <t>EJECUCIÓN  PORCENTUAL</t>
  </si>
  <si>
    <t>COLUMNA SUMATORIA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</si>
  <si>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</si>
  <si>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</si>
  <si>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</si>
  <si>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</si>
  <si>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</si>
  <si>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</si>
  <si>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</si>
  <si>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</si>
  <si>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</si>
  <si>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</si>
  <si>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</si>
  <si>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</si>
  <si>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</si>
  <si>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</si>
  <si>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</si>
  <si>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</si>
  <si>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</si>
  <si>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</si>
  <si>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</si>
  <si>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</si>
  <si>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</si>
  <si>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</si>
  <si>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</si>
  <si>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</si>
  <si>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</si>
  <si>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</si>
  <si>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</si>
  <si>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</si>
  <si>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</si>
  <si>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</si>
  <si>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</si>
  <si>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</si>
  <si>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</si>
  <si>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</si>
  <si>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</si>
  <si>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</si>
  <si>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</si>
  <si>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</si>
  <si>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</si>
  <si>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</si>
  <si>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</si>
  <si>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</si>
  <si>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</si>
  <si>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</si>
  <si>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</si>
  <si>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097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</si>
  <si>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</si>
  <si>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</si>
  <si>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</si>
  <si>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</si>
  <si>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</si>
  <si>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</si>
  <si>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</si>
  <si>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</si>
  <si>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</si>
  <si>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</si>
  <si>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</si>
  <si>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</si>
  <si>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</si>
  <si>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</si>
  <si>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</si>
  <si>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</si>
  <si>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</si>
  <si>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</si>
  <si>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</si>
  <si>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</si>
  <si>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</si>
  <si>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</si>
  <si>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</si>
  <si>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</si>
  <si>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</si>
  <si>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</si>
  <si>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</si>
  <si>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</si>
  <si>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</si>
  <si>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</si>
  <si>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</si>
  <si>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</si>
  <si>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</si>
  <si>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</si>
  <si>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</si>
  <si>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</si>
  <si>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</si>
  <si>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</si>
  <si>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</si>
  <si>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</si>
  <si>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</si>
  <si>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</si>
  <si>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</si>
  <si>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</si>
  <si>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</si>
  <si>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</si>
  <si>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</si>
  <si>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</si>
  <si>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</si>
  <si>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</si>
  <si>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</si>
  <si>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</si>
  <si>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 xml:space="preserve">                                                                                                                            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</si>
  <si>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</si>
  <si>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</si>
  <si>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</si>
  <si>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</si>
  <si>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</si>
  <si>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</si>
  <si>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</si>
  <si>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</si>
  <si>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</si>
  <si>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</si>
  <si>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</si>
  <si>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</si>
  <si>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</si>
  <si>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</si>
  <si>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</si>
  <si>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</si>
  <si>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</si>
  <si>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</si>
  <si>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</si>
  <si>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</si>
  <si>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</si>
  <si>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</si>
  <si>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</si>
  <si>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</si>
  <si>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</si>
  <si>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</si>
  <si>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</si>
  <si>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</si>
  <si>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</si>
  <si>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</si>
  <si>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</si>
  <si>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</si>
  <si>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</si>
  <si>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</si>
  <si>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</si>
  <si>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</si>
  <si>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</si>
  <si>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</si>
  <si>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</si>
  <si>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</si>
  <si>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</si>
  <si>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</si>
  <si>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</si>
  <si>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</si>
  <si>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</si>
  <si>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</si>
  <si>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</si>
  <si>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</si>
  <si>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</si>
  <si>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</si>
  <si>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</si>
  <si>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</si>
  <si>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</si>
  <si>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</si>
  <si>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</si>
  <si>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</si>
  <si>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</si>
  <si>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</si>
  <si>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</si>
  <si>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</si>
  <si>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</si>
  <si>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</si>
  <si>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</si>
  <si>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</si>
  <si>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</si>
  <si>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</si>
  <si>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</si>
  <si>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</si>
  <si>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</si>
  <si>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</si>
  <si>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</si>
  <si>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</si>
  <si>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</si>
  <si>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</si>
  <si>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</si>
  <si>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</si>
  <si>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</si>
  <si>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</si>
  <si>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</si>
  <si>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</si>
  <si>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</si>
  <si>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</si>
  <si>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</si>
  <si>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</si>
  <si>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</si>
  <si>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</si>
  <si>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</si>
  <si>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</si>
  <si>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</si>
  <si>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</si>
  <si>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</si>
  <si>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</si>
  <si>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</si>
  <si>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</si>
  <si>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</si>
  <si>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</si>
  <si>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</si>
  <si>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</si>
  <si>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</si>
  <si>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|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</si>
  <si>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</si>
  <si>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</si>
  <si>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</si>
  <si>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</si>
  <si>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</si>
  <si>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</si>
  <si>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</si>
  <si>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</si>
  <si>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</si>
  <si>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</si>
  <si>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</si>
  <si>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</si>
  <si>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</si>
  <si>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</si>
  <si>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</si>
  <si>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UTILES DE ASEO</t>
  </si>
  <si>
    <t>274</t>
  </si>
  <si>
    <t>UTILES DE LABORATORIOS</t>
  </si>
  <si>
    <t>275</t>
  </si>
  <si>
    <t>UTILES DE OFICINA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</si>
  <si>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</si>
  <si>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</si>
  <si>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</si>
  <si>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</si>
  <si>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</si>
  <si>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</si>
  <si>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</si>
  <si>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</si>
  <si>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</si>
  <si>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</si>
  <si>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</si>
  <si>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</si>
  <si>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</si>
  <si>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</si>
  <si>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</si>
  <si>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</si>
  <si>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</si>
  <si>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</si>
  <si>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</si>
  <si>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</si>
  <si>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</si>
  <si>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</si>
  <si>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</si>
  <si>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</si>
  <si>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</si>
  <si>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</si>
  <si>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</si>
  <si>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</si>
  <si>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</si>
  <si>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</si>
  <si>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</si>
  <si>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</si>
  <si>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</si>
  <si>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</si>
  <si>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622</t>
  </si>
  <si>
    <t>BECAS UNIVERSITARIAS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</si>
  <si>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</si>
  <si>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</si>
  <si>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</si>
  <si>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</si>
  <si>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</si>
  <si>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</si>
  <si>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</si>
  <si>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</si>
  <si>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</si>
  <si>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</si>
  <si>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</si>
  <si>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</si>
  <si>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</si>
  <si>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</si>
  <si>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</si>
  <si>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</si>
  <si>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UNIVERSIDAD TECNOLÓGICA DE PANAMA</t>
  </si>
  <si>
    <t xml:space="preserve"> EJECUCION PRESUPUESTARIA  DE FUNCIONAMIENTO </t>
  </si>
  <si>
    <t xml:space="preserve"> NIVEL DE CUENTA AL 30 DE SEPTIEMBRE DE 2025 (En Balboas) </t>
  </si>
  <si>
    <t>CTA.</t>
  </si>
  <si>
    <t>120</t>
  </si>
  <si>
    <t>CR.REC.POR S. NO PERS.</t>
  </si>
  <si>
    <t>PENSIÓN Y JUBILACIONES</t>
  </si>
  <si>
    <t>TRANSF. CORRIENTES A INST.PUB.</t>
  </si>
  <si>
    <t>CRED. REC. POR TRANSF.</t>
  </si>
  <si>
    <t xml:space="preserve">    Fuente: Dirección Nacional de Presupuesto.</t>
  </si>
  <si>
    <t xml:space="preserve">  EJECUCION PRESUPUESTARIA SEGÚN ESTRUCTURA PROGRAMATICA  </t>
  </si>
  <si>
    <t xml:space="preserve">   AL 30 DE SEPTIEMBRE DE 2025 (En Balboas)</t>
  </si>
  <si>
    <t>P</t>
  </si>
  <si>
    <t>SALDO  A LA FECHA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</si>
  <si>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</si>
  <si>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</si>
  <si>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</si>
  <si>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</si>
  <si>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</si>
  <si>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</si>
  <si>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</si>
  <si>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</si>
  <si>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</si>
  <si>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</si>
  <si>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</si>
  <si>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POR PROGRAMA  AL 30 DE  SEPTIEMBRE DE 2025 (En Balboas)</t>
  </si>
  <si>
    <t>PROGRAMAS-PROYECTOS</t>
  </si>
  <si>
    <t>SALDO ANUAL</t>
  </si>
  <si>
    <t>PROGRAMA DE CONSTRUCCIONES</t>
  </si>
  <si>
    <t>CONSTRUCCION II FASE DEL PROYECTO DEL CAMPUS CENTRAL</t>
  </si>
  <si>
    <t>MANTENIMIENTO PREVENTIVO Y CORRECTIVO DE LA INFRAESTRUCTURA FISICA Y PATRIMONIAL DE LA UTP A NIVEL NACIONAL.</t>
  </si>
  <si>
    <t>REHABILITACIÓN DE LOS ESTACIONAMIENTOS DEL CENTRO REGIONAL CHIRIQUÍ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</si>
  <si>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</si>
  <si>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</si>
  <si>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</si>
  <si>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FORTALECIMIENTO DE LA SEDE REGIONAL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</si>
  <si>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</si>
  <si>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</si>
  <si>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</si>
  <si>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</si>
  <si>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</si>
  <si>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</si>
  <si>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</si>
  <si>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</si>
  <si>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</si>
  <si>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DEL LABORATORIO DE ANÁLISIS INDUSTRIALES Y CIENCIA (LABAICA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</si>
  <si>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</si>
  <si>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</si>
  <si>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</si>
  <si>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MEJORAMIENTO DE LAB. ACADÉMICOS Y DE ÁREAS DOCENTES Y ADM. FII-UTP</t>
  </si>
  <si>
    <t>HABILITACIÓN DE LABORATORIOS DE QUÍMICA CAMPUS CENTRAL</t>
  </si>
  <si>
    <t>INVESTIGACION Y TRANSFERENCIA DE TECNOLOGÍA</t>
  </si>
  <si>
    <t>DESARROLLO DE CONSULTORÍAS PARA PROYECOTS DE ESTADO</t>
  </si>
  <si>
    <t>FORTALECIMIENTO DE LA GESTIÓN DE PATENTES TECNOLÓGICAS</t>
  </si>
  <si>
    <t>DESARROLLO DEL CENTRO DE ESTUDIOS MULTIDISCIPLINARIO EN CIENCIAS</t>
  </si>
  <si>
    <t>DESARROLLO DEL HUB DE FORMACIÓN PARA LA TRANSFORMACIÓN DIGITAL E INDUSTRA 4.0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</si>
  <si>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</si>
  <si>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</si>
  <si>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</si>
  <si>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</si>
  <si>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</si>
  <si>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</si>
  <si>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</si>
  <si>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</si>
  <si>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</si>
  <si>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</si>
  <si>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</si>
  <si>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Inversiòn Fisica  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</si>
  <si>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</si>
  <si>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</si>
  <si>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</si>
  <si>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</si>
  <si>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</si>
  <si>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</si>
  <si>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</si>
  <si>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VI. Resultado Presupuestario (III -1V + 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</si>
</sst>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.0"/>
    <numFmt numFmtId="170" formatCode="#,##0\ ;\(#,##0\)"/>
    <numFmt numFmtId="171" formatCode="#,##0.000000000"/>
    <numFmt numFmtId="172" formatCode="#,##0.0\ ;\(#,##0.0\)"/>
    <numFmt numFmtId="173" formatCode="#,##0.0_);[Red]\(#,##0.0\)"/>
    <numFmt numFmtId="174" formatCode="dd/mmm"/>
  </numFmts>
  <fonts count="78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10"/>
      <name val="Arial Black"/>
      <family val="2"/>
    </font>
    <font>
      <b/>
      <sz val="8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</fills>
  <borders count="156">
    <border>
      <left/>
      <right/>
      <top/>
      <bottom/>
      <diagonal/>
    </border>
    <border>
      <left/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3" tint="-0.499984740745262"/>
      </right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 style="thin">
        <color auto="1"/>
      </top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/>
      <top/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/>
      <top style="thin">
        <color indexed="62"/>
      </top>
      <bottom/>
      <diagonal/>
    </border>
    <border>
      <left/>
      <right/>
      <top style="thin">
        <color indexed="62"/>
      </top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/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auto="1"/>
      </top>
      <bottom style="thin">
        <color auto="1"/>
      </bottom>
      <diagonal/>
    </border>
    <border>
      <left/>
      <right style="thin">
        <color indexed="62"/>
      </right>
      <top style="thin">
        <color rgb="FF000066"/>
      </top>
      <bottom style="thin">
        <color rgb="FF000066"/>
      </bottom>
      <diagonal/>
    </border>
    <border>
      <left style="thin">
        <color indexed="62"/>
      </left>
      <right style="thin">
        <color indexed="62"/>
      </right>
      <top style="thin">
        <color rgb="FF000066"/>
      </top>
      <bottom style="thin">
        <color rgb="FF000066"/>
      </bottom>
      <diagonal/>
    </border>
    <border>
      <left/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/>
      <bottom style="thin">
        <color indexed="62"/>
      </bottom>
      <diagonal/>
    </border>
    <border>
      <left style="thin">
        <color indexed="62"/>
      </left>
      <right/>
      <top style="thin">
        <color indexed="62"/>
      </top>
      <bottom style="thin">
        <color auto="1"/>
      </bottom>
      <diagonal/>
    </border>
    <border>
      <left style="thin">
        <color indexed="62"/>
      </left>
      <right/>
      <top style="thin">
        <color auto="1"/>
      </top>
      <bottom style="thin">
        <color auto="1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 style="thin">
        <color indexed="62"/>
      </left>
      <right/>
      <top style="thin">
        <color rgb="FF000066"/>
      </top>
      <bottom style="thin">
        <color rgb="FF000066"/>
      </bottom>
      <diagonal/>
    </border>
    <border>
      <left/>
      <right style="thin">
        <color theme="3" tint="-0.499984740745262"/>
      </right>
      <top style="medium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medium">
        <color auto="1"/>
      </top>
      <bottom/>
      <diagonal/>
    </border>
    <border>
      <left style="thin">
        <color theme="3" tint="-0.499984740745262"/>
      </left>
      <right/>
      <top style="medium">
        <color auto="1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auto="1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/>
      <right style="thin">
        <color indexed="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 style="thin">
        <color indexed="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/>
      <top style="medium">
        <color rgb="FF000066"/>
      </top>
      <bottom style="medium">
        <color rgb="FF000066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/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2"/>
      </left>
      <right style="thin">
        <color indexed="62"/>
      </right>
      <top style="medium">
        <color auto="1"/>
      </top>
      <bottom style="medium">
        <color auto="1"/>
      </bottom>
      <diagonal/>
    </border>
    <border>
      <left/>
      <right style="thin">
        <color indexed="62"/>
      </right>
      <top style="medium">
        <color auto="1"/>
      </top>
      <bottom style="medium">
        <color auto="1"/>
      </bottom>
      <diagonal/>
    </border>
    <border>
      <left style="thin">
        <color indexed="62"/>
      </left>
      <right/>
      <top style="medium">
        <color auto="1"/>
      </top>
      <bottom style="medium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medium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medium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/>
      <right style="thin">
        <color theme="3" tint="-0.499984740745262"/>
      </right>
      <top/>
      <bottom style="medium">
        <color rgb="FF002060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medium">
        <color rgb="FF002060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/>
      <top/>
      <bottom style="medium">
        <color rgb="FF002060"/>
      </bottom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thin">
        <color auto="1"/>
      </bottom>
      <diagonal/>
    </border>
    <border>
      <left/>
      <right/>
      <top style="thin">
        <color rgb="FF002060"/>
      </top>
      <bottom style="thin">
        <color auto="1"/>
      </bottom>
      <diagonal/>
    </border>
    <border>
      <left/>
      <right style="thin">
        <color rgb="FF002060"/>
      </right>
      <top style="thin">
        <color rgb="FF002060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3" tint="-0.499984740745262"/>
      </bottom>
      <diagonal/>
    </border>
    <border>
      <left style="thin">
        <color auto="1"/>
      </left>
      <right/>
      <top style="thin">
        <color auto="1"/>
      </top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auto="1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auto="1"/>
      </top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 style="thin">
        <color auto="1"/>
      </left>
      <right style="thin">
        <color rgb="FF002060"/>
      </right>
      <top/>
      <bottom/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auto="1"/>
      </right>
      <top/>
      <bottom style="thin">
        <color auto="1"/>
      </bottom>
      <diagonal/>
    </border>
    <border>
      <left style="thin">
        <color rgb="FF002060"/>
      </left>
      <right/>
      <top/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/>
      <bottom style="thin">
        <color indexed="18"/>
      </bottom>
      <diagonal/>
    </border>
    <border>
      <left/>
      <right style="thin">
        <color rgb="FF002060"/>
      </right>
      <top style="thin">
        <color rgb="FF002060"/>
      </top>
      <bottom style="thin">
        <color indexed="62"/>
      </bottom>
      <diagonal/>
    </border>
    <border>
      <left/>
      <right style="thin">
        <color rgb="FF002060"/>
      </right>
      <top style="thin">
        <color indexed="62"/>
      </top>
      <bottom style="thin">
        <color indexed="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/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</borders>
  <cellStyleXfs count="6">
    <xf numFmtId="0" fontId="0" fillId="0" borderId="0"/>
    <xf numFmtId="164" fontId="39" fillId="0" borderId="0" applyFill="0" applyBorder="0" applyAlignment="0" applyProtection="0"/>
    <xf numFmtId="165" fontId="39" fillId="0" borderId="0" applyFill="0" applyBorder="0" applyAlignment="0" applyProtection="0"/>
    <xf numFmtId="0" fontId="39" fillId="0" borderId="0"/>
    <xf numFmtId="0" fontId="39" fillId="0" borderId="0"/>
    <xf numFmtId="0" fontId="62" fillId="0" borderId="0"/>
  </cellStyleXfs>
  <cellXfs count="718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8" xfId="0" applyBorder="1"/>
    <xf numFmtId="0" fontId="7" fillId="0" borderId="0" xfId="0" applyFont="1"/>
    <xf numFmtId="0" fontId="8" fillId="0" borderId="0" xfId="0" applyFont="1" applyAlignment="1">
      <alignment horizontal="center"/>
    </xf>
    <xf numFmtId="3" fontId="14" fillId="0" borderId="0" xfId="0" applyNumberFormat="1" applyFont="1"/>
    <xf numFmtId="4" fontId="0" fillId="0" borderId="0" xfId="0" applyNumberFormat="1"/>
    <xf numFmtId="0" fontId="5" fillId="0" borderId="0" xfId="0" applyFont="1"/>
    <xf numFmtId="0" fontId="16" fillId="0" borderId="0" xfId="0" applyFont="1"/>
    <xf numFmtId="0" fontId="18" fillId="0" borderId="0" xfId="0" applyFont="1"/>
    <xf numFmtId="0" fontId="7" fillId="4" borderId="12" xfId="0" applyFont="1" applyFill="1" applyBorder="1" applyAlignment="1">
      <alignment horizontal="center" vertical="center"/>
    </xf>
    <xf numFmtId="0" fontId="7" fillId="4" borderId="31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3" fontId="8" fillId="0" borderId="16" xfId="0" applyNumberFormat="1" applyFont="1" applyBorder="1"/>
    <xf numFmtId="3" fontId="8" fillId="0" borderId="32" xfId="0" applyNumberFormat="1" applyFont="1" applyBorder="1"/>
    <xf numFmtId="4" fontId="8" fillId="0" borderId="32" xfId="0" applyNumberFormat="1" applyFont="1" applyBorder="1"/>
    <xf numFmtId="3" fontId="18" fillId="0" borderId="6" xfId="0" applyNumberFormat="1" applyFont="1" applyBorder="1"/>
    <xf numFmtId="3" fontId="18" fillId="0" borderId="33" xfId="0" applyNumberFormat="1" applyFont="1" applyBorder="1"/>
    <xf numFmtId="4" fontId="18" fillId="0" borderId="33" xfId="0" applyNumberFormat="1" applyFont="1" applyBorder="1"/>
    <xf numFmtId="0" fontId="0" fillId="0" borderId="34" xfId="0" applyBorder="1" applyAlignment="1">
      <alignment horizontal="left" vertical="center" wrapText="1"/>
    </xf>
    <xf numFmtId="3" fontId="18" fillId="0" borderId="6" xfId="0" applyNumberFormat="1" applyFont="1" applyBorder="1" applyAlignment="1">
      <alignment vertical="center"/>
    </xf>
    <xf numFmtId="3" fontId="18" fillId="0" borderId="33" xfId="0" applyNumberFormat="1" applyFont="1" applyBorder="1" applyAlignment="1">
      <alignment vertical="center"/>
    </xf>
    <xf numFmtId="4" fontId="18" fillId="0" borderId="33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7" fillId="0" borderId="35" xfId="0" applyFont="1" applyBorder="1" applyAlignment="1">
      <alignment horizontal="center" vertical="center"/>
    </xf>
    <xf numFmtId="3" fontId="8" fillId="3" borderId="36" xfId="0" applyNumberFormat="1" applyFont="1" applyFill="1" applyBorder="1"/>
    <xf numFmtId="0" fontId="0" fillId="0" borderId="34" xfId="0" applyBorder="1" applyAlignment="1">
      <alignment wrapText="1"/>
    </xf>
    <xf numFmtId="3" fontId="18" fillId="3" borderId="6" xfId="0" applyNumberFormat="1" applyFont="1" applyFill="1" applyBorder="1"/>
    <xf numFmtId="3" fontId="18" fillId="3" borderId="33" xfId="0" applyNumberFormat="1" applyFont="1" applyFill="1" applyBorder="1"/>
    <xf numFmtId="3" fontId="19" fillId="0" borderId="33" xfId="0" applyNumberFormat="1" applyFont="1" applyBorder="1"/>
    <xf numFmtId="3" fontId="18" fillId="3" borderId="0" xfId="0" applyNumberFormat="1" applyFont="1" applyFill="1"/>
    <xf numFmtId="0" fontId="0" fillId="0" borderId="27" xfId="0" applyBorder="1"/>
    <xf numFmtId="0" fontId="0" fillId="0" borderId="12" xfId="0" applyBorder="1"/>
    <xf numFmtId="0" fontId="0" fillId="0" borderId="17" xfId="0" applyBorder="1"/>
    <xf numFmtId="3" fontId="0" fillId="0" borderId="18" xfId="0" applyNumberFormat="1" applyBorder="1"/>
    <xf numFmtId="3" fontId="0" fillId="0" borderId="12" xfId="0" applyNumberFormat="1" applyBorder="1"/>
    <xf numFmtId="4" fontId="0" fillId="0" borderId="12" xfId="0" applyNumberFormat="1" applyBorder="1"/>
    <xf numFmtId="0" fontId="0" fillId="0" borderId="25" xfId="0" applyBorder="1"/>
    <xf numFmtId="0" fontId="0" fillId="0" borderId="10" xfId="0" applyBorder="1"/>
    <xf numFmtId="3" fontId="0" fillId="0" borderId="25" xfId="0" applyNumberFormat="1" applyBorder="1"/>
    <xf numFmtId="3" fontId="0" fillId="0" borderId="10" xfId="0" applyNumberFormat="1" applyBorder="1"/>
    <xf numFmtId="0" fontId="7" fillId="0" borderId="37" xfId="0" applyFont="1" applyBorder="1" applyAlignment="1">
      <alignment horizontal="center" vertical="center"/>
    </xf>
    <xf numFmtId="3" fontId="8" fillId="0" borderId="12" xfId="0" applyNumberFormat="1" applyFont="1" applyBorder="1"/>
    <xf numFmtId="3" fontId="8" fillId="0" borderId="17" xfId="0" applyNumberFormat="1" applyFont="1" applyBorder="1"/>
    <xf numFmtId="3" fontId="8" fillId="0" borderId="18" xfId="0" applyNumberFormat="1" applyFont="1" applyBorder="1"/>
    <xf numFmtId="4" fontId="8" fillId="0" borderId="12" xfId="0" applyNumberFormat="1" applyFont="1" applyBorder="1"/>
    <xf numFmtId="0" fontId="0" fillId="0" borderId="34" xfId="0" applyBorder="1" applyAlignment="1">
      <alignment horizontal="left" vertical="center"/>
    </xf>
    <xf numFmtId="3" fontId="18" fillId="0" borderId="7" xfId="0" applyNumberFormat="1" applyFont="1" applyBorder="1"/>
    <xf numFmtId="3" fontId="19" fillId="0" borderId="0" xfId="0" applyNumberFormat="1" applyFont="1"/>
    <xf numFmtId="3" fontId="18" fillId="0" borderId="11" xfId="0" applyNumberFormat="1" applyFont="1" applyBorder="1"/>
    <xf numFmtId="3" fontId="18" fillId="0" borderId="38" xfId="0" applyNumberFormat="1" applyFont="1" applyBorder="1"/>
    <xf numFmtId="0" fontId="0" fillId="0" borderId="34" xfId="0" applyBorder="1" applyAlignment="1">
      <alignment vertical="center"/>
    </xf>
    <xf numFmtId="3" fontId="19" fillId="0" borderId="39" xfId="0" applyNumberFormat="1" applyFont="1" applyBorder="1"/>
    <xf numFmtId="3" fontId="18" fillId="3" borderId="11" xfId="0" applyNumberFormat="1" applyFont="1" applyFill="1" applyBorder="1"/>
    <xf numFmtId="3" fontId="18" fillId="3" borderId="38" xfId="0" applyNumberFormat="1" applyFont="1" applyFill="1" applyBorder="1"/>
    <xf numFmtId="0" fontId="0" fillId="0" borderId="8" xfId="0" applyBorder="1" applyAlignment="1">
      <alignment horizontal="left" vertical="center" wrapText="1"/>
    </xf>
    <xf numFmtId="3" fontId="19" fillId="0" borderId="14" xfId="0" applyNumberFormat="1" applyFont="1" applyBorder="1"/>
    <xf numFmtId="3" fontId="19" fillId="0" borderId="11" xfId="0" applyNumberFormat="1" applyFont="1" applyBorder="1"/>
    <xf numFmtId="4" fontId="8" fillId="0" borderId="16" xfId="0" applyNumberFormat="1" applyFont="1" applyBorder="1"/>
    <xf numFmtId="0" fontId="12" fillId="0" borderId="0" xfId="0" applyFont="1"/>
    <xf numFmtId="0" fontId="14" fillId="0" borderId="0" xfId="0" applyFont="1" applyAlignment="1">
      <alignment horizontal="left" vertical="center" wrapText="1"/>
    </xf>
    <xf numFmtId="169" fontId="0" fillId="0" borderId="0" xfId="0" applyNumberFormat="1"/>
    <xf numFmtId="0" fontId="7" fillId="4" borderId="4" xfId="0" applyFont="1" applyFill="1" applyBorder="1" applyAlignment="1">
      <alignment horizontal="center" vertical="center" wrapText="1"/>
    </xf>
    <xf numFmtId="3" fontId="8" fillId="0" borderId="4" xfId="0" applyNumberFormat="1" applyFont="1" applyBorder="1"/>
    <xf numFmtId="168" fontId="8" fillId="0" borderId="15" xfId="0" applyNumberFormat="1" applyFont="1" applyBorder="1"/>
    <xf numFmtId="170" fontId="18" fillId="0" borderId="33" xfId="0" applyNumberFormat="1" applyFont="1" applyBorder="1"/>
    <xf numFmtId="3" fontId="18" fillId="0" borderId="0" xfId="0" applyNumberFormat="1" applyFont="1"/>
    <xf numFmtId="168" fontId="18" fillId="0" borderId="14" xfId="0" applyNumberFormat="1" applyFont="1" applyBorder="1"/>
    <xf numFmtId="170" fontId="18" fillId="0" borderId="33" xfId="0" applyNumberFormat="1" applyFont="1" applyBorder="1" applyAlignment="1">
      <alignment vertical="center" wrapText="1"/>
    </xf>
    <xf numFmtId="3" fontId="18" fillId="0" borderId="0" xfId="0" applyNumberFormat="1" applyFont="1" applyAlignment="1">
      <alignment vertical="center"/>
    </xf>
    <xf numFmtId="168" fontId="18" fillId="0" borderId="14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70" fontId="18" fillId="0" borderId="33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3" fontId="8" fillId="0" borderId="31" xfId="0" applyNumberFormat="1" applyFont="1" applyBorder="1"/>
    <xf numFmtId="3" fontId="8" fillId="0" borderId="27" xfId="0" applyNumberFormat="1" applyFont="1" applyBorder="1"/>
    <xf numFmtId="168" fontId="8" fillId="0" borderId="17" xfId="0" applyNumberFormat="1" applyFont="1" applyBorder="1"/>
    <xf numFmtId="3" fontId="2" fillId="0" borderId="0" xfId="0" applyNumberFormat="1" applyFont="1"/>
    <xf numFmtId="0" fontId="14" fillId="5" borderId="37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/>
    </xf>
    <xf numFmtId="0" fontId="14" fillId="5" borderId="45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0" fontId="14" fillId="5" borderId="44" xfId="0" applyFont="1" applyFill="1" applyBorder="1" applyAlignment="1">
      <alignment horizontal="center" vertical="center"/>
    </xf>
    <xf numFmtId="3" fontId="14" fillId="5" borderId="44" xfId="0" applyNumberFormat="1" applyFont="1" applyFill="1" applyBorder="1" applyAlignment="1">
      <alignment horizontal="center" vertical="center" wrapText="1"/>
    </xf>
    <xf numFmtId="0" fontId="12" fillId="6" borderId="34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/>
    </xf>
    <xf numFmtId="0" fontId="20" fillId="3" borderId="6" xfId="0" applyFont="1" applyFill="1" applyBorder="1" applyAlignment="1">
      <alignment horizontal="center" vertical="center"/>
    </xf>
    <xf numFmtId="0" fontId="20" fillId="3" borderId="47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 wrapText="1"/>
    </xf>
    <xf numFmtId="3" fontId="20" fillId="3" borderId="6" xfId="0" applyNumberFormat="1" applyFont="1" applyFill="1" applyBorder="1" applyAlignment="1">
      <alignment horizontal="center" vertical="center" wrapText="1"/>
    </xf>
    <xf numFmtId="0" fontId="14" fillId="0" borderId="34" xfId="0" applyFont="1" applyBorder="1"/>
    <xf numFmtId="0" fontId="7" fillId="0" borderId="6" xfId="0" applyFont="1" applyBorder="1" applyAlignment="1">
      <alignment horizontal="center" vertical="center"/>
    </xf>
    <xf numFmtId="3" fontId="7" fillId="0" borderId="6" xfId="0" applyNumberFormat="1" applyFont="1" applyBorder="1" applyAlignment="1">
      <alignment horizontal="right" vertical="center"/>
    </xf>
    <xf numFmtId="3" fontId="7" fillId="0" borderId="6" xfId="0" applyNumberFormat="1" applyFont="1" applyBorder="1" applyAlignment="1">
      <alignment horizontal="center" vertical="center"/>
    </xf>
    <xf numFmtId="3" fontId="7" fillId="0" borderId="47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3" fontId="21" fillId="0" borderId="6" xfId="0" applyNumberFormat="1" applyFont="1" applyBorder="1" applyAlignment="1">
      <alignment horizontal="center" vertical="center"/>
    </xf>
    <xf numFmtId="0" fontId="22" fillId="0" borderId="34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2" fillId="0" borderId="6" xfId="0" applyFont="1" applyBorder="1"/>
    <xf numFmtId="3" fontId="0" fillId="0" borderId="6" xfId="0" applyNumberFormat="1" applyBorder="1" applyAlignment="1">
      <alignment horizontal="right"/>
    </xf>
    <xf numFmtId="3" fontId="0" fillId="0" borderId="6" xfId="0" applyNumberFormat="1" applyBorder="1" applyAlignment="1">
      <alignment horizontal="center"/>
    </xf>
    <xf numFmtId="3" fontId="0" fillId="0" borderId="47" xfId="0" applyNumberFormat="1" applyBorder="1" applyAlignment="1">
      <alignment horizontal="center"/>
    </xf>
    <xf numFmtId="0" fontId="0" fillId="0" borderId="34" xfId="0" applyBorder="1" applyAlignment="1">
      <alignment horizontal="right"/>
    </xf>
    <xf numFmtId="3" fontId="0" fillId="0" borderId="6" xfId="0" applyNumberFormat="1" applyBorder="1"/>
    <xf numFmtId="0" fontId="12" fillId="0" borderId="6" xfId="0" applyFont="1" applyBorder="1" applyAlignment="1">
      <alignment horizontal="left"/>
    </xf>
    <xf numFmtId="3" fontId="7" fillId="0" borderId="6" xfId="0" applyNumberFormat="1" applyFont="1" applyBorder="1" applyAlignment="1">
      <alignment vertical="center"/>
    </xf>
    <xf numFmtId="0" fontId="7" fillId="0" borderId="34" xfId="0" applyFont="1" applyBorder="1" applyAlignment="1">
      <alignment horizontal="right"/>
    </xf>
    <xf numFmtId="49" fontId="0" fillId="0" borderId="34" xfId="0" applyNumberFormat="1" applyBorder="1" applyAlignment="1">
      <alignment horizontal="right"/>
    </xf>
    <xf numFmtId="3" fontId="2" fillId="0" borderId="0" xfId="0" applyNumberFormat="1" applyFont="1" applyAlignment="1">
      <alignment horizontal="center"/>
    </xf>
    <xf numFmtId="49" fontId="7" fillId="0" borderId="34" xfId="0" applyNumberFormat="1" applyFont="1" applyBorder="1" applyAlignment="1">
      <alignment horizontal="right"/>
    </xf>
    <xf numFmtId="49" fontId="22" fillId="0" borderId="34" xfId="0" applyNumberFormat="1" applyFont="1" applyBorder="1" applyAlignment="1">
      <alignment horizontal="center"/>
    </xf>
    <xf numFmtId="49" fontId="7" fillId="0" borderId="37" xfId="0" applyNumberFormat="1" applyFont="1" applyBorder="1" applyAlignment="1">
      <alignment horizontal="right"/>
    </xf>
    <xf numFmtId="0" fontId="12" fillId="0" borderId="44" xfId="0" applyFont="1" applyBorder="1"/>
    <xf numFmtId="3" fontId="0" fillId="0" borderId="44" xfId="0" applyNumberFormat="1" applyBorder="1"/>
    <xf numFmtId="1" fontId="0" fillId="0" borderId="44" xfId="0" applyNumberFormat="1" applyBorder="1"/>
    <xf numFmtId="1" fontId="0" fillId="0" borderId="46" xfId="0" applyNumberFormat="1" applyBorder="1"/>
    <xf numFmtId="49" fontId="7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3" fontId="20" fillId="0" borderId="0" xfId="0" applyNumberFormat="1" applyFont="1"/>
    <xf numFmtId="49" fontId="23" fillId="0" borderId="0" xfId="0" applyNumberFormat="1" applyFont="1"/>
    <xf numFmtId="3" fontId="17" fillId="0" borderId="0" xfId="0" applyNumberFormat="1" applyFont="1"/>
    <xf numFmtId="37" fontId="17" fillId="0" borderId="0" xfId="0" applyNumberFormat="1" applyFont="1" applyAlignment="1">
      <alignment horizontal="right"/>
    </xf>
    <xf numFmtId="3" fontId="17" fillId="0" borderId="0" xfId="0" applyNumberFormat="1" applyFont="1" applyAlignment="1">
      <alignment horizontal="right"/>
    </xf>
    <xf numFmtId="0" fontId="20" fillId="3" borderId="39" xfId="0" applyFont="1" applyFill="1" applyBorder="1" applyAlignment="1">
      <alignment horizontal="center" vertical="center" wrapText="1"/>
    </xf>
    <xf numFmtId="168" fontId="7" fillId="0" borderId="39" xfId="0" applyNumberFormat="1" applyFont="1" applyBorder="1" applyAlignment="1">
      <alignment horizontal="right" vertical="center"/>
    </xf>
    <xf numFmtId="4" fontId="7" fillId="0" borderId="0" xfId="0" applyNumberFormat="1" applyFont="1"/>
    <xf numFmtId="171" fontId="0" fillId="0" borderId="0" xfId="0" applyNumberFormat="1"/>
    <xf numFmtId="0" fontId="7" fillId="0" borderId="39" xfId="0" applyFont="1" applyBorder="1" applyAlignment="1">
      <alignment vertical="center"/>
    </xf>
    <xf numFmtId="168" fontId="0" fillId="0" borderId="39" xfId="0" applyNumberFormat="1" applyBorder="1"/>
    <xf numFmtId="168" fontId="0" fillId="0" borderId="39" xfId="0" applyNumberFormat="1" applyBorder="1" applyAlignment="1">
      <alignment horizontal="right"/>
    </xf>
    <xf numFmtId="0" fontId="0" fillId="0" borderId="49" xfId="0" applyBorder="1"/>
    <xf numFmtId="0" fontId="20" fillId="0" borderId="0" xfId="0" applyFont="1"/>
    <xf numFmtId="1" fontId="0" fillId="0" borderId="0" xfId="0" applyNumberFormat="1"/>
    <xf numFmtId="0" fontId="14" fillId="5" borderId="59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 wrapText="1"/>
    </xf>
    <xf numFmtId="3" fontId="14" fillId="5" borderId="59" xfId="0" applyNumberFormat="1" applyFont="1" applyFill="1" applyBorder="1" applyAlignment="1">
      <alignment horizontal="center" vertical="center"/>
    </xf>
    <xf numFmtId="3" fontId="14" fillId="5" borderId="59" xfId="0" applyNumberFormat="1" applyFont="1" applyFill="1" applyBorder="1" applyAlignment="1">
      <alignment horizontal="center" vertical="center" wrapText="1"/>
    </xf>
    <xf numFmtId="3" fontId="7" fillId="0" borderId="60" xfId="0" applyNumberFormat="1" applyFont="1" applyBorder="1" applyAlignment="1">
      <alignment horizontal="left" vertical="center"/>
    </xf>
    <xf numFmtId="3" fontId="7" fillId="0" borderId="61" xfId="0" applyNumberFormat="1" applyFont="1" applyBorder="1" applyAlignment="1">
      <alignment horizontal="left" vertical="center"/>
    </xf>
    <xf numFmtId="3" fontId="7" fillId="0" borderId="61" xfId="0" applyNumberFormat="1" applyFont="1" applyBorder="1" applyAlignment="1">
      <alignment vertical="center"/>
    </xf>
    <xf numFmtId="3" fontId="7" fillId="0" borderId="55" xfId="0" applyNumberFormat="1" applyFont="1" applyBorder="1" applyAlignment="1">
      <alignment horizontal="left"/>
    </xf>
    <xf numFmtId="3" fontId="7" fillId="0" borderId="56" xfId="0" applyNumberFormat="1" applyFont="1" applyBorder="1" applyAlignment="1">
      <alignment horizontal="left"/>
    </xf>
    <xf numFmtId="3" fontId="7" fillId="0" borderId="56" xfId="0" applyNumberFormat="1" applyFont="1" applyBorder="1"/>
    <xf numFmtId="3" fontId="7" fillId="0" borderId="0" xfId="0" applyNumberFormat="1" applyFont="1"/>
    <xf numFmtId="3" fontId="0" fillId="0" borderId="55" xfId="0" applyNumberFormat="1" applyBorder="1" applyAlignment="1">
      <alignment horizontal="left"/>
    </xf>
    <xf numFmtId="3" fontId="0" fillId="0" borderId="56" xfId="0" applyNumberFormat="1" applyBorder="1" applyAlignment="1">
      <alignment horizontal="left"/>
    </xf>
    <xf numFmtId="3" fontId="0" fillId="0" borderId="56" xfId="0" applyNumberFormat="1" applyBorder="1"/>
    <xf numFmtId="0" fontId="0" fillId="0" borderId="62" xfId="0" applyBorder="1"/>
    <xf numFmtId="3" fontId="7" fillId="0" borderId="63" xfId="0" applyNumberFormat="1" applyFont="1" applyBorder="1" applyAlignment="1">
      <alignment horizontal="left" vertical="center"/>
    </xf>
    <xf numFmtId="3" fontId="7" fillId="0" borderId="64" xfId="0" applyNumberFormat="1" applyFont="1" applyBorder="1" applyAlignment="1">
      <alignment horizontal="left" vertical="center"/>
    </xf>
    <xf numFmtId="3" fontId="7" fillId="0" borderId="64" xfId="0" applyNumberFormat="1" applyFont="1" applyBorder="1" applyAlignment="1">
      <alignment vertical="center"/>
    </xf>
    <xf numFmtId="3" fontId="0" fillId="0" borderId="55" xfId="0" applyNumberFormat="1" applyBorder="1"/>
    <xf numFmtId="3" fontId="0" fillId="0" borderId="55" xfId="0" applyNumberFormat="1" applyBorder="1" applyAlignment="1">
      <alignment horizontal="left" vertical="center" wrapText="1"/>
    </xf>
    <xf numFmtId="3" fontId="0" fillId="0" borderId="56" xfId="0" applyNumberFormat="1" applyBorder="1" applyAlignment="1">
      <alignment vertical="center" wrapText="1"/>
    </xf>
    <xf numFmtId="0" fontId="0" fillId="0" borderId="0" xfId="0" applyAlignment="1">
      <alignment horizontal="left"/>
    </xf>
    <xf numFmtId="3" fontId="0" fillId="0" borderId="52" xfId="0" applyNumberFormat="1" applyBorder="1"/>
    <xf numFmtId="0" fontId="0" fillId="0" borderId="55" xfId="0" applyBorder="1"/>
    <xf numFmtId="0" fontId="0" fillId="0" borderId="59" xfId="0" applyBorder="1"/>
    <xf numFmtId="0" fontId="0" fillId="0" borderId="56" xfId="0" applyBorder="1"/>
    <xf numFmtId="3" fontId="7" fillId="0" borderId="62" xfId="0" applyNumberFormat="1" applyFont="1" applyBorder="1" applyAlignment="1">
      <alignment vertical="center"/>
    </xf>
    <xf numFmtId="3" fontId="0" fillId="0" borderId="65" xfId="0" applyNumberFormat="1" applyBorder="1" applyAlignment="1">
      <alignment horizontal="left"/>
    </xf>
    <xf numFmtId="3" fontId="24" fillId="0" borderId="66" xfId="0" applyNumberFormat="1" applyFont="1" applyBorder="1" applyAlignment="1">
      <alignment horizontal="left" vertical="center"/>
    </xf>
    <xf numFmtId="3" fontId="24" fillId="0" borderId="66" xfId="0" applyNumberFormat="1" applyFont="1" applyBorder="1" applyAlignment="1">
      <alignment vertical="center"/>
    </xf>
    <xf numFmtId="3" fontId="0" fillId="0" borderId="0" xfId="0" applyNumberFormat="1" applyAlignment="1">
      <alignment horizontal="left"/>
    </xf>
    <xf numFmtId="3" fontId="24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14" fillId="0" borderId="0" xfId="0" applyFont="1"/>
    <xf numFmtId="169" fontId="7" fillId="0" borderId="70" xfId="0" applyNumberFormat="1" applyFont="1" applyBorder="1" applyAlignment="1">
      <alignment vertical="center"/>
    </xf>
    <xf numFmtId="169" fontId="7" fillId="0" borderId="68" xfId="0" applyNumberFormat="1" applyFont="1" applyBorder="1"/>
    <xf numFmtId="169" fontId="0" fillId="0" borderId="68" xfId="0" applyNumberFormat="1" applyBorder="1"/>
    <xf numFmtId="168" fontId="7" fillId="0" borderId="71" xfId="0" applyNumberFormat="1" applyFont="1" applyBorder="1" applyAlignment="1">
      <alignment vertical="center"/>
    </xf>
    <xf numFmtId="168" fontId="0" fillId="0" borderId="68" xfId="0" applyNumberFormat="1" applyBorder="1"/>
    <xf numFmtId="170" fontId="0" fillId="0" borderId="56" xfId="0" applyNumberFormat="1" applyBorder="1"/>
    <xf numFmtId="168" fontId="7" fillId="0" borderId="72" xfId="0" applyNumberFormat="1" applyFont="1" applyBorder="1" applyAlignment="1">
      <alignment vertical="center"/>
    </xf>
    <xf numFmtId="0" fontId="0" fillId="0" borderId="68" xfId="0" applyBorder="1"/>
    <xf numFmtId="168" fontId="24" fillId="0" borderId="73" xfId="0" applyNumberFormat="1" applyFont="1" applyBorder="1" applyAlignment="1">
      <alignment vertical="center"/>
    </xf>
    <xf numFmtId="168" fontId="24" fillId="0" borderId="0" xfId="0" applyNumberFormat="1" applyFont="1" applyAlignment="1">
      <alignment vertical="center"/>
    </xf>
    <xf numFmtId="168" fontId="0" fillId="0" borderId="0" xfId="0" applyNumberFormat="1"/>
    <xf numFmtId="168" fontId="2" fillId="0" borderId="0" xfId="0" applyNumberFormat="1" applyFont="1"/>
    <xf numFmtId="0" fontId="6" fillId="0" borderId="0" xfId="0" applyFont="1"/>
    <xf numFmtId="0" fontId="25" fillId="0" borderId="0" xfId="0" applyFont="1"/>
    <xf numFmtId="0" fontId="14" fillId="5" borderId="78" xfId="0" applyFont="1" applyFill="1" applyBorder="1" applyAlignment="1">
      <alignment horizontal="center" vertical="center" wrapText="1"/>
    </xf>
    <xf numFmtId="3" fontId="14" fillId="5" borderId="78" xfId="0" applyNumberFormat="1" applyFont="1" applyFill="1" applyBorder="1" applyAlignment="1">
      <alignment horizontal="center" vertical="center" wrapText="1"/>
    </xf>
    <xf numFmtId="3" fontId="7" fillId="0" borderId="79" xfId="0" applyNumberFormat="1" applyFont="1" applyBorder="1" applyAlignment="1">
      <alignment horizontal="left" vertical="center"/>
    </xf>
    <xf numFmtId="3" fontId="14" fillId="0" borderId="80" xfId="0" applyNumberFormat="1" applyFont="1" applyBorder="1" applyAlignment="1">
      <alignment horizontal="left" vertical="center"/>
    </xf>
    <xf numFmtId="3" fontId="14" fillId="0" borderId="80" xfId="0" applyNumberFormat="1" applyFont="1" applyBorder="1" applyAlignment="1">
      <alignment vertical="center"/>
    </xf>
    <xf numFmtId="3" fontId="14" fillId="0" borderId="34" xfId="0" applyNumberFormat="1" applyFont="1" applyBorder="1" applyAlignment="1">
      <alignment horizontal="left"/>
    </xf>
    <xf numFmtId="3" fontId="14" fillId="0" borderId="6" xfId="0" applyNumberFormat="1" applyFont="1" applyBorder="1" applyAlignment="1">
      <alignment horizontal="left"/>
    </xf>
    <xf numFmtId="3" fontId="14" fillId="0" borderId="6" xfId="0" applyNumberFormat="1" applyFont="1" applyBorder="1"/>
    <xf numFmtId="3" fontId="12" fillId="0" borderId="34" xfId="0" applyNumberFormat="1" applyFont="1" applyBorder="1" applyAlignment="1">
      <alignment horizontal="left"/>
    </xf>
    <xf numFmtId="3" fontId="12" fillId="0" borderId="6" xfId="0" applyNumberFormat="1" applyFont="1" applyBorder="1" applyAlignment="1">
      <alignment horizontal="left"/>
    </xf>
    <xf numFmtId="3" fontId="12" fillId="0" borderId="6" xfId="0" applyNumberFormat="1" applyFont="1" applyBorder="1"/>
    <xf numFmtId="3" fontId="12" fillId="0" borderId="6" xfId="0" applyNumberFormat="1" applyFont="1" applyBorder="1" applyAlignment="1">
      <alignment horizontal="right"/>
    </xf>
    <xf numFmtId="49" fontId="14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3" fontId="7" fillId="0" borderId="81" xfId="0" applyNumberFormat="1" applyFont="1" applyBorder="1" applyAlignment="1">
      <alignment horizontal="left" vertical="center"/>
    </xf>
    <xf numFmtId="3" fontId="14" fillId="0" borderId="82" xfId="0" applyNumberFormat="1" applyFont="1" applyBorder="1" applyAlignment="1">
      <alignment horizontal="left" vertical="center"/>
    </xf>
    <xf numFmtId="3" fontId="14" fillId="0" borderId="82" xfId="0" applyNumberFormat="1" applyFont="1" applyBorder="1" applyAlignment="1">
      <alignment vertical="center"/>
    </xf>
    <xf numFmtId="3" fontId="12" fillId="0" borderId="34" xfId="0" applyNumberFormat="1" applyFont="1" applyBorder="1"/>
    <xf numFmtId="3" fontId="14" fillId="0" borderId="34" xfId="0" applyNumberFormat="1" applyFont="1" applyBorder="1"/>
    <xf numFmtId="3" fontId="26" fillId="0" borderId="6" xfId="0" applyNumberFormat="1" applyFont="1" applyBorder="1"/>
    <xf numFmtId="3" fontId="12" fillId="3" borderId="6" xfId="0" applyNumberFormat="1" applyFont="1" applyFill="1" applyBorder="1"/>
    <xf numFmtId="3" fontId="27" fillId="0" borderId="6" xfId="0" applyNumberFormat="1" applyFont="1" applyBorder="1"/>
    <xf numFmtId="168" fontId="14" fillId="0" borderId="88" xfId="0" applyNumberFormat="1" applyFont="1" applyBorder="1" applyAlignment="1">
      <alignment horizontal="center" vertical="center"/>
    </xf>
    <xf numFmtId="168" fontId="14" fillId="0" borderId="39" xfId="0" applyNumberFormat="1" applyFont="1" applyBorder="1" applyAlignment="1">
      <alignment horizontal="center"/>
    </xf>
    <xf numFmtId="168" fontId="12" fillId="0" borderId="39" xfId="0" applyNumberFormat="1" applyFont="1" applyBorder="1" applyAlignment="1">
      <alignment horizontal="center"/>
    </xf>
    <xf numFmtId="168" fontId="14" fillId="0" borderId="89" xfId="0" applyNumberFormat="1" applyFont="1" applyBorder="1" applyAlignment="1">
      <alignment horizontal="center" vertical="center"/>
    </xf>
    <xf numFmtId="0" fontId="0" fillId="3" borderId="0" xfId="0" applyFill="1"/>
    <xf numFmtId="3" fontId="12" fillId="0" borderId="39" xfId="0" applyNumberFormat="1" applyFont="1" applyBorder="1"/>
    <xf numFmtId="3" fontId="14" fillId="0" borderId="34" xfId="0" applyNumberFormat="1" applyFont="1" applyBorder="1" applyAlignment="1">
      <alignment horizontal="left" vertical="center" wrapText="1"/>
    </xf>
    <xf numFmtId="3" fontId="14" fillId="0" borderId="6" xfId="0" applyNumberFormat="1" applyFont="1" applyBorder="1" applyAlignment="1">
      <alignment vertical="center" wrapText="1"/>
    </xf>
    <xf numFmtId="3" fontId="12" fillId="0" borderId="34" xfId="0" applyNumberFormat="1" applyFont="1" applyBorder="1" applyAlignment="1">
      <alignment horizontal="left" vertical="center" wrapText="1"/>
    </xf>
    <xf numFmtId="3" fontId="12" fillId="0" borderId="6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3" fontId="12" fillId="0" borderId="0" xfId="0" applyNumberFormat="1" applyFont="1"/>
    <xf numFmtId="0" fontId="12" fillId="0" borderId="0" xfId="0" applyFont="1" applyAlignment="1">
      <alignment horizontal="left"/>
    </xf>
    <xf numFmtId="3" fontId="12" fillId="0" borderId="33" xfId="0" applyNumberFormat="1" applyFont="1" applyBorder="1" applyAlignment="1">
      <alignment horizontal="left"/>
    </xf>
    <xf numFmtId="0" fontId="12" fillId="0" borderId="33" xfId="0" applyFont="1" applyBorder="1"/>
    <xf numFmtId="3" fontId="12" fillId="0" borderId="90" xfId="0" applyNumberFormat="1" applyFont="1" applyBorder="1" applyAlignment="1">
      <alignment horizontal="left"/>
    </xf>
    <xf numFmtId="3" fontId="12" fillId="0" borderId="90" xfId="0" applyNumberFormat="1" applyFont="1" applyBorder="1"/>
    <xf numFmtId="3" fontId="14" fillId="0" borderId="91" xfId="0" applyNumberFormat="1" applyFont="1" applyBorder="1" applyAlignment="1">
      <alignment horizontal="left" vertical="center"/>
    </xf>
    <xf numFmtId="3" fontId="14" fillId="0" borderId="92" xfId="0" applyNumberFormat="1" applyFont="1" applyBorder="1" applyAlignment="1">
      <alignment vertical="center"/>
    </xf>
    <xf numFmtId="3" fontId="14" fillId="0" borderId="93" xfId="0" applyNumberFormat="1" applyFont="1" applyBorder="1" applyAlignment="1">
      <alignment vertical="center"/>
    </xf>
    <xf numFmtId="3" fontId="14" fillId="0" borderId="55" xfId="0" applyNumberFormat="1" applyFont="1" applyBorder="1" applyAlignment="1">
      <alignment horizontal="left" vertical="center"/>
    </xf>
    <xf numFmtId="3" fontId="14" fillId="0" borderId="56" xfId="0" applyNumberFormat="1" applyFont="1" applyBorder="1" applyAlignment="1">
      <alignment vertical="center"/>
    </xf>
    <xf numFmtId="3" fontId="14" fillId="0" borderId="55" xfId="0" applyNumberFormat="1" applyFont="1" applyBorder="1" applyAlignment="1">
      <alignment vertical="center"/>
    </xf>
    <xf numFmtId="3" fontId="14" fillId="0" borderId="94" xfId="0" applyNumberFormat="1" applyFont="1" applyBorder="1" applyAlignment="1">
      <alignment vertical="center"/>
    </xf>
    <xf numFmtId="3" fontId="14" fillId="0" borderId="6" xfId="0" applyNumberFormat="1" applyFont="1" applyBorder="1" applyAlignment="1">
      <alignment vertical="center"/>
    </xf>
    <xf numFmtId="3" fontId="12" fillId="0" borderId="56" xfId="0" applyNumberFormat="1" applyFont="1" applyBorder="1"/>
    <xf numFmtId="3" fontId="12" fillId="0" borderId="94" xfId="0" applyNumberFormat="1" applyFont="1" applyBorder="1"/>
    <xf numFmtId="3" fontId="12" fillId="0" borderId="56" xfId="0" applyNumberFormat="1" applyFont="1" applyBorder="1" applyAlignment="1">
      <alignment horizontal="left"/>
    </xf>
    <xf numFmtId="3" fontId="14" fillId="0" borderId="56" xfId="0" applyNumberFormat="1" applyFont="1" applyBorder="1"/>
    <xf numFmtId="3" fontId="14" fillId="0" borderId="55" xfId="0" applyNumberFormat="1" applyFont="1" applyBorder="1"/>
    <xf numFmtId="3" fontId="14" fillId="0" borderId="94" xfId="0" applyNumberFormat="1" applyFont="1" applyBorder="1"/>
    <xf numFmtId="3" fontId="14" fillId="0" borderId="0" xfId="0" applyNumberFormat="1" applyFont="1" applyAlignment="1">
      <alignment vertical="center"/>
    </xf>
    <xf numFmtId="3" fontId="12" fillId="0" borderId="55" xfId="0" applyNumberFormat="1" applyFont="1" applyBorder="1"/>
    <xf numFmtId="3" fontId="12" fillId="0" borderId="68" xfId="0" applyNumberFormat="1" applyFont="1" applyBorder="1"/>
    <xf numFmtId="3" fontId="14" fillId="0" borderId="28" xfId="0" applyNumberFormat="1" applyFont="1" applyBorder="1" applyAlignment="1">
      <alignment vertical="center"/>
    </xf>
    <xf numFmtId="3" fontId="12" fillId="0" borderId="9" xfId="0" applyNumberFormat="1" applyFont="1" applyBorder="1"/>
    <xf numFmtId="3" fontId="12" fillId="0" borderId="11" xfId="0" applyNumberFormat="1" applyFont="1" applyBorder="1"/>
    <xf numFmtId="3" fontId="14" fillId="0" borderId="95" xfId="0" applyNumberFormat="1" applyFont="1" applyBorder="1" applyAlignment="1">
      <alignment vertical="center"/>
    </xf>
    <xf numFmtId="168" fontId="14" fillId="0" borderId="93" xfId="0" applyNumberFormat="1" applyFont="1" applyBorder="1" applyAlignment="1">
      <alignment horizontal="center" vertical="center"/>
    </xf>
    <xf numFmtId="168" fontId="14" fillId="0" borderId="68" xfId="0" applyNumberFormat="1" applyFont="1" applyBorder="1" applyAlignment="1">
      <alignment horizontal="center" vertical="center"/>
    </xf>
    <xf numFmtId="3" fontId="28" fillId="0" borderId="0" xfId="0" applyNumberFormat="1" applyFont="1"/>
    <xf numFmtId="168" fontId="12" fillId="0" borderId="68" xfId="0" applyNumberFormat="1" applyFont="1" applyBorder="1" applyAlignment="1">
      <alignment horizontal="center"/>
    </xf>
    <xf numFmtId="3" fontId="12" fillId="0" borderId="20" xfId="0" applyNumberFormat="1" applyFont="1" applyBorder="1"/>
    <xf numFmtId="3" fontId="12" fillId="0" borderId="28" xfId="0" applyNumberFormat="1" applyFont="1" applyBorder="1"/>
    <xf numFmtId="3" fontId="12" fillId="0" borderId="96" xfId="0" applyNumberFormat="1" applyFont="1" applyBorder="1" applyAlignment="1">
      <alignment horizontal="left"/>
    </xf>
    <xf numFmtId="3" fontId="14" fillId="0" borderId="96" xfId="0" applyNumberFormat="1" applyFont="1" applyBorder="1" applyAlignment="1">
      <alignment vertical="center"/>
    </xf>
    <xf numFmtId="3" fontId="14" fillId="0" borderId="68" xfId="0" applyNumberFormat="1" applyFont="1" applyBorder="1" applyAlignment="1">
      <alignment vertical="center"/>
    </xf>
    <xf numFmtId="3" fontId="14" fillId="0" borderId="20" xfId="0" applyNumberFormat="1" applyFont="1" applyBorder="1" applyAlignment="1">
      <alignment vertical="center"/>
    </xf>
    <xf numFmtId="3" fontId="14" fillId="0" borderId="97" xfId="0" applyNumberFormat="1" applyFont="1" applyBorder="1"/>
    <xf numFmtId="3" fontId="12" fillId="0" borderId="97" xfId="0" applyNumberFormat="1" applyFont="1" applyBorder="1" applyAlignment="1">
      <alignment horizontal="left"/>
    </xf>
    <xf numFmtId="3" fontId="12" fillId="0" borderId="97" xfId="0" applyNumberFormat="1" applyFont="1" applyBorder="1"/>
    <xf numFmtId="0" fontId="12" fillId="0" borderId="97" xfId="0" applyFont="1" applyBorder="1"/>
    <xf numFmtId="3" fontId="14" fillId="0" borderId="98" xfId="0" applyNumberFormat="1" applyFont="1" applyBorder="1" applyAlignment="1">
      <alignment horizontal="left" vertical="center"/>
    </xf>
    <xf numFmtId="3" fontId="14" fillId="0" borderId="61" xfId="0" applyNumberFormat="1" applyFont="1" applyBorder="1" applyAlignment="1">
      <alignment vertical="center"/>
    </xf>
    <xf numFmtId="3" fontId="14" fillId="0" borderId="72" xfId="0" applyNumberFormat="1" applyFont="1" applyBorder="1" applyAlignment="1">
      <alignment vertical="center"/>
    </xf>
    <xf numFmtId="3" fontId="14" fillId="0" borderId="98" xfId="0" applyNumberFormat="1" applyFont="1" applyBorder="1" applyAlignment="1">
      <alignment vertical="center"/>
    </xf>
    <xf numFmtId="3" fontId="14" fillId="0" borderId="68" xfId="0" applyNumberFormat="1" applyFont="1" applyBorder="1"/>
    <xf numFmtId="3" fontId="12" fillId="0" borderId="14" xfId="0" applyNumberFormat="1" applyFont="1" applyBorder="1"/>
    <xf numFmtId="3" fontId="14" fillId="0" borderId="61" xfId="0" applyNumberFormat="1" applyFont="1" applyBorder="1" applyAlignment="1">
      <alignment horizontal="left" vertical="center"/>
    </xf>
    <xf numFmtId="3" fontId="27" fillId="0" borderId="61" xfId="0" applyNumberFormat="1" applyFont="1" applyBorder="1" applyAlignment="1">
      <alignment vertical="center"/>
    </xf>
    <xf numFmtId="3" fontId="14" fillId="0" borderId="56" xfId="0" applyNumberFormat="1" applyFont="1" applyBorder="1" applyAlignment="1">
      <alignment horizontal="left"/>
    </xf>
    <xf numFmtId="3" fontId="14" fillId="0" borderId="14" xfId="0" applyNumberFormat="1" applyFont="1" applyBorder="1"/>
    <xf numFmtId="3" fontId="12" fillId="0" borderId="8" xfId="0" applyNumberFormat="1" applyFont="1" applyBorder="1"/>
    <xf numFmtId="3" fontId="12" fillId="0" borderId="99" xfId="0" applyNumberFormat="1" applyFont="1" applyBorder="1"/>
    <xf numFmtId="3" fontId="12" fillId="0" borderId="100" xfId="0" applyNumberFormat="1" applyFont="1" applyBorder="1" applyAlignment="1">
      <alignment horizontal="left"/>
    </xf>
    <xf numFmtId="3" fontId="7" fillId="0" borderId="101" xfId="0" applyNumberFormat="1" applyFont="1" applyBorder="1" applyAlignment="1">
      <alignment horizontal="left" vertical="center"/>
    </xf>
    <xf numFmtId="3" fontId="7" fillId="0" borderId="101" xfId="0" applyNumberFormat="1" applyFont="1" applyBorder="1" applyAlignment="1">
      <alignment vertical="center"/>
    </xf>
    <xf numFmtId="3" fontId="7" fillId="0" borderId="102" xfId="0" applyNumberFormat="1" applyFont="1" applyBorder="1" applyAlignment="1">
      <alignment vertical="center"/>
    </xf>
    <xf numFmtId="3" fontId="7" fillId="0" borderId="103" xfId="0" applyNumberFormat="1" applyFont="1" applyBorder="1" applyAlignment="1">
      <alignment vertical="center"/>
    </xf>
    <xf numFmtId="3" fontId="29" fillId="0" borderId="101" xfId="0" applyNumberFormat="1" applyFont="1" applyBorder="1" applyAlignment="1">
      <alignment vertical="center"/>
    </xf>
    <xf numFmtId="4" fontId="6" fillId="0" borderId="0" xfId="0" applyNumberFormat="1" applyFont="1"/>
    <xf numFmtId="3" fontId="6" fillId="0" borderId="0" xfId="0" applyNumberFormat="1" applyFont="1"/>
    <xf numFmtId="168" fontId="14" fillId="0" borderId="72" xfId="0" applyNumberFormat="1" applyFont="1" applyBorder="1" applyAlignment="1">
      <alignment horizontal="center" vertical="center"/>
    </xf>
    <xf numFmtId="168" fontId="14" fillId="0" borderId="68" xfId="0" applyNumberFormat="1" applyFont="1" applyBorder="1" applyAlignment="1">
      <alignment horizontal="center"/>
    </xf>
    <xf numFmtId="4" fontId="30" fillId="0" borderId="0" xfId="0" applyNumberFormat="1" applyFont="1" applyAlignment="1">
      <alignment vertical="center"/>
    </xf>
    <xf numFmtId="3" fontId="12" fillId="0" borderId="104" xfId="0" applyNumberFormat="1" applyFont="1" applyBorder="1"/>
    <xf numFmtId="3" fontId="7" fillId="0" borderId="105" xfId="0" applyNumberFormat="1" applyFont="1" applyBorder="1" applyAlignment="1">
      <alignment vertical="center"/>
    </xf>
    <xf numFmtId="168" fontId="7" fillId="0" borderId="103" xfId="0" applyNumberFormat="1" applyFont="1" applyBorder="1" applyAlignment="1">
      <alignment horizontal="center" vertical="center"/>
    </xf>
    <xf numFmtId="3" fontId="31" fillId="0" borderId="0" xfId="0" applyNumberFormat="1" applyFont="1"/>
    <xf numFmtId="4" fontId="1" fillId="0" borderId="0" xfId="0" applyNumberFormat="1" applyFont="1"/>
    <xf numFmtId="0" fontId="32" fillId="0" borderId="0" xfId="0" applyFont="1" applyAlignment="1">
      <alignment horizontal="center"/>
    </xf>
    <xf numFmtId="0" fontId="32" fillId="0" borderId="0" xfId="0" applyFont="1"/>
    <xf numFmtId="0" fontId="33" fillId="0" borderId="0" xfId="0" applyFont="1"/>
    <xf numFmtId="0" fontId="14" fillId="5" borderId="2" xfId="0" applyFont="1" applyFill="1" applyBorder="1" applyAlignment="1">
      <alignment horizontal="center" vertical="center"/>
    </xf>
    <xf numFmtId="0" fontId="14" fillId="5" borderId="110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 wrapText="1"/>
    </xf>
    <xf numFmtId="0" fontId="24" fillId="0" borderId="34" xfId="0" applyFont="1" applyBorder="1"/>
    <xf numFmtId="3" fontId="24" fillId="0" borderId="34" xfId="0" applyNumberFormat="1" applyFont="1" applyBorder="1"/>
    <xf numFmtId="3" fontId="24" fillId="0" borderId="6" xfId="0" applyNumberFormat="1" applyFont="1" applyBorder="1"/>
    <xf numFmtId="3" fontId="9" fillId="0" borderId="6" xfId="0" applyNumberFormat="1" applyFont="1" applyBorder="1"/>
    <xf numFmtId="0" fontId="34" fillId="0" borderId="34" xfId="0" applyFont="1" applyBorder="1"/>
    <xf numFmtId="3" fontId="34" fillId="0" borderId="6" xfId="0" applyNumberFormat="1" applyFont="1" applyBorder="1"/>
    <xf numFmtId="3" fontId="35" fillId="0" borderId="6" xfId="0" applyNumberFormat="1" applyFont="1" applyBorder="1"/>
    <xf numFmtId="3" fontId="36" fillId="0" borderId="6" xfId="0" applyNumberFormat="1" applyFont="1" applyBorder="1"/>
    <xf numFmtId="3" fontId="34" fillId="0" borderId="34" xfId="0" applyNumberFormat="1" applyFont="1" applyBorder="1"/>
    <xf numFmtId="0" fontId="24" fillId="0" borderId="34" xfId="0" applyFont="1" applyBorder="1" applyAlignment="1">
      <alignment horizontal="center" vertical="center"/>
    </xf>
    <xf numFmtId="3" fontId="24" fillId="0" borderId="6" xfId="0" applyNumberFormat="1" applyFont="1" applyBorder="1" applyAlignment="1">
      <alignment vertical="center"/>
    </xf>
    <xf numFmtId="0" fontId="9" fillId="0" borderId="34" xfId="0" applyFont="1" applyBorder="1"/>
    <xf numFmtId="3" fontId="24" fillId="0" borderId="6" xfId="0" applyNumberFormat="1" applyFont="1" applyBorder="1" applyAlignment="1">
      <alignment horizontal="center"/>
    </xf>
    <xf numFmtId="0" fontId="24" fillId="0" borderId="37" xfId="0" applyFont="1" applyBorder="1"/>
    <xf numFmtId="3" fontId="34" fillId="0" borderId="44" xfId="0" applyNumberFormat="1" applyFont="1" applyBorder="1"/>
    <xf numFmtId="0" fontId="24" fillId="0" borderId="0" xfId="0" applyFont="1"/>
    <xf numFmtId="3" fontId="24" fillId="0" borderId="0" xfId="0" applyNumberFormat="1" applyFont="1"/>
    <xf numFmtId="4" fontId="24" fillId="0" borderId="0" xfId="0" applyNumberFormat="1" applyFont="1"/>
    <xf numFmtId="0" fontId="37" fillId="0" borderId="34" xfId="0" applyFont="1" applyBorder="1"/>
    <xf numFmtId="0" fontId="38" fillId="0" borderId="6" xfId="0" applyFont="1" applyBorder="1"/>
    <xf numFmtId="3" fontId="37" fillId="0" borderId="6" xfId="0" applyNumberFormat="1" applyFont="1" applyBorder="1"/>
    <xf numFmtId="0" fontId="8" fillId="0" borderId="111" xfId="0" applyFont="1" applyBorder="1"/>
    <xf numFmtId="0" fontId="8" fillId="0" borderId="112" xfId="0" applyFont="1" applyBorder="1"/>
    <xf numFmtId="3" fontId="20" fillId="0" borderId="112" xfId="0" applyNumberFormat="1" applyFont="1" applyBorder="1"/>
    <xf numFmtId="3" fontId="17" fillId="0" borderId="112" xfId="0" applyNumberFormat="1" applyFont="1" applyBorder="1"/>
    <xf numFmtId="0" fontId="8" fillId="0" borderId="0" xfId="0" applyFont="1"/>
    <xf numFmtId="0" fontId="3" fillId="0" borderId="0" xfId="0" applyFont="1"/>
    <xf numFmtId="3" fontId="25" fillId="0" borderId="0" xfId="0" applyNumberFormat="1" applyFont="1"/>
    <xf numFmtId="169" fontId="24" fillId="0" borderId="39" xfId="0" applyNumberFormat="1" applyFont="1" applyBorder="1" applyAlignment="1">
      <alignment horizontal="center"/>
    </xf>
    <xf numFmtId="169" fontId="9" fillId="0" borderId="39" xfId="0" applyNumberFormat="1" applyFont="1" applyBorder="1" applyAlignment="1">
      <alignment horizontal="center"/>
    </xf>
    <xf numFmtId="169" fontId="34" fillId="0" borderId="39" xfId="0" applyNumberFormat="1" applyFont="1" applyBorder="1" applyAlignment="1">
      <alignment horizontal="center"/>
    </xf>
    <xf numFmtId="169" fontId="24" fillId="0" borderId="39" xfId="0" applyNumberFormat="1" applyFont="1" applyBorder="1" applyAlignment="1">
      <alignment horizontal="center" vertical="center"/>
    </xf>
    <xf numFmtId="0" fontId="39" fillId="0" borderId="0" xfId="0" applyFont="1"/>
    <xf numFmtId="3" fontId="40" fillId="0" borderId="0" xfId="0" applyNumberFormat="1" applyFont="1"/>
    <xf numFmtId="3" fontId="34" fillId="0" borderId="44" xfId="0" applyNumberFormat="1" applyFont="1" applyBorder="1" applyAlignment="1">
      <alignment horizontal="right"/>
    </xf>
    <xf numFmtId="169" fontId="34" fillId="0" borderId="49" xfId="0" applyNumberFormat="1" applyFont="1" applyBorder="1" applyAlignment="1">
      <alignment horizontal="center"/>
    </xf>
    <xf numFmtId="169" fontId="24" fillId="0" borderId="0" xfId="0" applyNumberFormat="1" applyFont="1" applyAlignment="1">
      <alignment horizontal="center"/>
    </xf>
    <xf numFmtId="3" fontId="37" fillId="0" borderId="39" xfId="0" applyNumberFormat="1" applyFont="1" applyBorder="1"/>
    <xf numFmtId="169" fontId="37" fillId="0" borderId="0" xfId="0" applyNumberFormat="1" applyFont="1" applyAlignment="1">
      <alignment horizontal="center"/>
    </xf>
    <xf numFmtId="3" fontId="17" fillId="0" borderId="116" xfId="0" applyNumberFormat="1" applyFont="1" applyBorder="1"/>
    <xf numFmtId="169" fontId="20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5" fillId="0" borderId="0" xfId="0" applyNumberFormat="1" applyFont="1"/>
    <xf numFmtId="0" fontId="14" fillId="5" borderId="121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/>
    </xf>
    <xf numFmtId="0" fontId="14" fillId="5" borderId="23" xfId="0" applyFont="1" applyFill="1" applyBorder="1" applyAlignment="1">
      <alignment horizontal="center"/>
    </xf>
    <xf numFmtId="0" fontId="10" fillId="6" borderId="19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20" xfId="0" applyFont="1" applyFill="1" applyBorder="1"/>
    <xf numFmtId="0" fontId="10" fillId="3" borderId="20" xfId="0" applyFont="1" applyFill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0" xfId="0" applyFont="1" applyBorder="1"/>
    <xf numFmtId="0" fontId="24" fillId="0" borderId="19" xfId="0" applyFont="1" applyBorder="1"/>
    <xf numFmtId="0" fontId="24" fillId="0" borderId="20" xfId="0" applyFont="1" applyBorder="1"/>
    <xf numFmtId="169" fontId="24" fillId="0" borderId="20" xfId="0" applyNumberFormat="1" applyFont="1" applyBorder="1"/>
    <xf numFmtId="172" fontId="24" fillId="0" borderId="20" xfId="0" applyNumberFormat="1" applyFont="1" applyBorder="1"/>
    <xf numFmtId="0" fontId="37" fillId="0" borderId="19" xfId="0" applyFont="1" applyBorder="1"/>
    <xf numFmtId="169" fontId="37" fillId="0" borderId="20" xfId="0" applyNumberFormat="1" applyFont="1" applyBorder="1"/>
    <xf numFmtId="169" fontId="34" fillId="0" borderId="20" xfId="0" applyNumberFormat="1" applyFont="1" applyBorder="1"/>
    <xf numFmtId="0" fontId="34" fillId="0" borderId="19" xfId="0" applyFont="1" applyBorder="1"/>
    <xf numFmtId="172" fontId="34" fillId="0" borderId="20" xfId="0" applyNumberFormat="1" applyFont="1" applyBorder="1"/>
    <xf numFmtId="172" fontId="37" fillId="0" borderId="20" xfId="0" applyNumberFormat="1" applyFont="1" applyBorder="1"/>
    <xf numFmtId="0" fontId="34" fillId="0" borderId="20" xfId="0" applyFont="1" applyBorder="1"/>
    <xf numFmtId="0" fontId="34" fillId="0" borderId="20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34" fillId="0" borderId="21" xfId="0" applyFont="1" applyBorder="1" applyAlignment="1">
      <alignment horizontal="center"/>
    </xf>
    <xf numFmtId="173" fontId="34" fillId="0" borderId="21" xfId="0" applyNumberFormat="1" applyFont="1" applyBorder="1"/>
    <xf numFmtId="169" fontId="34" fillId="0" borderId="21" xfId="0" applyNumberFormat="1" applyFont="1" applyBorder="1"/>
    <xf numFmtId="172" fontId="9" fillId="0" borderId="21" xfId="0" applyNumberFormat="1" applyFont="1" applyBorder="1"/>
    <xf numFmtId="0" fontId="7" fillId="0" borderId="25" xfId="0" applyFont="1" applyBorder="1"/>
    <xf numFmtId="2" fontId="7" fillId="0" borderId="25" xfId="0" applyNumberFormat="1" applyFont="1" applyBorder="1"/>
    <xf numFmtId="169" fontId="7" fillId="0" borderId="0" xfId="0" applyNumberFormat="1" applyFont="1"/>
    <xf numFmtId="169" fontId="8" fillId="0" borderId="0" xfId="0" applyNumberFormat="1" applyFont="1"/>
    <xf numFmtId="169" fontId="41" fillId="0" borderId="0" xfId="0" applyNumberFormat="1" applyFont="1"/>
    <xf numFmtId="49" fontId="42" fillId="0" borderId="0" xfId="0" applyNumberFormat="1" applyFont="1"/>
    <xf numFmtId="0" fontId="41" fillId="0" borderId="0" xfId="0" applyFont="1"/>
    <xf numFmtId="2" fontId="41" fillId="0" borderId="0" xfId="0" applyNumberFormat="1" applyFont="1"/>
    <xf numFmtId="0" fontId="10" fillId="3" borderId="28" xfId="0" applyFont="1" applyFill="1" applyBorder="1" applyAlignment="1">
      <alignment horizontal="center" vertical="center" wrapText="1"/>
    </xf>
    <xf numFmtId="0" fontId="37" fillId="0" borderId="28" xfId="0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168" fontId="24" fillId="0" borderId="28" xfId="0" applyNumberFormat="1" applyFont="1" applyBorder="1" applyAlignment="1">
      <alignment horizontal="center"/>
    </xf>
    <xf numFmtId="168" fontId="37" fillId="0" borderId="28" xfId="0" applyNumberFormat="1" applyFont="1" applyBorder="1" applyAlignment="1">
      <alignment horizontal="center"/>
    </xf>
    <xf numFmtId="168" fontId="34" fillId="0" borderId="28" xfId="0" applyNumberFormat="1" applyFont="1" applyBorder="1" applyAlignment="1">
      <alignment horizontal="center"/>
    </xf>
    <xf numFmtId="168" fontId="34" fillId="0" borderId="26" xfId="0" applyNumberFormat="1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4" fillId="0" borderId="0" xfId="0" applyFont="1"/>
    <xf numFmtId="0" fontId="11" fillId="0" borderId="0" xfId="0" applyFont="1"/>
    <xf numFmtId="0" fontId="0" fillId="0" borderId="123" xfId="0" applyBorder="1"/>
    <xf numFmtId="0" fontId="14" fillId="5" borderId="130" xfId="0" applyFont="1" applyFill="1" applyBorder="1" applyAlignment="1">
      <alignment horizontal="center" vertical="center" wrapText="1"/>
    </xf>
    <xf numFmtId="0" fontId="14" fillId="5" borderId="130" xfId="0" applyFont="1" applyFill="1" applyBorder="1" applyAlignment="1">
      <alignment horizontal="center" vertical="center"/>
    </xf>
    <xf numFmtId="0" fontId="14" fillId="0" borderId="38" xfId="0" applyFont="1" applyBorder="1" applyAlignment="1">
      <alignment horizontal="center"/>
    </xf>
    <xf numFmtId="0" fontId="14" fillId="0" borderId="33" xfId="0" applyFont="1" applyBorder="1"/>
    <xf numFmtId="4" fontId="14" fillId="0" borderId="33" xfId="0" applyNumberFormat="1" applyFont="1" applyBorder="1"/>
    <xf numFmtId="4" fontId="14" fillId="0" borderId="33" xfId="0" applyNumberFormat="1" applyFont="1" applyBorder="1" applyAlignment="1">
      <alignment horizontal="left"/>
    </xf>
    <xf numFmtId="4" fontId="14" fillId="0" borderId="33" xfId="0" applyNumberFormat="1" applyFont="1" applyBorder="1" applyAlignment="1">
      <alignment horizontal="center"/>
    </xf>
    <xf numFmtId="0" fontId="24" fillId="0" borderId="38" xfId="0" applyFont="1" applyBorder="1" applyAlignment="1">
      <alignment horizontal="center"/>
    </xf>
    <xf numFmtId="0" fontId="24" fillId="0" borderId="33" xfId="0" applyFont="1" applyBorder="1"/>
    <xf numFmtId="3" fontId="24" fillId="0" borderId="33" xfId="0" applyNumberFormat="1" applyFont="1" applyBorder="1"/>
    <xf numFmtId="0" fontId="37" fillId="0" borderId="38" xfId="0" applyFont="1" applyBorder="1" applyAlignment="1">
      <alignment horizontal="left"/>
    </xf>
    <xf numFmtId="0" fontId="37" fillId="0" borderId="33" xfId="0" applyFont="1" applyBorder="1"/>
    <xf numFmtId="3" fontId="37" fillId="0" borderId="33" xfId="0" applyNumberFormat="1" applyFont="1" applyBorder="1"/>
    <xf numFmtId="0" fontId="34" fillId="0" borderId="38" xfId="0" applyFont="1" applyBorder="1" applyAlignment="1">
      <alignment horizontal="left"/>
    </xf>
    <xf numFmtId="0" fontId="34" fillId="0" borderId="33" xfId="0" applyFont="1" applyBorder="1" applyAlignment="1">
      <alignment horizontal="center"/>
    </xf>
    <xf numFmtId="3" fontId="34" fillId="0" borderId="33" xfId="0" applyNumberFormat="1" applyFont="1" applyBorder="1"/>
    <xf numFmtId="0" fontId="34" fillId="0" borderId="38" xfId="0" applyFont="1" applyBorder="1"/>
    <xf numFmtId="0" fontId="37" fillId="0" borderId="33" xfId="0" applyFont="1" applyBorder="1" applyAlignment="1">
      <alignment horizontal="center"/>
    </xf>
    <xf numFmtId="3" fontId="37" fillId="0" borderId="33" xfId="0" applyNumberFormat="1" applyFont="1" applyBorder="1" applyAlignment="1">
      <alignment horizontal="center"/>
    </xf>
    <xf numFmtId="0" fontId="24" fillId="0" borderId="33" xfId="0" applyFont="1" applyBorder="1" applyAlignment="1">
      <alignment horizontal="center"/>
    </xf>
    <xf numFmtId="3" fontId="24" fillId="0" borderId="33" xfId="0" applyNumberFormat="1" applyFont="1" applyBorder="1" applyAlignment="1">
      <alignment horizontal="right"/>
    </xf>
    <xf numFmtId="3" fontId="24" fillId="0" borderId="33" xfId="0" applyNumberFormat="1" applyFont="1" applyBorder="1" applyAlignment="1">
      <alignment horizontal="center"/>
    </xf>
    <xf numFmtId="0" fontId="24" fillId="0" borderId="38" xfId="0" applyFont="1" applyBorder="1" applyAlignment="1">
      <alignment horizontal="center" vertical="center" wrapText="1"/>
    </xf>
    <xf numFmtId="0" fontId="37" fillId="0" borderId="38" xfId="0" applyFont="1" applyBorder="1"/>
    <xf numFmtId="3" fontId="37" fillId="3" borderId="33" xfId="0" applyNumberFormat="1" applyFont="1" applyFill="1" applyBorder="1"/>
    <xf numFmtId="0" fontId="37" fillId="0" borderId="131" xfId="0" applyFont="1" applyBorder="1"/>
    <xf numFmtId="0" fontId="37" fillId="0" borderId="90" xfId="0" applyFont="1" applyBorder="1" applyAlignment="1">
      <alignment horizontal="center"/>
    </xf>
    <xf numFmtId="3" fontId="34" fillId="0" borderId="90" xfId="0" applyNumberFormat="1" applyFont="1" applyBorder="1"/>
    <xf numFmtId="3" fontId="37" fillId="0" borderId="90" xfId="0" applyNumberFormat="1" applyFont="1" applyBorder="1"/>
    <xf numFmtId="0" fontId="37" fillId="0" borderId="0" xfId="0" applyFont="1"/>
    <xf numFmtId="3" fontId="34" fillId="0" borderId="13" xfId="0" applyNumberFormat="1" applyFont="1" applyBorder="1"/>
    <xf numFmtId="3" fontId="34" fillId="0" borderId="0" xfId="0" applyNumberFormat="1" applyFont="1"/>
    <xf numFmtId="0" fontId="14" fillId="5" borderId="134" xfId="0" applyFont="1" applyFill="1" applyBorder="1" applyAlignment="1">
      <alignment horizontal="center" vertical="center"/>
    </xf>
    <xf numFmtId="0" fontId="43" fillId="6" borderId="0" xfId="0" applyFont="1" applyFill="1" applyAlignment="1">
      <alignment horizontal="center"/>
    </xf>
    <xf numFmtId="4" fontId="0" fillId="0" borderId="135" xfId="0" applyNumberFormat="1" applyBorder="1"/>
    <xf numFmtId="167" fontId="24" fillId="2" borderId="136" xfId="0" applyNumberFormat="1" applyFont="1" applyFill="1" applyBorder="1"/>
    <xf numFmtId="4" fontId="24" fillId="0" borderId="132" xfId="0" applyNumberFormat="1" applyFont="1" applyBorder="1"/>
    <xf numFmtId="4" fontId="37" fillId="0" borderId="132" xfId="0" applyNumberFormat="1" applyFont="1" applyBorder="1"/>
    <xf numFmtId="4" fontId="44" fillId="0" borderId="0" xfId="0" applyNumberFormat="1" applyFont="1"/>
    <xf numFmtId="167" fontId="34" fillId="2" borderId="136" xfId="0" applyNumberFormat="1" applyFont="1" applyFill="1" applyBorder="1"/>
    <xf numFmtId="4" fontId="34" fillId="0" borderId="132" xfId="0" applyNumberFormat="1" applyFont="1" applyBorder="1"/>
    <xf numFmtId="4" fontId="45" fillId="0" borderId="0" xfId="0" applyNumberFormat="1" applyFont="1"/>
    <xf numFmtId="3" fontId="7" fillId="0" borderId="0" xfId="0" applyNumberFormat="1" applyFont="1" applyAlignment="1">
      <alignment horizontal="center"/>
    </xf>
    <xf numFmtId="3" fontId="34" fillId="0" borderId="33" xfId="0" applyNumberFormat="1" applyFont="1" applyBorder="1" applyAlignment="1">
      <alignment horizontal="right"/>
    </xf>
    <xf numFmtId="3" fontId="37" fillId="0" borderId="33" xfId="0" applyNumberFormat="1" applyFont="1" applyBorder="1" applyAlignment="1">
      <alignment horizontal="right"/>
    </xf>
    <xf numFmtId="4" fontId="46" fillId="0" borderId="0" xfId="0" applyNumberFormat="1" applyFont="1"/>
    <xf numFmtId="4" fontId="47" fillId="0" borderId="0" xfId="0" applyNumberFormat="1" applyFont="1"/>
    <xf numFmtId="4" fontId="48" fillId="0" borderId="0" xfId="0" applyNumberFormat="1" applyFont="1"/>
    <xf numFmtId="168" fontId="37" fillId="0" borderId="132" xfId="0" applyNumberFormat="1" applyFont="1" applyBorder="1"/>
    <xf numFmtId="3" fontId="49" fillId="3" borderId="0" xfId="0" applyNumberFormat="1" applyFont="1" applyFill="1"/>
    <xf numFmtId="168" fontId="24" fillId="0" borderId="132" xfId="0" applyNumberFormat="1" applyFont="1" applyBorder="1"/>
    <xf numFmtId="3" fontId="50" fillId="0" borderId="0" xfId="0" applyNumberFormat="1" applyFont="1"/>
    <xf numFmtId="168" fontId="37" fillId="0" borderId="137" xfId="0" applyNumberFormat="1" applyFont="1" applyBorder="1"/>
    <xf numFmtId="0" fontId="51" fillId="0" borderId="0" xfId="0" applyFont="1"/>
    <xf numFmtId="4" fontId="51" fillId="0" borderId="0" xfId="0" applyNumberFormat="1" applyFont="1"/>
    <xf numFmtId="0" fontId="52" fillId="0" borderId="0" xfId="0" applyFont="1" applyAlignment="1">
      <alignment horizontal="center"/>
    </xf>
    <xf numFmtId="0" fontId="52" fillId="0" borderId="0" xfId="0" applyFont="1"/>
    <xf numFmtId="0" fontId="53" fillId="0" borderId="0" xfId="0" applyFont="1"/>
    <xf numFmtId="4" fontId="54" fillId="0" borderId="0" xfId="0" applyNumberFormat="1" applyFont="1"/>
    <xf numFmtId="0" fontId="9" fillId="0" borderId="0" xfId="0" applyFont="1"/>
    <xf numFmtId="0" fontId="14" fillId="5" borderId="144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145" xfId="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 wrapText="1"/>
    </xf>
    <xf numFmtId="0" fontId="14" fillId="5" borderId="146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horizontal="center" vertical="center" wrapText="1"/>
    </xf>
    <xf numFmtId="0" fontId="7" fillId="0" borderId="19" xfId="0" applyFont="1" applyBorder="1"/>
    <xf numFmtId="3" fontId="0" fillId="0" borderId="20" xfId="0" applyNumberFormat="1" applyBorder="1"/>
    <xf numFmtId="3" fontId="0" fillId="0" borderId="28" xfId="0" applyNumberFormat="1" applyBorder="1"/>
    <xf numFmtId="3" fontId="0" fillId="0" borderId="136" xfId="0" applyNumberFormat="1" applyBorder="1"/>
    <xf numFmtId="0" fontId="24" fillId="0" borderId="147" xfId="0" applyFont="1" applyBorder="1"/>
    <xf numFmtId="3" fontId="24" fillId="0" borderId="19" xfId="0" applyNumberFormat="1" applyFont="1" applyBorder="1"/>
    <xf numFmtId="3" fontId="24" fillId="2" borderId="20" xfId="0" applyNumberFormat="1" applyFont="1" applyFill="1" applyBorder="1"/>
    <xf numFmtId="3" fontId="24" fillId="0" borderId="20" xfId="0" applyNumberFormat="1" applyFont="1" applyBorder="1"/>
    <xf numFmtId="3" fontId="24" fillId="0" borderId="136" xfId="0" applyNumberFormat="1" applyFont="1" applyBorder="1"/>
    <xf numFmtId="0" fontId="24" fillId="0" borderId="0" xfId="0" applyFont="1" applyAlignment="1">
      <alignment horizontal="left"/>
    </xf>
    <xf numFmtId="0" fontId="24" fillId="0" borderId="147" xfId="0" applyFont="1" applyBorder="1" applyAlignment="1">
      <alignment horizontal="left"/>
    </xf>
    <xf numFmtId="3" fontId="24" fillId="0" borderId="19" xfId="0" applyNumberFormat="1" applyFont="1" applyBorder="1" applyAlignment="1">
      <alignment horizontal="right"/>
    </xf>
    <xf numFmtId="0" fontId="34" fillId="0" borderId="147" xfId="0" applyFont="1" applyBorder="1" applyAlignment="1">
      <alignment horizontal="left"/>
    </xf>
    <xf numFmtId="3" fontId="34" fillId="0" borderId="19" xfId="0" applyNumberFormat="1" applyFont="1" applyBorder="1" applyAlignment="1">
      <alignment horizontal="left"/>
    </xf>
    <xf numFmtId="3" fontId="34" fillId="0" borderId="20" xfId="0" applyNumberFormat="1" applyFont="1" applyBorder="1"/>
    <xf numFmtId="3" fontId="34" fillId="0" borderId="136" xfId="0" applyNumberFormat="1" applyFont="1" applyBorder="1"/>
    <xf numFmtId="0" fontId="34" fillId="0" borderId="147" xfId="0" applyFont="1" applyBorder="1"/>
    <xf numFmtId="3" fontId="34" fillId="0" borderId="19" xfId="0" applyNumberFormat="1" applyFont="1" applyBorder="1"/>
    <xf numFmtId="164" fontId="24" fillId="0" borderId="147" xfId="1" applyFont="1" applyFill="1" applyBorder="1" applyAlignment="1" applyProtection="1"/>
    <xf numFmtId="3" fontId="24" fillId="0" borderId="19" xfId="1" applyNumberFormat="1" applyFont="1" applyFill="1" applyBorder="1" applyAlignment="1" applyProtection="1"/>
    <xf numFmtId="3" fontId="24" fillId="0" borderId="20" xfId="0" applyNumberFormat="1" applyFont="1" applyBorder="1" applyAlignment="1">
      <alignment horizontal="right"/>
    </xf>
    <xf numFmtId="0" fontId="34" fillId="0" borderId="0" xfId="0" applyFont="1" applyAlignment="1">
      <alignment horizontal="left"/>
    </xf>
    <xf numFmtId="3" fontId="35" fillId="0" borderId="20" xfId="0" applyNumberFormat="1" applyFont="1" applyBorder="1"/>
    <xf numFmtId="3" fontId="35" fillId="0" borderId="20" xfId="0" applyNumberFormat="1" applyFont="1" applyBorder="1" applyAlignment="1">
      <alignment horizontal="right"/>
    </xf>
    <xf numFmtId="3" fontId="36" fillId="0" borderId="20" xfId="0" applyNumberFormat="1" applyFont="1" applyBorder="1"/>
    <xf numFmtId="3" fontId="34" fillId="0" borderId="20" xfId="0" applyNumberFormat="1" applyFont="1" applyBorder="1" applyAlignment="1">
      <alignment horizontal="right"/>
    </xf>
    <xf numFmtId="3" fontId="34" fillId="2" borderId="136" xfId="0" applyNumberFormat="1" applyFont="1" applyFill="1" applyBorder="1"/>
    <xf numFmtId="3" fontId="24" fillId="2" borderId="136" xfId="0" applyNumberFormat="1" applyFont="1" applyFill="1" applyBorder="1"/>
    <xf numFmtId="0" fontId="24" fillId="0" borderId="18" xfId="0" applyFont="1" applyBorder="1" applyAlignment="1">
      <alignment horizontal="left"/>
    </xf>
    <xf numFmtId="0" fontId="34" fillId="0" borderId="148" xfId="0" applyFont="1" applyBorder="1"/>
    <xf numFmtId="3" fontId="34" fillId="0" borderId="21" xfId="0" applyNumberFormat="1" applyFont="1" applyBorder="1"/>
    <xf numFmtId="3" fontId="34" fillId="2" borderId="149" xfId="0" applyNumberFormat="1" applyFont="1" applyFill="1" applyBorder="1"/>
    <xf numFmtId="0" fontId="24" fillId="0" borderId="19" xfId="0" applyFont="1" applyBorder="1" applyAlignment="1">
      <alignment horizontal="left"/>
    </xf>
    <xf numFmtId="170" fontId="24" fillId="2" borderId="20" xfId="0" applyNumberFormat="1" applyFont="1" applyFill="1" applyBorder="1"/>
    <xf numFmtId="170" fontId="34" fillId="2" borderId="20" xfId="0" applyNumberFormat="1" applyFont="1" applyFill="1" applyBorder="1"/>
    <xf numFmtId="37" fontId="34" fillId="0" borderId="20" xfId="0" applyNumberFormat="1" applyFont="1" applyBorder="1"/>
    <xf numFmtId="0" fontId="34" fillId="0" borderId="22" xfId="0" applyFont="1" applyBorder="1"/>
    <xf numFmtId="0" fontId="34" fillId="0" borderId="21" xfId="0" applyFont="1" applyBorder="1"/>
    <xf numFmtId="37" fontId="34" fillId="0" borderId="21" xfId="0" applyNumberFormat="1" applyFont="1" applyBorder="1"/>
    <xf numFmtId="0" fontId="34" fillId="0" borderId="25" xfId="0" applyFont="1" applyBorder="1"/>
    <xf numFmtId="0" fontId="34" fillId="0" borderId="0" xfId="0" applyFont="1"/>
    <xf numFmtId="3" fontId="34" fillId="0" borderId="25" xfId="0" applyNumberFormat="1" applyFont="1" applyBorder="1"/>
    <xf numFmtId="37" fontId="34" fillId="0" borderId="25" xfId="0" applyNumberFormat="1" applyFont="1" applyBorder="1"/>
    <xf numFmtId="37" fontId="0" fillId="0" borderId="0" xfId="0" applyNumberFormat="1"/>
    <xf numFmtId="0" fontId="30" fillId="0" borderId="0" xfId="0" applyFont="1"/>
    <xf numFmtId="0" fontId="55" fillId="0" borderId="0" xfId="0" applyFont="1"/>
    <xf numFmtId="3" fontId="30" fillId="0" borderId="0" xfId="0" applyNumberFormat="1" applyFont="1"/>
    <xf numFmtId="4" fontId="19" fillId="0" borderId="0" xfId="0" applyNumberFormat="1" applyFont="1"/>
    <xf numFmtId="0" fontId="14" fillId="5" borderId="4" xfId="0" applyFont="1" applyFill="1" applyBorder="1" applyAlignment="1">
      <alignment horizontal="center" vertical="center" wrapText="1"/>
    </xf>
    <xf numFmtId="168" fontId="24" fillId="0" borderId="0" xfId="0" applyNumberFormat="1" applyFont="1" applyAlignment="1">
      <alignment horizontal="center"/>
    </xf>
    <xf numFmtId="4" fontId="29" fillId="0" borderId="0" xfId="0" applyNumberFormat="1" applyFont="1"/>
    <xf numFmtId="3" fontId="53" fillId="0" borderId="0" xfId="0" applyNumberFormat="1" applyFont="1"/>
    <xf numFmtId="0" fontId="24" fillId="0" borderId="0" xfId="0" applyFont="1" applyAlignment="1">
      <alignment horizontal="center"/>
    </xf>
    <xf numFmtId="4" fontId="53" fillId="0" borderId="0" xfId="0" applyNumberFormat="1" applyFont="1"/>
    <xf numFmtId="168" fontId="34" fillId="0" borderId="0" xfId="0" applyNumberFormat="1" applyFont="1" applyAlignment="1">
      <alignment horizontal="center"/>
    </xf>
    <xf numFmtId="0" fontId="56" fillId="0" borderId="0" xfId="0" applyFont="1"/>
    <xf numFmtId="168" fontId="34" fillId="0" borderId="17" xfId="0" applyNumberFormat="1" applyFont="1" applyBorder="1" applyAlignment="1">
      <alignment horizontal="center"/>
    </xf>
    <xf numFmtId="0" fontId="34" fillId="0" borderId="26" xfId="0" applyFont="1" applyBorder="1"/>
    <xf numFmtId="0" fontId="59" fillId="4" borderId="25" xfId="0" applyFont="1" applyFill="1" applyBorder="1"/>
    <xf numFmtId="0" fontId="58" fillId="4" borderId="0" xfId="0" applyFont="1" applyFill="1" applyAlignment="1">
      <alignment horizontal="center"/>
    </xf>
    <xf numFmtId="0" fontId="58" fillId="4" borderId="11" xfId="0" applyFont="1" applyFill="1" applyBorder="1" applyAlignment="1">
      <alignment horizontal="center"/>
    </xf>
    <xf numFmtId="0" fontId="59" fillId="4" borderId="27" xfId="0" applyFont="1" applyFill="1" applyBorder="1"/>
    <xf numFmtId="0" fontId="59" fillId="4" borderId="12" xfId="0" applyFont="1" applyFill="1" applyBorder="1"/>
    <xf numFmtId="0" fontId="0" fillId="0" borderId="11" xfId="0" applyBorder="1" applyAlignment="1">
      <alignment horizontal="left"/>
    </xf>
    <xf numFmtId="0" fontId="9" fillId="0" borderId="8" xfId="0" applyFont="1" applyBorder="1" applyAlignment="1">
      <alignment horizontal="center" vertical="center"/>
    </xf>
    <xf numFmtId="3" fontId="61" fillId="0" borderId="0" xfId="0" applyNumberFormat="1" applyFont="1" applyAlignment="1">
      <alignment horizontal="right" vertical="center"/>
    </xf>
    <xf numFmtId="3" fontId="61" fillId="0" borderId="11" xfId="0" applyNumberFormat="1" applyFont="1" applyBorder="1" applyAlignment="1">
      <alignment horizontal="right" vertical="center"/>
    </xf>
    <xf numFmtId="0" fontId="16" fillId="0" borderId="8" xfId="0" applyFont="1" applyBorder="1"/>
    <xf numFmtId="3" fontId="16" fillId="0" borderId="11" xfId="0" applyNumberFormat="1" applyFont="1" applyBorder="1" applyAlignment="1">
      <alignment horizontal="left"/>
    </xf>
    <xf numFmtId="3" fontId="16" fillId="0" borderId="0" xfId="0" applyNumberFormat="1" applyFont="1" applyAlignment="1">
      <alignment horizontal="left"/>
    </xf>
    <xf numFmtId="0" fontId="0" fillId="0" borderId="8" xfId="0" applyBorder="1" applyAlignment="1">
      <alignment vertical="center"/>
    </xf>
    <xf numFmtId="3" fontId="0" fillId="0" borderId="11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57" fillId="0" borderId="0" xfId="0" applyFont="1"/>
    <xf numFmtId="3" fontId="16" fillId="0" borderId="11" xfId="0" applyNumberFormat="1" applyFont="1" applyBorder="1" applyAlignment="1">
      <alignment horizontal="right"/>
    </xf>
    <xf numFmtId="3" fontId="16" fillId="0" borderId="0" xfId="0" applyNumberFormat="1" applyFont="1" applyAlignment="1">
      <alignment horizontal="right"/>
    </xf>
    <xf numFmtId="3" fontId="9" fillId="0" borderId="11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3" fontId="21" fillId="0" borderId="0" xfId="0" applyNumberFormat="1" applyFont="1" applyAlignment="1">
      <alignment horizontal="right" vertical="center"/>
    </xf>
    <xf numFmtId="3" fontId="21" fillId="0" borderId="11" xfId="0" applyNumberFormat="1" applyFont="1" applyBorder="1" applyAlignment="1">
      <alignment horizontal="right" vertical="center"/>
    </xf>
    <xf numFmtId="3" fontId="0" fillId="0" borderId="11" xfId="0" applyNumberFormat="1" applyBorder="1"/>
    <xf numFmtId="0" fontId="16" fillId="0" borderId="11" xfId="0" applyFont="1" applyBorder="1"/>
    <xf numFmtId="3" fontId="16" fillId="0" borderId="0" xfId="0" applyNumberFormat="1" applyFont="1"/>
    <xf numFmtId="0" fontId="63" fillId="0" borderId="0" xfId="5" applyFont="1"/>
    <xf numFmtId="0" fontId="63" fillId="0" borderId="0" xfId="5" applyFont="1" applyAlignment="1">
      <alignment horizontal="left"/>
    </xf>
    <xf numFmtId="0" fontId="64" fillId="0" borderId="0" xfId="5" applyFont="1" applyAlignment="1">
      <alignment horizontal="center"/>
    </xf>
    <xf numFmtId="0" fontId="62" fillId="0" borderId="0" xfId="5"/>
    <xf numFmtId="0" fontId="66" fillId="0" borderId="0" xfId="5" applyFont="1"/>
    <xf numFmtId="0" fontId="62" fillId="0" borderId="0" xfId="5" applyAlignment="1">
      <alignment horizontal="center"/>
    </xf>
    <xf numFmtId="0" fontId="68" fillId="5" borderId="23" xfId="5" applyFont="1" applyFill="1" applyBorder="1" applyAlignment="1">
      <alignment horizontal="center" vertical="center"/>
    </xf>
    <xf numFmtId="0" fontId="68" fillId="5" borderId="21" xfId="5" applyFont="1" applyFill="1" applyBorder="1" applyAlignment="1">
      <alignment horizontal="center" vertical="center" wrapText="1"/>
    </xf>
    <xf numFmtId="0" fontId="68" fillId="5" borderId="151" xfId="5" applyFont="1" applyFill="1" applyBorder="1" applyAlignment="1">
      <alignment horizontal="center" vertical="center" wrapText="1"/>
    </xf>
    <xf numFmtId="0" fontId="62" fillId="0" borderId="19" xfId="5" applyBorder="1"/>
    <xf numFmtId="0" fontId="62" fillId="0" borderId="154" xfId="5" applyBorder="1"/>
    <xf numFmtId="0" fontId="69" fillId="0" borderId="20" xfId="5" applyFont="1" applyBorder="1" applyAlignment="1">
      <alignment horizontal="center"/>
    </xf>
    <xf numFmtId="174" fontId="69" fillId="0" borderId="28" xfId="5" applyNumberFormat="1" applyFont="1" applyBorder="1" applyAlignment="1">
      <alignment horizontal="center"/>
    </xf>
    <xf numFmtId="0" fontId="62" fillId="0" borderId="56" xfId="5" applyBorder="1"/>
    <xf numFmtId="0" fontId="70" fillId="0" borderId="19" xfId="5" applyFont="1" applyBorder="1"/>
    <xf numFmtId="3" fontId="70" fillId="3" borderId="20" xfId="5" applyNumberFormat="1" applyFont="1" applyFill="1" applyBorder="1"/>
    <xf numFmtId="3" fontId="70" fillId="0" borderId="20" xfId="5" applyNumberFormat="1" applyFont="1" applyBorder="1"/>
    <xf numFmtId="169" fontId="70" fillId="3" borderId="28" xfId="5" applyNumberFormat="1" applyFont="1" applyFill="1" applyBorder="1"/>
    <xf numFmtId="0" fontId="62" fillId="8" borderId="0" xfId="5" applyFill="1"/>
    <xf numFmtId="169" fontId="70" fillId="0" borderId="28" xfId="5" applyNumberFormat="1" applyFont="1" applyBorder="1"/>
    <xf numFmtId="0" fontId="70" fillId="3" borderId="19" xfId="5" applyFont="1" applyFill="1" applyBorder="1" applyAlignment="1">
      <alignment horizontal="left"/>
    </xf>
    <xf numFmtId="3" fontId="70" fillId="3" borderId="19" xfId="5" applyNumberFormat="1" applyFont="1" applyFill="1" applyBorder="1"/>
    <xf numFmtId="0" fontId="71" fillId="3" borderId="19" xfId="5" applyFont="1" applyFill="1" applyBorder="1" applyAlignment="1">
      <alignment horizontal="left"/>
    </xf>
    <xf numFmtId="3" fontId="71" fillId="3" borderId="20" xfId="5" applyNumberFormat="1" applyFont="1" applyFill="1" applyBorder="1"/>
    <xf numFmtId="169" fontId="71" fillId="3" borderId="28" xfId="5" applyNumberFormat="1" applyFont="1" applyFill="1" applyBorder="1"/>
    <xf numFmtId="0" fontId="72" fillId="3" borderId="19" xfId="5" applyFont="1" applyFill="1" applyBorder="1"/>
    <xf numFmtId="3" fontId="72" fillId="3" borderId="20" xfId="5" applyNumberFormat="1" applyFont="1" applyFill="1" applyBorder="1"/>
    <xf numFmtId="169" fontId="72" fillId="3" borderId="28" xfId="5" applyNumberFormat="1" applyFont="1" applyFill="1" applyBorder="1"/>
    <xf numFmtId="0" fontId="72" fillId="3" borderId="19" xfId="5" applyFont="1" applyFill="1" applyBorder="1" applyAlignment="1">
      <alignment horizontal="left"/>
    </xf>
    <xf numFmtId="0" fontId="72" fillId="3" borderId="20" xfId="5" applyFont="1" applyFill="1" applyBorder="1" applyAlignment="1">
      <alignment horizontal="left"/>
    </xf>
    <xf numFmtId="3" fontId="62" fillId="0" borderId="0" xfId="5" applyNumberFormat="1"/>
    <xf numFmtId="0" fontId="73" fillId="3" borderId="19" xfId="5" applyFont="1" applyFill="1" applyBorder="1" applyAlignment="1">
      <alignment horizontal="left"/>
    </xf>
    <xf numFmtId="0" fontId="73" fillId="3" borderId="20" xfId="5" applyFont="1" applyFill="1" applyBorder="1" applyAlignment="1">
      <alignment horizontal="left"/>
    </xf>
    <xf numFmtId="3" fontId="71" fillId="7" borderId="20" xfId="5" applyNumberFormat="1" applyFont="1" applyFill="1" applyBorder="1"/>
    <xf numFmtId="0" fontId="70" fillId="3" borderId="22" xfId="5" applyFont="1" applyFill="1" applyBorder="1" applyAlignment="1">
      <alignment horizontal="left"/>
    </xf>
    <xf numFmtId="169" fontId="71" fillId="3" borderId="26" xfId="5" applyNumberFormat="1" applyFont="1" applyFill="1" applyBorder="1"/>
    <xf numFmtId="0" fontId="68" fillId="3" borderId="0" xfId="5" applyFont="1" applyFill="1"/>
    <xf numFmtId="0" fontId="69" fillId="3" borderId="0" xfId="5" applyFont="1" applyFill="1"/>
    <xf numFmtId="0" fontId="74" fillId="0" borderId="0" xfId="5" applyFont="1"/>
    <xf numFmtId="0" fontId="75" fillId="0" borderId="0" xfId="5" applyFont="1"/>
    <xf numFmtId="0" fontId="68" fillId="0" borderId="0" xfId="5" applyFont="1"/>
    <xf numFmtId="0" fontId="76" fillId="0" borderId="0" xfId="5" applyFont="1"/>
    <xf numFmtId="3" fontId="77" fillId="0" borderId="0" xfId="5" applyNumberFormat="1" applyFont="1" applyAlignment="1">
      <alignment horizontal="left"/>
    </xf>
    <xf numFmtId="3" fontId="72" fillId="0" borderId="20" xfId="5" applyNumberFormat="1" applyFont="1" applyBorder="1"/>
    <xf numFmtId="0" fontId="72" fillId="0" borderId="19" xfId="5" applyFont="1" applyBorder="1" applyAlignment="1">
      <alignment horizontal="left"/>
    </xf>
    <xf numFmtId="0" fontId="72" fillId="0" borderId="20" xfId="5" applyFont="1" applyBorder="1" applyAlignment="1">
      <alignment horizontal="left"/>
    </xf>
    <xf numFmtId="0" fontId="70" fillId="0" borderId="19" xfId="5" applyFont="1" applyBorder="1" applyAlignment="1">
      <alignment horizontal="left"/>
    </xf>
    <xf numFmtId="0" fontId="70" fillId="0" borderId="20" xfId="5" applyFont="1" applyBorder="1" applyAlignment="1">
      <alignment horizontal="left"/>
    </xf>
    <xf numFmtId="3" fontId="70" fillId="0" borderId="20" xfId="5" applyNumberFormat="1" applyFont="1" applyBorder="1" applyAlignment="1">
      <alignment horizontal="right"/>
    </xf>
    <xf numFmtId="170" fontId="70" fillId="0" borderId="20" xfId="5" applyNumberFormat="1" applyFont="1" applyBorder="1" applyAlignment="1">
      <alignment horizontal="right"/>
    </xf>
    <xf numFmtId="3" fontId="70" fillId="0" borderId="19" xfId="5" applyNumberFormat="1" applyFont="1" applyBorder="1" applyAlignment="1">
      <alignment horizontal="right"/>
    </xf>
    <xf numFmtId="0" fontId="70" fillId="3" borderId="155" xfId="5" applyFont="1" applyFill="1" applyBorder="1" applyAlignment="1">
      <alignment horizontal="left"/>
    </xf>
    <xf numFmtId="170" fontId="70" fillId="3" borderId="155" xfId="5" applyNumberFormat="1" applyFont="1" applyFill="1" applyBorder="1"/>
    <xf numFmtId="167" fontId="70" fillId="3" borderId="155" xfId="5" applyNumberFormat="1" applyFont="1" applyFill="1" applyBorder="1" applyAlignment="1">
      <alignment horizontal="right"/>
    </xf>
    <xf numFmtId="3" fontId="8" fillId="0" borderId="40" xfId="0" applyNumberFormat="1" applyFont="1" applyBorder="1"/>
    <xf numFmtId="3" fontId="8" fillId="3" borderId="32" xfId="0" applyNumberFormat="1" applyFont="1" applyFill="1" applyBorder="1"/>
    <xf numFmtId="0" fontId="60" fillId="4" borderId="17" xfId="0" applyFont="1" applyFill="1" applyBorder="1" applyAlignment="1">
      <alignment horizontal="center"/>
    </xf>
    <xf numFmtId="0" fontId="60" fillId="4" borderId="27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58" fillId="4" borderId="29" xfId="0" applyFont="1" applyFill="1" applyBorder="1" applyAlignment="1">
      <alignment horizontal="center" vertical="center" wrapText="1"/>
    </xf>
    <xf numFmtId="0" fontId="58" fillId="4" borderId="8" xfId="0" applyFont="1" applyFill="1" applyBorder="1" applyAlignment="1">
      <alignment horizontal="center" vertical="center" wrapText="1"/>
    </xf>
    <xf numFmtId="0" fontId="58" fillId="4" borderId="18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5" borderId="29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138" xfId="0" applyFont="1" applyFill="1" applyBorder="1" applyAlignment="1">
      <alignment horizontal="center" vertical="center" wrapText="1"/>
    </xf>
    <xf numFmtId="0" fontId="14" fillId="5" borderId="14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5" borderId="139" xfId="0" applyFont="1" applyFill="1" applyBorder="1" applyAlignment="1">
      <alignment horizontal="center" vertical="center"/>
    </xf>
    <xf numFmtId="0" fontId="14" fillId="5" borderId="140" xfId="0" applyFont="1" applyFill="1" applyBorder="1" applyAlignment="1">
      <alignment horizontal="center" vertical="center"/>
    </xf>
    <xf numFmtId="0" fontId="14" fillId="5" borderId="141" xfId="0" applyFont="1" applyFill="1" applyBorder="1" applyAlignment="1">
      <alignment horizontal="center" vertical="center"/>
    </xf>
    <xf numFmtId="0" fontId="14" fillId="5" borderId="142" xfId="0" applyFont="1" applyFill="1" applyBorder="1" applyAlignment="1">
      <alignment horizontal="center" vertical="center"/>
    </xf>
    <xf numFmtId="0" fontId="14" fillId="5" borderId="143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9" fillId="0" borderId="38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132" xfId="0" applyFont="1" applyBorder="1" applyAlignment="1">
      <alignment horizontal="center"/>
    </xf>
    <xf numFmtId="0" fontId="14" fillId="5" borderId="126" xfId="0" applyFont="1" applyFill="1" applyBorder="1" applyAlignment="1">
      <alignment horizontal="center"/>
    </xf>
    <xf numFmtId="0" fontId="14" fillId="5" borderId="108" xfId="0" applyFont="1" applyFill="1" applyBorder="1" applyAlignment="1">
      <alignment horizontal="center"/>
    </xf>
    <xf numFmtId="0" fontId="14" fillId="5" borderId="127" xfId="0" applyFont="1" applyFill="1" applyBorder="1" applyAlignment="1">
      <alignment horizontal="center"/>
    </xf>
    <xf numFmtId="0" fontId="14" fillId="5" borderId="128" xfId="0" applyFont="1" applyFill="1" applyBorder="1" applyAlignment="1">
      <alignment horizontal="center"/>
    </xf>
    <xf numFmtId="0" fontId="14" fillId="5" borderId="133" xfId="0" applyFont="1" applyFill="1" applyBorder="1" applyAlignment="1">
      <alignment horizontal="center"/>
    </xf>
    <xf numFmtId="0" fontId="14" fillId="5" borderId="124" xfId="0" applyFont="1" applyFill="1" applyBorder="1" applyAlignment="1">
      <alignment horizontal="center" vertical="center" wrapText="1"/>
    </xf>
    <xf numFmtId="0" fontId="14" fillId="5" borderId="129" xfId="0" applyFont="1" applyFill="1" applyBorder="1" applyAlignment="1">
      <alignment horizontal="center" vertical="center" wrapText="1"/>
    </xf>
    <xf numFmtId="0" fontId="14" fillId="5" borderId="125" xfId="0" applyFont="1" applyFill="1" applyBorder="1" applyAlignment="1">
      <alignment horizontal="center" vertical="center" wrapText="1"/>
    </xf>
    <xf numFmtId="0" fontId="14" fillId="5" borderId="130" xfId="0" applyFont="1" applyFill="1" applyBorder="1" applyAlignment="1">
      <alignment horizontal="center" vertical="center" wrapText="1"/>
    </xf>
    <xf numFmtId="49" fontId="62" fillId="0" borderId="0" xfId="5" applyNumberFormat="1" applyAlignment="1">
      <alignment horizontal="center"/>
    </xf>
    <xf numFmtId="0" fontId="65" fillId="0" borderId="0" xfId="5" applyFont="1" applyAlignment="1">
      <alignment horizontal="center"/>
    </xf>
    <xf numFmtId="0" fontId="67" fillId="0" borderId="0" xfId="5" applyFont="1" applyAlignment="1">
      <alignment horizontal="center"/>
    </xf>
    <xf numFmtId="0" fontId="68" fillId="5" borderId="152" xfId="5" applyFont="1" applyFill="1" applyBorder="1" applyAlignment="1">
      <alignment horizontal="center" vertical="center"/>
    </xf>
    <xf numFmtId="0" fontId="68" fillId="5" borderId="153" xfId="5" applyFont="1" applyFill="1" applyBorder="1" applyAlignment="1">
      <alignment horizontal="center" vertical="center"/>
    </xf>
    <xf numFmtId="0" fontId="68" fillId="5" borderId="118" xfId="5" applyFont="1" applyFill="1" applyBorder="1" applyAlignment="1">
      <alignment horizontal="center" vertical="center"/>
    </xf>
    <xf numFmtId="0" fontId="68" fillId="5" borderId="119" xfId="5" applyFont="1" applyFill="1" applyBorder="1" applyAlignment="1">
      <alignment horizontal="center" vertical="center"/>
    </xf>
    <xf numFmtId="0" fontId="68" fillId="5" borderId="120" xfId="5" applyFont="1" applyFill="1" applyBorder="1" applyAlignment="1">
      <alignment horizontal="center" vertical="center"/>
    </xf>
    <xf numFmtId="0" fontId="68" fillId="5" borderId="121" xfId="5" applyFont="1" applyFill="1" applyBorder="1" applyAlignment="1">
      <alignment horizontal="center" vertical="center" wrapText="1"/>
    </xf>
    <xf numFmtId="0" fontId="68" fillId="5" borderId="151" xfId="5" applyFont="1" applyFill="1" applyBorder="1" applyAlignment="1">
      <alignment horizontal="center" vertical="center" wrapText="1"/>
    </xf>
    <xf numFmtId="0" fontId="68" fillId="5" borderId="122" xfId="5" applyFont="1" applyFill="1" applyBorder="1" applyAlignment="1">
      <alignment horizontal="center" vertical="center" wrapText="1"/>
    </xf>
    <xf numFmtId="0" fontId="68" fillId="5" borderId="150" xfId="5" applyFont="1" applyFill="1" applyBorder="1" applyAlignment="1">
      <alignment horizontal="center" vertical="center" wrapText="1"/>
    </xf>
    <xf numFmtId="0" fontId="14" fillId="5" borderId="117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 wrapText="1"/>
    </xf>
    <xf numFmtId="0" fontId="14" fillId="5" borderId="122" xfId="0" applyFont="1" applyFill="1" applyBorder="1" applyAlignment="1">
      <alignment horizontal="center" vertical="center" wrapText="1"/>
    </xf>
    <xf numFmtId="0" fontId="14" fillId="5" borderId="26" xfId="0" applyFont="1" applyFill="1" applyBorder="1" applyAlignment="1">
      <alignment horizontal="center" vertical="center" wrapText="1"/>
    </xf>
    <xf numFmtId="0" fontId="14" fillId="5" borderId="118" xfId="0" applyFont="1" applyFill="1" applyBorder="1" applyAlignment="1">
      <alignment horizontal="center" vertical="center" wrapText="1"/>
    </xf>
    <xf numFmtId="0" fontId="14" fillId="5" borderId="119" xfId="0" applyFont="1" applyFill="1" applyBorder="1" applyAlignment="1">
      <alignment horizontal="center" vertical="center" wrapText="1"/>
    </xf>
    <xf numFmtId="0" fontId="14" fillId="5" borderId="12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4" fillId="5" borderId="106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113" xfId="0" applyFont="1" applyFill="1" applyBorder="1" applyAlignment="1">
      <alignment horizontal="center" vertical="center" wrapText="1"/>
    </xf>
    <xf numFmtId="0" fontId="14" fillId="5" borderId="114" xfId="0" applyFont="1" applyFill="1" applyBorder="1" applyAlignment="1">
      <alignment horizontal="center" vertical="center" wrapText="1"/>
    </xf>
    <xf numFmtId="0" fontId="14" fillId="5" borderId="115" xfId="0" applyFont="1" applyFill="1" applyBorder="1" applyAlignment="1">
      <alignment horizontal="center" vertical="center" wrapText="1"/>
    </xf>
    <xf numFmtId="0" fontId="14" fillId="5" borderId="107" xfId="0" applyFont="1" applyFill="1" applyBorder="1" applyAlignment="1">
      <alignment horizontal="center" vertical="center"/>
    </xf>
    <xf numFmtId="0" fontId="14" fillId="5" borderId="108" xfId="0" applyFont="1" applyFill="1" applyBorder="1" applyAlignment="1">
      <alignment horizontal="center" vertical="center"/>
    </xf>
    <xf numFmtId="0" fontId="14" fillId="5" borderId="109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6" fontId="14" fillId="5" borderId="76" xfId="0" applyNumberFormat="1" applyFont="1" applyFill="1" applyBorder="1" applyAlignment="1">
      <alignment horizontal="center" vertical="center" wrapText="1"/>
    </xf>
    <xf numFmtId="166" fontId="14" fillId="5" borderId="77" xfId="0" applyNumberFormat="1" applyFont="1" applyFill="1" applyBorder="1" applyAlignment="1">
      <alignment horizontal="center" vertical="center" wrapText="1"/>
    </xf>
    <xf numFmtId="3" fontId="14" fillId="5" borderId="76" xfId="0" applyNumberFormat="1" applyFont="1" applyFill="1" applyBorder="1" applyAlignment="1">
      <alignment horizontal="center" vertical="center" wrapText="1"/>
    </xf>
    <xf numFmtId="3" fontId="14" fillId="5" borderId="77" xfId="0" applyNumberFormat="1" applyFont="1" applyFill="1" applyBorder="1" applyAlignment="1">
      <alignment horizontal="center" vertical="center" wrapText="1"/>
    </xf>
    <xf numFmtId="3" fontId="14" fillId="5" borderId="83" xfId="0" applyNumberFormat="1" applyFont="1" applyFill="1" applyBorder="1" applyAlignment="1">
      <alignment horizontal="center" vertical="center" wrapText="1"/>
    </xf>
    <xf numFmtId="3" fontId="14" fillId="5" borderId="74" xfId="0" applyNumberFormat="1" applyFont="1" applyFill="1" applyBorder="1" applyAlignment="1">
      <alignment horizontal="center" vertical="center" wrapText="1"/>
    </xf>
    <xf numFmtId="3" fontId="14" fillId="5" borderId="39" xfId="0" applyNumberFormat="1" applyFont="1" applyFill="1" applyBorder="1" applyAlignment="1">
      <alignment horizontal="center" vertical="center" wrapText="1"/>
    </xf>
    <xf numFmtId="3" fontId="14" fillId="5" borderId="34" xfId="0" applyNumberFormat="1" applyFont="1" applyFill="1" applyBorder="1" applyAlignment="1">
      <alignment horizontal="center" vertical="center" wrapText="1"/>
    </xf>
    <xf numFmtId="3" fontId="14" fillId="5" borderId="49" xfId="0" applyNumberFormat="1" applyFont="1" applyFill="1" applyBorder="1" applyAlignment="1">
      <alignment horizontal="center" vertical="center" wrapText="1"/>
    </xf>
    <xf numFmtId="3" fontId="14" fillId="5" borderId="37" xfId="0" applyNumberFormat="1" applyFont="1" applyFill="1" applyBorder="1" applyAlignment="1">
      <alignment horizontal="center" vertical="center" wrapText="1"/>
    </xf>
    <xf numFmtId="0" fontId="14" fillId="5" borderId="74" xfId="0" applyFont="1" applyFill="1" applyBorder="1" applyAlignment="1">
      <alignment horizontal="center" vertical="center"/>
    </xf>
    <xf numFmtId="0" fontId="14" fillId="5" borderId="34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75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44" xfId="0" applyFont="1" applyFill="1" applyBorder="1" applyAlignment="1">
      <alignment horizontal="center" vertical="center"/>
    </xf>
    <xf numFmtId="3" fontId="14" fillId="5" borderId="75" xfId="0" applyNumberFormat="1" applyFont="1" applyFill="1" applyBorder="1" applyAlignment="1">
      <alignment horizontal="center" vertical="center" wrapText="1"/>
    </xf>
    <xf numFmtId="3" fontId="14" fillId="5" borderId="6" xfId="0" applyNumberFormat="1" applyFont="1" applyFill="1" applyBorder="1" applyAlignment="1">
      <alignment horizontal="center" vertical="center" wrapText="1"/>
    </xf>
    <xf numFmtId="3" fontId="14" fillId="5" borderId="44" xfId="0" applyNumberFormat="1" applyFont="1" applyFill="1" applyBorder="1" applyAlignment="1">
      <alignment horizontal="center" vertical="center" wrapText="1"/>
    </xf>
    <xf numFmtId="3" fontId="14" fillId="5" borderId="82" xfId="0" applyNumberFormat="1" applyFont="1" applyFill="1" applyBorder="1" applyAlignment="1">
      <alignment horizontal="center" vertical="center" wrapText="1"/>
    </xf>
    <xf numFmtId="3" fontId="14" fillId="5" borderId="86" xfId="0" applyNumberFormat="1" applyFont="1" applyFill="1" applyBorder="1" applyAlignment="1">
      <alignment horizontal="center" vertical="center" wrapText="1"/>
    </xf>
    <xf numFmtId="49" fontId="14" fillId="5" borderId="84" xfId="0" applyNumberFormat="1" applyFont="1" applyFill="1" applyBorder="1" applyAlignment="1">
      <alignment horizontal="center" vertical="center" wrapText="1"/>
    </xf>
    <xf numFmtId="49" fontId="14" fillId="5" borderId="85" xfId="0" applyNumberFormat="1" applyFont="1" applyFill="1" applyBorder="1" applyAlignment="1">
      <alignment horizontal="center" vertical="center" wrapText="1"/>
    </xf>
    <xf numFmtId="49" fontId="14" fillId="5" borderId="87" xfId="0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5" borderId="51" xfId="0" applyFont="1" applyFill="1" applyBorder="1" applyAlignment="1">
      <alignment horizontal="center" vertical="center"/>
    </xf>
    <xf numFmtId="0" fontId="14" fillId="5" borderId="55" xfId="0" applyFont="1" applyFill="1" applyBorder="1" applyAlignment="1">
      <alignment horizontal="center" vertical="center"/>
    </xf>
    <xf numFmtId="0" fontId="14" fillId="5" borderId="58" xfId="0" applyFont="1" applyFill="1" applyBorder="1" applyAlignment="1">
      <alignment horizontal="center" vertical="center"/>
    </xf>
    <xf numFmtId="0" fontId="14" fillId="5" borderId="52" xfId="0" applyFont="1" applyFill="1" applyBorder="1" applyAlignment="1">
      <alignment horizontal="center" vertical="center"/>
    </xf>
    <xf numFmtId="0" fontId="14" fillId="5" borderId="56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/>
    </xf>
    <xf numFmtId="49" fontId="14" fillId="5" borderId="53" xfId="0" applyNumberFormat="1" applyFont="1" applyFill="1" applyBorder="1" applyAlignment="1">
      <alignment horizontal="center" vertical="center" wrapText="1"/>
    </xf>
    <xf numFmtId="49" fontId="14" fillId="5" borderId="68" xfId="0" applyNumberFormat="1" applyFont="1" applyFill="1" applyBorder="1" applyAlignment="1">
      <alignment horizontal="center" vertical="center" wrapText="1"/>
    </xf>
    <xf numFmtId="49" fontId="14" fillId="5" borderId="69" xfId="0" applyNumberFormat="1" applyFont="1" applyFill="1" applyBorder="1" applyAlignment="1">
      <alignment horizontal="center" vertical="center" wrapText="1"/>
    </xf>
    <xf numFmtId="3" fontId="14" fillId="5" borderId="53" xfId="0" applyNumberFormat="1" applyFont="1" applyFill="1" applyBorder="1" applyAlignment="1">
      <alignment horizontal="center" vertical="center" wrapText="1"/>
    </xf>
    <xf numFmtId="3" fontId="14" fillId="5" borderId="51" xfId="0" applyNumberFormat="1" applyFont="1" applyFill="1" applyBorder="1" applyAlignment="1">
      <alignment horizontal="center" vertical="center" wrapText="1"/>
    </xf>
    <xf numFmtId="3" fontId="14" fillId="5" borderId="68" xfId="0" applyNumberFormat="1" applyFont="1" applyFill="1" applyBorder="1" applyAlignment="1">
      <alignment horizontal="center" vertical="center" wrapText="1"/>
    </xf>
    <xf numFmtId="3" fontId="14" fillId="5" borderId="55" xfId="0" applyNumberFormat="1" applyFont="1" applyFill="1" applyBorder="1" applyAlignment="1">
      <alignment horizontal="center" vertical="center" wrapText="1"/>
    </xf>
    <xf numFmtId="3" fontId="14" fillId="5" borderId="69" xfId="0" applyNumberFormat="1" applyFont="1" applyFill="1" applyBorder="1" applyAlignment="1">
      <alignment horizontal="center" vertical="center" wrapText="1"/>
    </xf>
    <xf numFmtId="3" fontId="14" fillId="5" borderId="58" xfId="0" applyNumberFormat="1" applyFont="1" applyFill="1" applyBorder="1" applyAlignment="1">
      <alignment horizontal="center" vertical="center" wrapText="1"/>
    </xf>
    <xf numFmtId="166" fontId="14" fillId="5" borderId="53" xfId="0" applyNumberFormat="1" applyFont="1" applyFill="1" applyBorder="1" applyAlignment="1">
      <alignment horizontal="center" vertical="center" wrapText="1"/>
    </xf>
    <xf numFmtId="166" fontId="14" fillId="5" borderId="54" xfId="0" applyNumberFormat="1" applyFont="1" applyFill="1" applyBorder="1" applyAlignment="1">
      <alignment horizontal="center" vertical="center" wrapText="1"/>
    </xf>
    <xf numFmtId="166" fontId="14" fillId="5" borderId="51" xfId="0" applyNumberFormat="1" applyFont="1" applyFill="1" applyBorder="1" applyAlignment="1">
      <alignment horizontal="center" vertical="center" wrapText="1"/>
    </xf>
    <xf numFmtId="166" fontId="14" fillId="5" borderId="57" xfId="0" applyNumberFormat="1" applyFont="1" applyFill="1" applyBorder="1" applyAlignment="1">
      <alignment horizontal="center" vertical="center" wrapText="1"/>
    </xf>
    <xf numFmtId="166" fontId="14" fillId="5" borderId="27" xfId="0" applyNumberFormat="1" applyFont="1" applyFill="1" applyBorder="1" applyAlignment="1">
      <alignment horizontal="center" vertical="center" wrapText="1"/>
    </xf>
    <xf numFmtId="166" fontId="14" fillId="5" borderId="67" xfId="0" applyNumberFormat="1" applyFont="1" applyFill="1" applyBorder="1" applyAlignment="1">
      <alignment horizontal="center" vertical="center" wrapText="1"/>
    </xf>
    <xf numFmtId="0" fontId="12" fillId="0" borderId="50" xfId="0" applyFont="1" applyBorder="1" applyAlignment="1">
      <alignment horizontal="center"/>
    </xf>
    <xf numFmtId="0" fontId="14" fillId="5" borderId="43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41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7" fillId="4" borderId="42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</cellXfs>
  <cellStyles count="6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062948"/>
      <color rgb="FF000099"/>
      <color rgb="FF000066"/>
      <color rgb="FFFFCCFF"/>
      <color rgb="FF003399"/>
      <color rgb="FF0066CC"/>
      <color rgb="FF0033CC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 SEPTIEMBRE 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2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2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2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2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2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2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57</xdr:row>
      <xdr:rowOff>209550</xdr:rowOff>
    </xdr:from>
    <xdr:to>
      <xdr:col>11</xdr:col>
      <xdr:colOff>771525</xdr:colOff>
      <xdr:row>59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104775" y="11446510"/>
          <a:ext cx="8963025" cy="2813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45</xdr:row>
      <xdr:rowOff>28575</xdr:rowOff>
    </xdr:from>
    <xdr:to>
      <xdr:col>2</xdr:col>
      <xdr:colOff>800100</xdr:colOff>
      <xdr:row>48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-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to"/>
      <sheetName val="FINANC. PTO"/>
      <sheetName val="C-1"/>
      <sheetName val="C-2"/>
      <sheetName val="C-3"/>
      <sheetName val="C-4"/>
      <sheetName val="Transf"/>
      <sheetName val="C-5"/>
      <sheetName val="C-8"/>
      <sheetName val="C-6"/>
      <sheetName val="C-7"/>
      <sheetName val="C-9"/>
      <sheetName val="C-10"/>
      <sheetName val="Ing.corr-k"/>
      <sheetName val="CA1"/>
      <sheetName val="CA2"/>
      <sheetName val="C-A3"/>
      <sheetName val="C-A4"/>
      <sheetName val="C-A5"/>
      <sheetName val="C-A6"/>
      <sheetName val="C-A6C"/>
      <sheetName val="C-A7"/>
      <sheetName val="C-A8A"/>
      <sheetName val="INVxOBJETO"/>
      <sheetName val="TRASLADO"/>
      <sheetName val="PTO LEY 2020-2021"/>
      <sheetName val="POR GRUPO"/>
      <sheetName val="Hoja4"/>
      <sheetName val="Hoja5"/>
      <sheetName val="Hoja1"/>
      <sheetName val="Hoja2"/>
      <sheetName val="C-A8"/>
      <sheetName val="Hoja6"/>
      <sheetName val="C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1">
          <cell r="B11" t="str">
            <v xml:space="preserve"> I  Ingresos Corrientes</v>
          </cell>
          <cell r="C11">
            <v>141094806</v>
          </cell>
          <cell r="D11">
            <v>141094806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6" tint="-0.249977111117893"/>
  </sheetPr>
  <dimension ref="A1:H33"/>
  <sheetViews>
    <sheetView showGridLines="0" showZeros="0" workbookViewId="0">
      <selection activeCell="I24" sqref="I24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15.42578125" hidden="1" customWidth="1"/>
    <col min="4" max="4" width="15.42578125" customWidth="1"/>
    <col min="5" max="5" width="16.7109375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597" t="s">
        <v>0</v>
      </c>
      <c r="B4" s="512"/>
      <c r="C4" s="512"/>
      <c r="D4" s="512"/>
      <c r="E4" s="512"/>
    </row>
    <row r="5" spans="1:7">
      <c r="A5" s="598"/>
      <c r="B5" s="594" t="s">
        <v>1</v>
      </c>
      <c r="C5" s="595"/>
      <c r="D5" s="595"/>
      <c r="E5" s="595"/>
    </row>
    <row r="6" spans="1:7" ht="20.25" customHeight="1">
      <c r="A6" s="598"/>
      <c r="B6" s="513" t="s">
        <v>2</v>
      </c>
      <c r="C6" s="513" t="s">
        <v>3</v>
      </c>
      <c r="D6" s="514" t="s">
        <v>4</v>
      </c>
      <c r="E6" s="513" t="s">
        <v>5</v>
      </c>
    </row>
    <row r="7" spans="1:7" ht="6.6" customHeight="1">
      <c r="A7" s="599"/>
      <c r="B7" s="515"/>
      <c r="C7" s="515"/>
      <c r="D7" s="516"/>
      <c r="E7" s="515"/>
    </row>
    <row r="8" spans="1:7" ht="13.15" customHeight="1">
      <c r="A8" s="5"/>
      <c r="B8" s="160"/>
      <c r="C8" s="160"/>
      <c r="D8" s="517"/>
    </row>
    <row r="9" spans="1:7" ht="24.6" customHeight="1">
      <c r="A9" s="518" t="s">
        <v>6</v>
      </c>
      <c r="B9" s="519">
        <f>SUM(B11:B13)</f>
        <v>198000000</v>
      </c>
      <c r="C9" s="519">
        <f>SUM(C11:C13)</f>
        <v>0</v>
      </c>
      <c r="D9" s="520">
        <f>SUM(D11:D13)</f>
        <v>167166634</v>
      </c>
      <c r="E9" s="519">
        <f>SUM(E11:E13)</f>
        <v>78278599</v>
      </c>
    </row>
    <row r="10" spans="1:7" ht="15">
      <c r="A10" s="521"/>
      <c r="B10" s="522"/>
      <c r="C10" s="523"/>
      <c r="D10" s="522"/>
      <c r="E10" s="523"/>
    </row>
    <row r="11" spans="1:7">
      <c r="A11" s="524" t="s">
        <v>7</v>
      </c>
      <c r="B11" s="525">
        <f>+Recaudación!C11</f>
        <v>141094806</v>
      </c>
      <c r="C11" s="526"/>
      <c r="D11" s="525">
        <v>140457693</v>
      </c>
      <c r="E11" s="526">
        <v>65391926</v>
      </c>
    </row>
    <row r="12" spans="1:7">
      <c r="A12" s="524"/>
      <c r="B12" s="525"/>
      <c r="C12" s="526"/>
      <c r="D12" s="525"/>
      <c r="E12" s="526"/>
      <c r="F12" s="527"/>
    </row>
    <row r="13" spans="1:7">
      <c r="A13" s="524" t="s">
        <v>8</v>
      </c>
      <c r="B13" s="525">
        <f>+Recaudación!C34</f>
        <v>56905194</v>
      </c>
      <c r="C13" s="526"/>
      <c r="D13" s="525">
        <v>26708941</v>
      </c>
      <c r="E13" s="526">
        <f>+Recaudación!G34</f>
        <v>12886673</v>
      </c>
      <c r="G13" s="1"/>
    </row>
    <row r="14" spans="1:7" ht="15">
      <c r="A14" s="521"/>
      <c r="B14" s="528"/>
      <c r="C14" s="529"/>
      <c r="D14" s="528"/>
      <c r="E14" s="529"/>
    </row>
    <row r="15" spans="1:7" ht="15">
      <c r="A15" s="521"/>
      <c r="B15" s="528"/>
      <c r="C15" s="529"/>
      <c r="D15" s="528"/>
      <c r="E15" s="529"/>
    </row>
    <row r="16" spans="1:7" ht="22.15" customHeight="1">
      <c r="A16" s="518" t="s">
        <v>9</v>
      </c>
      <c r="B16" s="530">
        <f>+B18+B25</f>
        <v>198000000</v>
      </c>
      <c r="C16" s="531">
        <f>+C18+C25</f>
        <v>0</v>
      </c>
      <c r="D16" s="530">
        <f>+D18+D25</f>
        <v>167166634</v>
      </c>
      <c r="E16" s="531">
        <f>+E18+E25-1</f>
        <v>114976185.52</v>
      </c>
    </row>
    <row r="17" spans="1:8" ht="16.899999999999999" customHeight="1">
      <c r="A17" s="521"/>
      <c r="B17" s="528"/>
      <c r="C17" s="529"/>
      <c r="D17" s="528"/>
      <c r="E17" s="529"/>
    </row>
    <row r="18" spans="1:8" ht="24.6" customHeight="1">
      <c r="A18" s="532" t="s">
        <v>10</v>
      </c>
      <c r="B18" s="533">
        <f>+B19+B21+B23</f>
        <v>141094806</v>
      </c>
      <c r="C18" s="533">
        <f>SUM(C19:C23)</f>
        <v>0</v>
      </c>
      <c r="D18" s="534">
        <f>SUM(D19:D23)</f>
        <v>140457693</v>
      </c>
      <c r="E18" s="533">
        <f>E19+E21+E23</f>
        <v>90541960.149999991</v>
      </c>
      <c r="F18" s="1" t="s">
        <v>11</v>
      </c>
      <c r="H18" t="s">
        <v>12</v>
      </c>
    </row>
    <row r="19" spans="1:8" ht="22.5" customHeight="1">
      <c r="A19" s="5" t="s">
        <v>13</v>
      </c>
      <c r="B19" s="526">
        <f>+'Estr. Progr.'!C11</f>
        <v>52074126</v>
      </c>
      <c r="C19" s="526"/>
      <c r="D19" s="525">
        <f>+'Estr. Progr.'!D11</f>
        <v>54160087</v>
      </c>
      <c r="E19" s="526">
        <f>+'Estr. Progr.'!G11</f>
        <v>32225615.099999998</v>
      </c>
      <c r="H19" t="s">
        <v>12</v>
      </c>
    </row>
    <row r="20" spans="1:8">
      <c r="A20" s="5"/>
      <c r="B20" s="526">
        <f>+'Proyectos Inv'!D1</f>
        <v>0</v>
      </c>
      <c r="C20" s="526"/>
      <c r="D20" s="525"/>
      <c r="E20" s="526">
        <f>+'Proyectos Inv'!F1</f>
        <v>0</v>
      </c>
      <c r="H20" t="s">
        <v>12</v>
      </c>
    </row>
    <row r="21" spans="1:8">
      <c r="A21" s="5" t="s">
        <v>14</v>
      </c>
      <c r="B21" s="526">
        <f>+'Estr. Progr.'!C21</f>
        <v>73122532</v>
      </c>
      <c r="C21" s="526"/>
      <c r="D21" s="525">
        <f>+'Estr. Progr.'!D21</f>
        <v>72270082</v>
      </c>
      <c r="E21" s="526">
        <f>+'Estr. Progr.'!G21</f>
        <v>49661410.780000001</v>
      </c>
      <c r="H21" t="s">
        <v>12</v>
      </c>
    </row>
    <row r="22" spans="1:8">
      <c r="A22" s="5" t="s">
        <v>12</v>
      </c>
      <c r="B22" s="526">
        <f>+'Proyectos Inv'!D3</f>
        <v>0</v>
      </c>
      <c r="C22" s="526"/>
      <c r="D22" s="525"/>
      <c r="E22" s="526">
        <f>+'Proyectos Inv'!F3</f>
        <v>0</v>
      </c>
      <c r="H22" t="s">
        <v>12</v>
      </c>
    </row>
    <row r="23" spans="1:8">
      <c r="A23" s="5" t="s">
        <v>15</v>
      </c>
      <c r="B23" s="526">
        <f>+'Estr. Progr.'!C29</f>
        <v>15898148</v>
      </c>
      <c r="C23" s="526"/>
      <c r="D23" s="525">
        <f>+'Estr. Progr.'!D29</f>
        <v>14027524</v>
      </c>
      <c r="E23" s="526">
        <f>+'Estr. Progr.'!G29</f>
        <v>8654934.2699999996</v>
      </c>
    </row>
    <row r="24" spans="1:8" ht="27.6" customHeight="1">
      <c r="A24" s="521"/>
      <c r="B24" s="529"/>
      <c r="C24" s="529"/>
      <c r="D24" s="528"/>
      <c r="E24" s="529"/>
    </row>
    <row r="25" spans="1:8" ht="21" customHeight="1">
      <c r="A25" s="532" t="s">
        <v>16</v>
      </c>
      <c r="B25" s="533">
        <f>+B26+B28+B30</f>
        <v>56905194</v>
      </c>
      <c r="C25" s="533">
        <f>SUM(C26:C30)</f>
        <v>0</v>
      </c>
      <c r="D25" s="534">
        <f>SUM(D26:D30)</f>
        <v>26708941</v>
      </c>
      <c r="E25" s="533">
        <f>+E26+E28+E30</f>
        <v>24434226.370000001</v>
      </c>
      <c r="F25" s="1" t="s">
        <v>12</v>
      </c>
    </row>
    <row r="26" spans="1:8" ht="23.25" customHeight="1">
      <c r="A26" s="5" t="s">
        <v>17</v>
      </c>
      <c r="B26" s="526">
        <f>+'Proyectos Inv'!B8</f>
        <v>27799680</v>
      </c>
      <c r="C26" s="526"/>
      <c r="D26" s="525">
        <f>+'Proyectos Inv'!C8</f>
        <v>9514044</v>
      </c>
      <c r="E26" s="526">
        <f>+'Proyectos Inv'!F8</f>
        <v>9246331.4499999993</v>
      </c>
    </row>
    <row r="27" spans="1:8">
      <c r="A27" s="5"/>
      <c r="B27" s="526"/>
      <c r="C27" s="526"/>
      <c r="D27" s="525"/>
      <c r="E27" s="526" t="s">
        <v>12</v>
      </c>
    </row>
    <row r="28" spans="1:8">
      <c r="A28" s="5" t="s">
        <v>18</v>
      </c>
      <c r="B28" s="526">
        <f>+'Proyectos Inv'!B16</f>
        <v>15761574</v>
      </c>
      <c r="C28" s="526"/>
      <c r="D28" s="525">
        <f>+'Proyectos Inv'!C16</f>
        <v>8985902</v>
      </c>
      <c r="E28" s="526">
        <f>+'Proyectos Inv'!F16</f>
        <v>8038142.870000001</v>
      </c>
    </row>
    <row r="29" spans="1:8">
      <c r="A29" s="5"/>
      <c r="B29" s="1"/>
      <c r="C29" s="1"/>
      <c r="D29" s="535"/>
      <c r="E29" s="1" t="s">
        <v>12</v>
      </c>
    </row>
    <row r="30" spans="1:8">
      <c r="A30" s="5" t="s">
        <v>19</v>
      </c>
      <c r="B30" s="526">
        <f>+'Proyectos Inv'!B33</f>
        <v>13343940</v>
      </c>
      <c r="C30" s="526"/>
      <c r="D30" s="525">
        <f>+'Proyectos Inv'!C33</f>
        <v>8208995</v>
      </c>
      <c r="E30" s="526">
        <f>+'Proyectos Inv'!F33</f>
        <v>7149752.0499999998</v>
      </c>
    </row>
    <row r="31" spans="1:8" ht="15">
      <c r="A31" s="521"/>
      <c r="B31" s="11"/>
      <c r="C31" s="11"/>
      <c r="D31" s="536"/>
      <c r="E31" s="537"/>
    </row>
    <row r="32" spans="1:8">
      <c r="A32" s="40"/>
      <c r="B32" s="40"/>
      <c r="C32" s="40"/>
      <c r="D32" s="40"/>
      <c r="E32" s="40"/>
    </row>
    <row r="33" spans="1:2">
      <c r="A33" s="596" t="s">
        <v>20</v>
      </c>
      <c r="B33" s="596"/>
    </row>
  </sheetData>
  <mergeCells count="3">
    <mergeCell ref="B5:E5"/>
    <mergeCell ref="A33:B33"/>
    <mergeCell ref="A4:A7"/>
  </mergeCells>
  <pageMargins left="0.94488188976377996" right="0.74803149606299202" top="0.98425196850393704" bottom="0.98425196850393704" header="0" footer="0"/>
  <pageSetup scale="80" orientation="portrait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3">
    <tabColor theme="2" tint="-0.499984740745262"/>
  </sheetPr>
  <dimension ref="A1:O51"/>
  <sheetViews>
    <sheetView showGridLines="0" showZeros="0" topLeftCell="A23" workbookViewId="0">
      <selection activeCell="F58" sqref="F58"/>
    </sheetView>
  </sheetViews>
  <sheetFormatPr baseColWidth="10" defaultColWidth="11" defaultRowHeight="12.75"/>
  <cols>
    <col min="1" max="1" width="72" customWidth="1"/>
    <col min="2" max="2" width="12.7109375" customWidth="1"/>
    <col min="3" max="3" width="14.140625" customWidth="1"/>
    <col min="4" max="4" width="13.140625" customWidth="1"/>
    <col min="5" max="5" width="0.28515625" hidden="1" customWidth="1"/>
    <col min="6" max="6" width="16.28515625" customWidth="1"/>
    <col min="7" max="7" width="15.7109375" customWidth="1"/>
    <col min="8" max="8" width="15.5703125" customWidth="1"/>
    <col min="9" max="9" width="15.7109375" customWidth="1"/>
    <col min="10" max="10" width="16.7109375" hidden="1" customWidth="1"/>
    <col min="11" max="11" width="14.140625" customWidth="1"/>
    <col min="12" max="12" width="0.28515625" style="9" customWidth="1"/>
    <col min="13" max="13" width="0.140625" customWidth="1"/>
    <col min="14" max="14" width="8" customWidth="1"/>
    <col min="15" max="15" width="11.7109375" customWidth="1"/>
  </cols>
  <sheetData>
    <row r="1" spans="1:13" ht="20.100000000000001" customHeight="1">
      <c r="A1" s="605" t="s">
        <v>468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</row>
    <row r="2" spans="1:13" ht="20.100000000000001" customHeight="1">
      <c r="A2" s="605" t="s">
        <v>61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</row>
    <row r="3" spans="1:13" ht="20.100000000000001" customHeight="1">
      <c r="A3" s="606" t="s">
        <v>492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</row>
    <row r="4" spans="1:13" ht="20.100000000000001" customHeight="1">
      <c r="A4" s="606" t="s">
        <v>493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</row>
    <row r="5" spans="1:13" ht="10.5" customHeight="1">
      <c r="A5" s="7"/>
      <c r="B5" s="7"/>
      <c r="C5" s="7"/>
      <c r="D5" s="7"/>
      <c r="E5" s="7"/>
      <c r="F5" s="12"/>
      <c r="G5" s="12"/>
      <c r="H5" s="12"/>
      <c r="I5" s="12"/>
      <c r="J5" s="12"/>
      <c r="M5" s="64">
        <f>+F8-D8</f>
        <v>-267712.55000000075</v>
      </c>
    </row>
    <row r="6" spans="1:13" ht="20.25" customHeight="1">
      <c r="A6" s="712" t="s">
        <v>494</v>
      </c>
      <c r="B6" s="709" t="s">
        <v>50</v>
      </c>
      <c r="C6" s="710"/>
      <c r="D6" s="710"/>
      <c r="E6" s="710"/>
      <c r="F6" s="710"/>
      <c r="G6" s="710"/>
      <c r="H6" s="711"/>
      <c r="I6" s="714" t="s">
        <v>42</v>
      </c>
      <c r="J6" s="65" t="s">
        <v>495</v>
      </c>
      <c r="K6" s="716" t="s">
        <v>43</v>
      </c>
    </row>
    <row r="7" spans="1:13" ht="40.5" customHeight="1">
      <c r="A7" s="713"/>
      <c r="B7" s="13" t="s">
        <v>2</v>
      </c>
      <c r="C7" s="14" t="s">
        <v>3</v>
      </c>
      <c r="D7" s="14" t="s">
        <v>25</v>
      </c>
      <c r="E7" s="14" t="s">
        <v>67</v>
      </c>
      <c r="F7" s="14" t="s">
        <v>44</v>
      </c>
      <c r="G7" s="14" t="s">
        <v>48</v>
      </c>
      <c r="H7" s="14" t="s">
        <v>45</v>
      </c>
      <c r="I7" s="715"/>
      <c r="J7" s="65"/>
      <c r="K7" s="717"/>
    </row>
    <row r="8" spans="1:13" ht="20.100000000000001" customHeight="1">
      <c r="A8" s="15" t="s">
        <v>496</v>
      </c>
      <c r="B8" s="16">
        <f t="shared" ref="B8:H8" si="0">SUM(B9:B15)</f>
        <v>27799680</v>
      </c>
      <c r="C8" s="17">
        <f t="shared" si="0"/>
        <v>9514044</v>
      </c>
      <c r="D8" s="17">
        <f t="shared" si="0"/>
        <v>9514044</v>
      </c>
      <c r="E8" s="17">
        <f t="shared" si="0"/>
        <v>-1306248.3399999999</v>
      </c>
      <c r="F8" s="18">
        <f t="shared" si="0"/>
        <v>9246331.4499999993</v>
      </c>
      <c r="G8" s="18">
        <f t="shared" si="0"/>
        <v>1389214.8</v>
      </c>
      <c r="H8" s="18">
        <f t="shared" si="0"/>
        <v>704903.66</v>
      </c>
      <c r="I8" s="17">
        <f>+D8-F8</f>
        <v>267712.55000000075</v>
      </c>
      <c r="J8" s="66" t="e">
        <f>+J9+J15+#REF!+J10</f>
        <v>#REF!</v>
      </c>
      <c r="K8" s="67">
        <f>+F8*100/D8</f>
        <v>97.18613294199605</v>
      </c>
      <c r="L8" s="9">
        <f>L9+L10+L14+L15</f>
        <v>10552579.790000001</v>
      </c>
      <c r="M8">
        <v>9685233.8000000007</v>
      </c>
    </row>
    <row r="9" spans="1:13" ht="20.100000000000001" customHeight="1">
      <c r="A9" s="5" t="s">
        <v>497</v>
      </c>
      <c r="B9" s="19">
        <f>9834974</f>
        <v>9834974</v>
      </c>
      <c r="C9" s="19">
        <v>2550595</v>
      </c>
      <c r="D9" s="20">
        <v>2550595</v>
      </c>
      <c r="E9" s="20">
        <v>-511263.91</v>
      </c>
      <c r="F9" s="20">
        <f>E9+L9</f>
        <v>2404799.31</v>
      </c>
      <c r="G9" s="21">
        <v>553648.78</v>
      </c>
      <c r="H9" s="20">
        <v>498237.45</v>
      </c>
      <c r="I9" s="68">
        <f>+D9-F9</f>
        <v>145795.68999999994</v>
      </c>
      <c r="J9" s="69">
        <f>+C9-F9</f>
        <v>145795.68999999994</v>
      </c>
      <c r="K9" s="70">
        <f>+F9*100/D9</f>
        <v>94.283855727781159</v>
      </c>
      <c r="L9" s="9">
        <v>2916063.22</v>
      </c>
      <c r="M9">
        <v>2673009.79</v>
      </c>
    </row>
    <row r="10" spans="1:13" ht="36.75" customHeight="1">
      <c r="A10" s="22" t="s">
        <v>498</v>
      </c>
      <c r="B10" s="23">
        <v>5000000</v>
      </c>
      <c r="C10" s="23">
        <v>1002635</v>
      </c>
      <c r="D10" s="24">
        <v>1002635</v>
      </c>
      <c r="E10" s="24">
        <v>3712.9</v>
      </c>
      <c r="F10" s="24">
        <f>L10+E10</f>
        <v>1343973.3199999998</v>
      </c>
      <c r="G10" s="25">
        <v>729107.69</v>
      </c>
      <c r="H10" s="24">
        <v>206666.21</v>
      </c>
      <c r="I10" s="71">
        <f>+D10-F10</f>
        <v>-341338.31999999983</v>
      </c>
      <c r="J10" s="72">
        <f>+C10-F10</f>
        <v>-341338.31999999983</v>
      </c>
      <c r="K10" s="73">
        <f>+F10*100/D10</f>
        <v>134.04412572870484</v>
      </c>
      <c r="L10" s="9">
        <v>1340260.42</v>
      </c>
      <c r="M10" s="74">
        <v>1179536.8500000001</v>
      </c>
    </row>
    <row r="11" spans="1:13" ht="26.25" customHeight="1">
      <c r="A11" s="26" t="s">
        <v>499</v>
      </c>
      <c r="B11" s="19">
        <v>382798</v>
      </c>
      <c r="C11" s="19" t="s">
        <v>138</v>
      </c>
      <c r="D11" s="20" t="s">
        <v>138</v>
      </c>
      <c r="E11" s="20"/>
      <c r="F11" s="20"/>
      <c r="G11" s="21"/>
      <c r="H11" s="20"/>
      <c r="I11" s="71"/>
      <c r="J11" s="69"/>
      <c r="K11" s="70"/>
    </row>
    <row r="12" spans="1:13" ht="21.6" customHeight="1">
      <c r="A12" s="26" t="s">
        <v>500</v>
      </c>
      <c r="B12" s="19">
        <v>2000000</v>
      </c>
      <c r="C12" s="19">
        <v>14204</v>
      </c>
      <c r="D12" s="20">
        <v>14204</v>
      </c>
      <c r="E12" s="20"/>
      <c r="F12" s="20"/>
      <c r="G12" s="21"/>
      <c r="H12" s="20"/>
      <c r="I12" s="71">
        <f t="shared" ref="I12:I15" si="1">+D12-F12</f>
        <v>14204</v>
      </c>
      <c r="J12" s="69"/>
      <c r="K12" s="70"/>
    </row>
    <row r="13" spans="1:13" ht="27" customHeight="1">
      <c r="A13" s="26" t="s">
        <v>501</v>
      </c>
      <c r="B13" s="23">
        <v>1135854</v>
      </c>
      <c r="C13" s="23">
        <v>56816</v>
      </c>
      <c r="D13" s="24">
        <v>56816</v>
      </c>
      <c r="E13" s="24"/>
      <c r="F13" s="24"/>
      <c r="G13" s="25"/>
      <c r="H13" s="24"/>
      <c r="I13" s="71">
        <f t="shared" si="1"/>
        <v>56816</v>
      </c>
      <c r="J13" s="72"/>
      <c r="K13" s="73"/>
    </row>
    <row r="14" spans="1:13" ht="21.6" customHeight="1">
      <c r="A14" s="26" t="s">
        <v>502</v>
      </c>
      <c r="B14" s="23">
        <v>283423</v>
      </c>
      <c r="C14" s="23">
        <v>481536</v>
      </c>
      <c r="D14" s="24">
        <v>481536</v>
      </c>
      <c r="E14" s="24">
        <v>-222933.33</v>
      </c>
      <c r="F14" s="24">
        <f>+E14+M14</f>
        <v>258602.67</v>
      </c>
      <c r="G14" s="25"/>
      <c r="H14" s="24"/>
      <c r="I14" s="71">
        <f t="shared" si="1"/>
        <v>222933.33</v>
      </c>
      <c r="J14" s="72"/>
      <c r="K14" s="73"/>
      <c r="L14" s="9">
        <v>481536</v>
      </c>
      <c r="M14">
        <v>481536</v>
      </c>
    </row>
    <row r="15" spans="1:13" ht="20.100000000000001" customHeight="1">
      <c r="A15" s="5" t="s">
        <v>503</v>
      </c>
      <c r="B15" s="19">
        <v>9162631</v>
      </c>
      <c r="C15" s="19">
        <v>5408258</v>
      </c>
      <c r="D15" s="20">
        <v>5408258</v>
      </c>
      <c r="E15" s="20">
        <v>-575764</v>
      </c>
      <c r="F15" s="20">
        <f>E15+L15</f>
        <v>5238956.1500000004</v>
      </c>
      <c r="G15" s="21">
        <v>106458.33</v>
      </c>
      <c r="H15" s="20">
        <v>0</v>
      </c>
      <c r="I15" s="75">
        <f t="shared" si="1"/>
        <v>169301.84999999963</v>
      </c>
      <c r="J15" s="69">
        <f>+C15-F15</f>
        <v>169301.84999999963</v>
      </c>
      <c r="K15" s="70">
        <f>+F15*100/D15</f>
        <v>96.869567797985979</v>
      </c>
      <c r="L15" s="9">
        <v>5814720.1500000004</v>
      </c>
      <c r="M15" s="9">
        <v>5351151.16</v>
      </c>
    </row>
    <row r="16" spans="1:13" ht="20.100000000000001" customHeight="1">
      <c r="A16" s="27" t="s">
        <v>504</v>
      </c>
      <c r="B16" s="28">
        <f>SUM(B17:B30)</f>
        <v>15761574</v>
      </c>
      <c r="C16" s="17">
        <f>SUM(C17:C30)</f>
        <v>8985902</v>
      </c>
      <c r="D16" s="17">
        <f>SUM(D17:D30)</f>
        <v>8985902</v>
      </c>
      <c r="E16" s="18">
        <f>SUM(E17:E30)</f>
        <v>108383</v>
      </c>
      <c r="F16" s="17">
        <f>F17+F18+F19+F20+F21+F22+F24+F25+F26+F27+F28+F29+F30</f>
        <v>8038142.870000001</v>
      </c>
      <c r="G16" s="17">
        <f>SUM(G17:G30)</f>
        <v>5041562.1100000013</v>
      </c>
      <c r="H16" s="17">
        <f>SUM(H17:H30)</f>
        <v>3964233.3</v>
      </c>
      <c r="I16" s="17">
        <f>D16-F16</f>
        <v>947759.12999999896</v>
      </c>
      <c r="J16" s="66">
        <f>+C16-F16</f>
        <v>947759.12999999896</v>
      </c>
      <c r="K16" s="67">
        <f>+F16*100/D16</f>
        <v>89.452821430725606</v>
      </c>
      <c r="L16" s="9">
        <f>L17+L18+L19+L20+L21+L22+L24+L25+L26+L27+L28+L29+L30</f>
        <v>7929759.870000001</v>
      </c>
      <c r="M16">
        <v>4076249.63</v>
      </c>
    </row>
    <row r="17" spans="1:15" ht="21.6" customHeight="1">
      <c r="A17" s="29" t="s">
        <v>505</v>
      </c>
      <c r="B17" s="30">
        <v>2896997</v>
      </c>
      <c r="C17" s="31">
        <v>5303477</v>
      </c>
      <c r="D17" s="31">
        <v>5303477</v>
      </c>
      <c r="E17" s="21">
        <v>88199.66</v>
      </c>
      <c r="F17" s="32">
        <f>L17+E17</f>
        <v>4448989.5999999996</v>
      </c>
      <c r="G17" s="20">
        <v>3080340.46</v>
      </c>
      <c r="H17" s="20">
        <v>2068100</v>
      </c>
      <c r="I17" s="20">
        <f>+C17-F17</f>
        <v>854487.40000000037</v>
      </c>
      <c r="J17" s="69"/>
      <c r="K17" s="70">
        <f>+F17*100/D17</f>
        <v>83.888166197383327</v>
      </c>
      <c r="L17" s="9">
        <f>4379964.34-19174.4</f>
        <v>4360789.9399999995</v>
      </c>
      <c r="M17">
        <v>1713484.79</v>
      </c>
      <c r="O17" s="9"/>
    </row>
    <row r="18" spans="1:15" ht="21.6" customHeight="1">
      <c r="A18" s="22" t="s">
        <v>506</v>
      </c>
      <c r="B18" s="30">
        <v>1200000</v>
      </c>
      <c r="C18" s="31">
        <v>421298</v>
      </c>
      <c r="D18" s="31">
        <v>421298</v>
      </c>
      <c r="E18" s="21"/>
      <c r="F18" s="20">
        <f t="shared" ref="F18:F30" si="2">L18+E18</f>
        <v>430390.75</v>
      </c>
      <c r="G18" s="20">
        <v>430390.75</v>
      </c>
      <c r="H18" s="20">
        <v>430390.75</v>
      </c>
      <c r="I18" s="71">
        <f>+C18-F18</f>
        <v>-9092.75</v>
      </c>
      <c r="J18" s="69"/>
      <c r="K18" s="70"/>
      <c r="L18" s="9">
        <v>430390.75</v>
      </c>
      <c r="M18">
        <v>431670.05</v>
      </c>
    </row>
    <row r="19" spans="1:15" ht="20.100000000000001" customHeight="1">
      <c r="A19" s="22" t="s">
        <v>507</v>
      </c>
      <c r="B19" s="30">
        <v>4628400</v>
      </c>
      <c r="C19" s="31">
        <v>95571</v>
      </c>
      <c r="D19" s="31">
        <v>95571</v>
      </c>
      <c r="E19" s="21"/>
      <c r="F19" s="20">
        <f t="shared" si="2"/>
        <v>95444.94</v>
      </c>
      <c r="G19" s="20">
        <v>40970.1</v>
      </c>
      <c r="H19" s="20">
        <v>40970.1</v>
      </c>
      <c r="I19" s="20">
        <f>+D19-F19</f>
        <v>126.05999999999767</v>
      </c>
      <c r="J19" s="69">
        <f>+C19-F19</f>
        <v>126.05999999999767</v>
      </c>
      <c r="K19" s="70">
        <f>+F19*100/D19</f>
        <v>99.868098063220017</v>
      </c>
      <c r="L19" s="9">
        <v>95444.94</v>
      </c>
      <c r="M19">
        <v>69444.94</v>
      </c>
    </row>
    <row r="20" spans="1:15" ht="20.100000000000001" customHeight="1">
      <c r="A20" s="22" t="s">
        <v>508</v>
      </c>
      <c r="B20" s="30">
        <v>2000000</v>
      </c>
      <c r="C20" s="31">
        <v>1754147</v>
      </c>
      <c r="D20" s="31">
        <v>1754147</v>
      </c>
      <c r="E20" s="21">
        <v>18686.68</v>
      </c>
      <c r="F20" s="20">
        <f t="shared" si="2"/>
        <v>1750139.64</v>
      </c>
      <c r="G20" s="20">
        <v>983436.75</v>
      </c>
      <c r="H20" s="20">
        <v>940961.35</v>
      </c>
      <c r="I20" s="20">
        <f>+D20-F20</f>
        <v>4007.3600000001024</v>
      </c>
      <c r="J20" s="69"/>
      <c r="K20" s="70">
        <f>+F20*100/D20</f>
        <v>99.771549362738696</v>
      </c>
      <c r="L20" s="9">
        <v>1731452.96</v>
      </c>
      <c r="M20">
        <v>999337.96</v>
      </c>
    </row>
    <row r="21" spans="1:15" ht="20.100000000000001" customHeight="1">
      <c r="A21" s="22" t="s">
        <v>509</v>
      </c>
      <c r="B21" s="30">
        <v>1000000</v>
      </c>
      <c r="C21" s="31">
        <v>529723</v>
      </c>
      <c r="D21" s="31">
        <v>529723</v>
      </c>
      <c r="E21" s="21"/>
      <c r="F21" s="20">
        <f t="shared" si="2"/>
        <v>511856.07</v>
      </c>
      <c r="G21" s="20">
        <v>95850.11</v>
      </c>
      <c r="H21" s="20">
        <v>91895.42</v>
      </c>
      <c r="I21" s="20"/>
      <c r="J21" s="69"/>
      <c r="K21" s="70">
        <f t="shared" ref="K21:K30" si="3">+F21*100/D21</f>
        <v>96.62711832410524</v>
      </c>
      <c r="L21" s="9">
        <v>511856.07</v>
      </c>
      <c r="M21">
        <v>341780.78</v>
      </c>
    </row>
    <row r="22" spans="1:15" ht="20.100000000000001" customHeight="1">
      <c r="A22" s="29" t="s">
        <v>510</v>
      </c>
      <c r="B22" s="30">
        <v>1270000</v>
      </c>
      <c r="C22" s="31">
        <v>199885</v>
      </c>
      <c r="D22" s="31">
        <v>199885</v>
      </c>
      <c r="E22" s="21"/>
      <c r="F22" s="20">
        <f t="shared" si="2"/>
        <v>196884.57</v>
      </c>
      <c r="G22" s="20">
        <v>31312.55</v>
      </c>
      <c r="H22" s="20">
        <v>30055.17</v>
      </c>
      <c r="I22" s="71">
        <f>+D22-G22</f>
        <v>168572.45</v>
      </c>
      <c r="J22" s="69"/>
      <c r="K22" s="70">
        <f t="shared" si="3"/>
        <v>98.498921880081042</v>
      </c>
      <c r="L22" s="9">
        <v>196884.57</v>
      </c>
      <c r="M22">
        <v>29843.31</v>
      </c>
    </row>
    <row r="23" spans="1:15" ht="20.100000000000001" customHeight="1">
      <c r="A23" s="22" t="s">
        <v>511</v>
      </c>
      <c r="B23" s="30">
        <v>106000</v>
      </c>
      <c r="C23" s="31">
        <v>0</v>
      </c>
      <c r="D23" s="31">
        <v>0</v>
      </c>
      <c r="E23" s="21"/>
      <c r="F23" s="20">
        <f t="shared" si="2"/>
        <v>0</v>
      </c>
      <c r="G23" s="20"/>
      <c r="H23" s="20"/>
      <c r="I23" s="20"/>
      <c r="J23" s="69"/>
      <c r="K23" s="70" t="s">
        <v>12</v>
      </c>
    </row>
    <row r="24" spans="1:15" ht="20.100000000000001" customHeight="1">
      <c r="A24" s="22" t="s">
        <v>512</v>
      </c>
      <c r="B24" s="30">
        <v>149583</v>
      </c>
      <c r="C24" s="31">
        <v>64497</v>
      </c>
      <c r="D24" s="31">
        <v>64497</v>
      </c>
      <c r="E24" s="21">
        <v>0</v>
      </c>
      <c r="F24" s="32">
        <f t="shared" si="2"/>
        <v>65815.59</v>
      </c>
      <c r="G24" s="20">
        <v>65815.59</v>
      </c>
      <c r="H24" s="20">
        <v>65815.59</v>
      </c>
      <c r="I24" s="71">
        <f>+D24-F24</f>
        <v>-1318.5899999999965</v>
      </c>
      <c r="J24" s="69"/>
      <c r="K24" s="70">
        <f t="shared" si="3"/>
        <v>102.04442067072887</v>
      </c>
      <c r="L24" s="9">
        <v>65815.59</v>
      </c>
      <c r="M24">
        <v>64495.82</v>
      </c>
    </row>
    <row r="25" spans="1:15" ht="22.5" customHeight="1">
      <c r="A25" s="22" t="s">
        <v>513</v>
      </c>
      <c r="B25" s="30">
        <v>750000</v>
      </c>
      <c r="C25" s="31">
        <v>54030</v>
      </c>
      <c r="D25" s="31">
        <v>54030</v>
      </c>
      <c r="E25" s="21">
        <v>0</v>
      </c>
      <c r="F25" s="20">
        <f t="shared" si="2"/>
        <v>50468.69</v>
      </c>
      <c r="G25" s="20">
        <v>50468.69</v>
      </c>
      <c r="H25" s="20">
        <v>50468.69</v>
      </c>
      <c r="I25" s="20">
        <f>+D25-F25</f>
        <v>3561.3099999999977</v>
      </c>
      <c r="J25" s="69">
        <f>+C25-F25</f>
        <v>3561.3099999999977</v>
      </c>
      <c r="K25" s="70">
        <f t="shared" si="3"/>
        <v>93.408643346289097</v>
      </c>
      <c r="L25" s="76">
        <v>50468.69</v>
      </c>
      <c r="M25">
        <v>54029.65</v>
      </c>
    </row>
    <row r="26" spans="1:15" ht="23.25" customHeight="1">
      <c r="A26" s="22" t="s">
        <v>514</v>
      </c>
      <c r="B26" s="30">
        <v>519956</v>
      </c>
      <c r="C26" s="31">
        <v>123714</v>
      </c>
      <c r="D26" s="31">
        <v>123714</v>
      </c>
      <c r="E26" s="21">
        <v>1496.66</v>
      </c>
      <c r="F26" s="20">
        <f t="shared" si="2"/>
        <v>90147.08</v>
      </c>
      <c r="G26" s="20">
        <v>78774.740000000005</v>
      </c>
      <c r="H26" s="20">
        <v>68132.37</v>
      </c>
      <c r="I26" s="20">
        <f>+D26-F26</f>
        <v>33566.92</v>
      </c>
      <c r="J26" s="69">
        <f>+C26-F26</f>
        <v>33566.92</v>
      </c>
      <c r="K26" s="70">
        <f t="shared" si="3"/>
        <v>72.867323019221757</v>
      </c>
      <c r="L26" s="9">
        <v>88650.42</v>
      </c>
      <c r="M26">
        <v>112805.29</v>
      </c>
    </row>
    <row r="27" spans="1:15" ht="23.25" customHeight="1">
      <c r="A27" s="22" t="s">
        <v>515</v>
      </c>
      <c r="B27" s="33">
        <v>271625</v>
      </c>
      <c r="C27" s="31">
        <v>59422</v>
      </c>
      <c r="D27" s="31">
        <v>59422</v>
      </c>
      <c r="E27" s="21">
        <v>0</v>
      </c>
      <c r="F27" s="20">
        <f t="shared" si="2"/>
        <v>59422</v>
      </c>
      <c r="G27" s="20">
        <v>6496</v>
      </c>
      <c r="H27" s="20">
        <v>6496</v>
      </c>
      <c r="I27" s="20">
        <f t="shared" ref="I27:I30" si="4">+D27-F27</f>
        <v>0</v>
      </c>
      <c r="J27" s="69"/>
      <c r="K27" s="70">
        <f t="shared" si="3"/>
        <v>100</v>
      </c>
      <c r="L27" s="9">
        <v>59422</v>
      </c>
      <c r="M27">
        <v>59422</v>
      </c>
    </row>
    <row r="28" spans="1:15" ht="23.25" customHeight="1">
      <c r="A28" s="22" t="s">
        <v>516</v>
      </c>
      <c r="B28" s="33">
        <v>394105</v>
      </c>
      <c r="C28" s="31">
        <v>150942</v>
      </c>
      <c r="D28" s="31">
        <v>150942</v>
      </c>
      <c r="E28" s="21"/>
      <c r="F28" s="20">
        <f t="shared" si="2"/>
        <v>150941.16</v>
      </c>
      <c r="G28" s="20">
        <v>37864.82</v>
      </c>
      <c r="H28" s="20">
        <v>37802.75</v>
      </c>
      <c r="I28" s="20">
        <f t="shared" si="4"/>
        <v>0.83999999999650754</v>
      </c>
      <c r="J28" s="69"/>
      <c r="K28" s="70">
        <f t="shared" si="3"/>
        <v>99.999443494852329</v>
      </c>
      <c r="L28" s="9">
        <v>150941.16</v>
      </c>
      <c r="M28">
        <v>60220.93</v>
      </c>
    </row>
    <row r="29" spans="1:15" ht="23.25" customHeight="1">
      <c r="A29" s="22" t="s">
        <v>517</v>
      </c>
      <c r="B29" s="33">
        <v>437560</v>
      </c>
      <c r="C29" s="31">
        <v>126412</v>
      </c>
      <c r="D29" s="31">
        <v>126412</v>
      </c>
      <c r="E29" s="21"/>
      <c r="F29" s="20">
        <f t="shared" si="2"/>
        <v>126411.66</v>
      </c>
      <c r="G29" s="20">
        <v>126411.66</v>
      </c>
      <c r="H29" s="20">
        <v>123426.36</v>
      </c>
      <c r="I29" s="20">
        <f t="shared" si="4"/>
        <v>0.33999999999650754</v>
      </c>
      <c r="J29" s="69"/>
      <c r="K29" s="70">
        <f t="shared" si="3"/>
        <v>99.999731038192579</v>
      </c>
      <c r="L29" s="9">
        <v>126411.66</v>
      </c>
      <c r="M29">
        <v>128819.16</v>
      </c>
    </row>
    <row r="30" spans="1:15" ht="23.25" customHeight="1">
      <c r="A30" s="22" t="s">
        <v>518</v>
      </c>
      <c r="B30" s="33">
        <v>137348</v>
      </c>
      <c r="C30" s="31">
        <v>102784</v>
      </c>
      <c r="D30" s="31">
        <v>102784</v>
      </c>
      <c r="E30" s="21"/>
      <c r="F30" s="20">
        <f t="shared" si="2"/>
        <v>61231.12</v>
      </c>
      <c r="G30" s="20">
        <v>13429.89</v>
      </c>
      <c r="H30" s="20">
        <v>9718.75</v>
      </c>
      <c r="I30" s="20">
        <f t="shared" si="4"/>
        <v>41552.879999999997</v>
      </c>
      <c r="J30" s="69"/>
      <c r="K30" s="70">
        <f t="shared" si="3"/>
        <v>59.572618306351181</v>
      </c>
      <c r="L30" s="9">
        <v>61231.12</v>
      </c>
      <c r="M30">
        <v>10894.95</v>
      </c>
    </row>
    <row r="31" spans="1:15" ht="23.25" customHeight="1">
      <c r="A31" s="34"/>
      <c r="B31" s="35"/>
      <c r="C31" s="36"/>
      <c r="D31" s="35"/>
      <c r="E31" s="37"/>
      <c r="F31" s="38"/>
      <c r="G31" s="39"/>
      <c r="H31" s="38"/>
      <c r="I31" s="38"/>
      <c r="J31" s="34"/>
      <c r="K31" s="34"/>
    </row>
    <row r="32" spans="1:15" ht="5.25" customHeight="1">
      <c r="A32" s="40"/>
      <c r="B32" s="41"/>
      <c r="C32" s="40"/>
      <c r="D32" s="41"/>
      <c r="E32" s="42"/>
      <c r="F32" s="42"/>
      <c r="G32" s="43"/>
      <c r="H32" s="42"/>
      <c r="I32" s="43"/>
      <c r="J32" s="40"/>
      <c r="K32" s="40"/>
    </row>
    <row r="33" spans="1:14" ht="20.100000000000001" customHeight="1">
      <c r="A33" s="44" t="s">
        <v>519</v>
      </c>
      <c r="B33" s="45">
        <f>SUM(B34:B41)</f>
        <v>13343940</v>
      </c>
      <c r="C33" s="46">
        <f>SUM(C34:C41)</f>
        <v>8208995</v>
      </c>
      <c r="D33" s="45">
        <f t="shared" ref="D33:H33" si="5">SUM(D34:D41)</f>
        <v>8208995</v>
      </c>
      <c r="E33" s="47">
        <f t="shared" si="5"/>
        <v>6785.68</v>
      </c>
      <c r="F33" s="48">
        <f t="shared" si="5"/>
        <v>7149752.0499999998</v>
      </c>
      <c r="G33" s="48">
        <f t="shared" si="5"/>
        <v>5078987.88</v>
      </c>
      <c r="H33" s="48">
        <f t="shared" si="5"/>
        <v>2091107.06</v>
      </c>
      <c r="I33" s="77">
        <f>D33-F33</f>
        <v>1059242.9500000002</v>
      </c>
      <c r="J33" s="78">
        <f>C33-F33</f>
        <v>1059242.9500000002</v>
      </c>
      <c r="K33" s="79">
        <f>+F33*100/D33</f>
        <v>87.096557495771407</v>
      </c>
      <c r="L33" s="9">
        <f>L34+L35+L36+L37+L38+L39+L40+L41</f>
        <v>7142966.3700000001</v>
      </c>
      <c r="M33">
        <v>2825486.97</v>
      </c>
      <c r="N33" s="1" t="s">
        <v>12</v>
      </c>
    </row>
    <row r="34" spans="1:14" ht="20.100000000000001" customHeight="1">
      <c r="A34" s="49" t="s">
        <v>520</v>
      </c>
      <c r="B34" s="50">
        <v>350999</v>
      </c>
      <c r="C34" s="51">
        <v>115513</v>
      </c>
      <c r="D34" s="52">
        <v>115513</v>
      </c>
      <c r="E34" s="53"/>
      <c r="F34" s="20">
        <f>E34+L34</f>
        <v>165845.41</v>
      </c>
      <c r="G34" s="20">
        <v>75802.009999999995</v>
      </c>
      <c r="H34" s="20">
        <v>16417.009999999998</v>
      </c>
      <c r="I34" s="71">
        <f>D34-F34</f>
        <v>-50332.41</v>
      </c>
      <c r="J34" s="69"/>
      <c r="K34" s="70">
        <f t="shared" ref="K34:K42" si="6">+F34*100/D34</f>
        <v>143.57293984226882</v>
      </c>
      <c r="L34" s="9">
        <v>165845.41</v>
      </c>
      <c r="M34">
        <v>115512.52</v>
      </c>
    </row>
    <row r="35" spans="1:14" ht="20.100000000000001" customHeight="1">
      <c r="A35" s="54" t="s">
        <v>521</v>
      </c>
      <c r="B35" s="30">
        <v>779586</v>
      </c>
      <c r="C35" s="55">
        <v>100000</v>
      </c>
      <c r="D35" s="56">
        <v>100000</v>
      </c>
      <c r="E35" s="57"/>
      <c r="F35" s="20">
        <f t="shared" ref="F35:F41" si="7">E35+L35</f>
        <v>99999.29</v>
      </c>
      <c r="G35" s="20">
        <v>99999.29</v>
      </c>
      <c r="H35" s="20">
        <v>99999.29</v>
      </c>
      <c r="I35" s="20">
        <f>D35-F35</f>
        <v>0.71000000000640284</v>
      </c>
      <c r="J35" s="69">
        <f>+C35-F35</f>
        <v>0.71000000000640284</v>
      </c>
      <c r="K35" s="70">
        <f t="shared" si="6"/>
        <v>99.999290000000002</v>
      </c>
      <c r="L35" s="9">
        <v>99999.29</v>
      </c>
      <c r="M35">
        <v>99999.29</v>
      </c>
    </row>
    <row r="36" spans="1:14" ht="31.5" customHeight="1">
      <c r="A36" s="58" t="s">
        <v>522</v>
      </c>
      <c r="B36" s="56">
        <v>1000000</v>
      </c>
      <c r="C36" s="59">
        <v>1000000</v>
      </c>
      <c r="D36" s="56">
        <v>1000000</v>
      </c>
      <c r="E36" s="57"/>
      <c r="F36" s="20">
        <f t="shared" si="7"/>
        <v>1000000</v>
      </c>
      <c r="G36" s="20">
        <v>1000000</v>
      </c>
      <c r="H36" s="20"/>
      <c r="I36" s="20">
        <f>D36-F36</f>
        <v>0</v>
      </c>
      <c r="J36" s="69">
        <f>+C36-F36</f>
        <v>0</v>
      </c>
      <c r="K36" s="70" t="s">
        <v>12</v>
      </c>
      <c r="L36" s="9">
        <v>1000000</v>
      </c>
      <c r="M36">
        <v>0</v>
      </c>
    </row>
    <row r="37" spans="1:14" ht="28.15" customHeight="1">
      <c r="A37" s="58" t="s">
        <v>523</v>
      </c>
      <c r="B37" s="56">
        <v>1845166</v>
      </c>
      <c r="C37" s="60">
        <v>576307</v>
      </c>
      <c r="D37" s="56">
        <v>576307</v>
      </c>
      <c r="E37" s="31"/>
      <c r="F37" s="20">
        <f t="shared" si="7"/>
        <v>576306.87</v>
      </c>
      <c r="G37" s="20">
        <v>431911</v>
      </c>
      <c r="H37" s="20">
        <v>431911</v>
      </c>
      <c r="I37" s="20">
        <f t="shared" ref="I37:I42" si="8">D37-F37</f>
        <v>0.13000000000465661</v>
      </c>
      <c r="J37" s="69"/>
      <c r="K37" s="70">
        <f t="shared" si="6"/>
        <v>99.999977442578341</v>
      </c>
      <c r="L37" s="9">
        <v>576306.87</v>
      </c>
      <c r="M37">
        <v>512859.68</v>
      </c>
    </row>
    <row r="38" spans="1:14" ht="33.75" customHeight="1">
      <c r="A38" s="58" t="s">
        <v>524</v>
      </c>
      <c r="B38" s="56">
        <v>4700585</v>
      </c>
      <c r="C38" s="60">
        <v>2462294</v>
      </c>
      <c r="D38" s="56">
        <v>2462294</v>
      </c>
      <c r="E38" s="31">
        <v>4419.1000000000004</v>
      </c>
      <c r="F38" s="20">
        <f t="shared" si="7"/>
        <v>2476159.71</v>
      </c>
      <c r="G38" s="20">
        <v>1433096.17</v>
      </c>
      <c r="H38" s="20">
        <v>1203201.76</v>
      </c>
      <c r="I38" s="71">
        <f t="shared" si="8"/>
        <v>-13865.709999999963</v>
      </c>
      <c r="J38" s="69"/>
      <c r="K38" s="70">
        <f t="shared" si="6"/>
        <v>100.56312162560604</v>
      </c>
      <c r="L38" s="9">
        <v>2471740.61</v>
      </c>
      <c r="M38">
        <v>1748066.29</v>
      </c>
    </row>
    <row r="39" spans="1:14" ht="33.75" customHeight="1">
      <c r="A39" s="58" t="s">
        <v>525</v>
      </c>
      <c r="B39" s="56">
        <v>500000</v>
      </c>
      <c r="C39" s="60">
        <v>799000</v>
      </c>
      <c r="D39" s="56">
        <v>799000</v>
      </c>
      <c r="E39" s="31"/>
      <c r="F39" s="20">
        <f t="shared" si="7"/>
        <v>787922.29</v>
      </c>
      <c r="G39" s="20">
        <v>2247</v>
      </c>
      <c r="H39" s="20">
        <v>2247</v>
      </c>
      <c r="I39" s="20">
        <f t="shared" si="8"/>
        <v>11077.709999999963</v>
      </c>
      <c r="J39" s="69"/>
      <c r="K39" s="70">
        <f t="shared" si="6"/>
        <v>98.613553191489359</v>
      </c>
      <c r="L39" s="9">
        <v>787922.29</v>
      </c>
    </row>
    <row r="40" spans="1:14" ht="36" customHeight="1">
      <c r="A40" s="58" t="s">
        <v>526</v>
      </c>
      <c r="B40" s="56">
        <v>2067604</v>
      </c>
      <c r="C40" s="60">
        <v>1806881</v>
      </c>
      <c r="D40" s="56">
        <v>1806881</v>
      </c>
      <c r="E40" s="31">
        <v>2366.58</v>
      </c>
      <c r="F40" s="20">
        <f t="shared" si="7"/>
        <v>1744518.49</v>
      </c>
      <c r="G40" s="20">
        <v>1736932.42</v>
      </c>
      <c r="H40" s="20">
        <v>38331.01</v>
      </c>
      <c r="I40" s="20">
        <f t="shared" si="8"/>
        <v>62362.510000000009</v>
      </c>
      <c r="J40" s="69"/>
      <c r="K40" s="70">
        <f t="shared" si="6"/>
        <v>96.548610008074689</v>
      </c>
      <c r="L40" s="9">
        <v>1742151.91</v>
      </c>
      <c r="M40">
        <v>36724.49</v>
      </c>
    </row>
    <row r="41" spans="1:14" ht="28.15" customHeight="1">
      <c r="A41" s="58" t="s">
        <v>527</v>
      </c>
      <c r="B41" s="56">
        <v>2100000</v>
      </c>
      <c r="C41" s="60">
        <v>1349000</v>
      </c>
      <c r="D41" s="56">
        <v>1349000</v>
      </c>
      <c r="E41" s="33"/>
      <c r="F41" s="20">
        <f t="shared" si="7"/>
        <v>298999.99</v>
      </c>
      <c r="G41" s="53">
        <v>298999.99</v>
      </c>
      <c r="H41" s="20">
        <v>298999.99</v>
      </c>
      <c r="I41" s="20">
        <f t="shared" si="8"/>
        <v>1050000.01</v>
      </c>
      <c r="J41" s="69"/>
      <c r="K41" s="70">
        <f t="shared" si="6"/>
        <v>22.164565604151225</v>
      </c>
      <c r="L41" s="9">
        <v>298999.99</v>
      </c>
      <c r="M41">
        <v>298999.99</v>
      </c>
    </row>
    <row r="42" spans="1:14" ht="20.100000000000001" customHeight="1">
      <c r="A42" s="15" t="s">
        <v>21</v>
      </c>
      <c r="B42" s="16">
        <f>B8+B16+B33</f>
        <v>56905194</v>
      </c>
      <c r="C42" s="17">
        <f>+C8+C16+C33</f>
        <v>26708941</v>
      </c>
      <c r="D42" s="17">
        <f>+D8+D16+D33</f>
        <v>26708941</v>
      </c>
      <c r="E42" s="16">
        <f>+E8+E16+E33</f>
        <v>-1191079.6599999999</v>
      </c>
      <c r="F42" s="592">
        <f>+F8+F16+F33</f>
        <v>24434226.370000001</v>
      </c>
      <c r="G42" s="61">
        <f>G8+G16+G33</f>
        <v>11509764.790000001</v>
      </c>
      <c r="H42" s="61">
        <f>H8+H16+H33</f>
        <v>6760244.0199999996</v>
      </c>
      <c r="I42" s="593">
        <f t="shared" si="8"/>
        <v>2274714.629999999</v>
      </c>
      <c r="J42" s="66">
        <f>C42-F42</f>
        <v>2274714.629999999</v>
      </c>
      <c r="K42" s="67">
        <f t="shared" si="6"/>
        <v>91.483321521433595</v>
      </c>
      <c r="L42" s="9">
        <v>25647260.289999999</v>
      </c>
      <c r="M42">
        <v>16586970.4</v>
      </c>
    </row>
    <row r="43" spans="1:14" ht="9" customHeight="1">
      <c r="A43" s="62"/>
      <c r="L43" s="9" t="s">
        <v>12</v>
      </c>
    </row>
    <row r="44" spans="1:14">
      <c r="A44" s="63" t="s">
        <v>41</v>
      </c>
      <c r="C44" s="1" t="s">
        <v>12</v>
      </c>
    </row>
    <row r="51" spans="3:4">
      <c r="C51" s="1"/>
      <c r="D51" s="1" t="s">
        <v>12</v>
      </c>
    </row>
  </sheetData>
  <mergeCells count="8">
    <mergeCell ref="A1:K1"/>
    <mergeCell ref="A2:K2"/>
    <mergeCell ref="A3:K3"/>
    <mergeCell ref="A4:K4"/>
    <mergeCell ref="B6:H6"/>
    <mergeCell ref="A6:A7"/>
    <mergeCell ref="I6:I7"/>
    <mergeCell ref="K6:K7"/>
  </mergeCells>
  <pageMargins left="0.47244094488188998" right="0.94488188976377996" top="0.39370078740157499" bottom="0.39370078740157499" header="0.31496062992126" footer="0.31496062992126"/>
  <pageSetup scale="65" orientation="landscape" r:id="rId1"/>
  <ignoredErrors>
    <ignoredError sqref="I1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tabColor theme="2" tint="-0.499984740745262"/>
  </sheetPr>
  <dimension ref="A1:O127"/>
  <sheetViews>
    <sheetView showGridLines="0" showZeros="0" tabSelected="1" topLeftCell="A216" workbookViewId="0">
      <pane ySplit="1830" activePane="bottomLeft"/>
      <selection pane="bottomLeft" activeCell="O3" sqref="O3:O4"/>
    </sheetView>
  </sheetViews>
  <sheetFormatPr baseColWidth="10" defaultColWidth="11" defaultRowHeight="12.75"/>
  <cols>
    <col min="1" max="1" width="14.85546875" style="445" customWidth="1"/>
    <col min="2" max="2" width="41.140625" style="4" customWidth="1"/>
    <col min="3" max="4" width="12.85546875" style="4" customWidth="1"/>
    <col min="5" max="5" width="13.140625" style="4" customWidth="1"/>
    <col min="6" max="6" width="13.7109375" style="4" hidden="1" customWidth="1"/>
    <col min="7" max="7" width="15.140625" style="4" customWidth="1"/>
    <col min="8" max="8" width="14.42578125" style="4" customWidth="1"/>
    <col min="9" max="9" width="12.5703125" style="445" customWidth="1"/>
    <col min="10" max="10" width="20.42578125" style="446" hidden="1" customWidth="1"/>
    <col min="11" max="11" width="11" style="445"/>
    <col min="12" max="12" width="13" style="445" customWidth="1"/>
    <col min="13" max="13" width="4.5703125" style="445" customWidth="1"/>
    <col min="14" max="16384" width="11" style="445"/>
  </cols>
  <sheetData>
    <row r="1" spans="1:15" ht="21.75" customHeight="1">
      <c r="A1"/>
      <c r="B1" s="605" t="s">
        <v>60</v>
      </c>
      <c r="C1" s="605"/>
      <c r="D1" s="605"/>
      <c r="E1" s="605"/>
      <c r="F1" s="605"/>
      <c r="G1" s="605"/>
      <c r="H1" s="605"/>
      <c r="I1" s="605"/>
      <c r="J1" s="501"/>
      <c r="K1" s="375"/>
      <c r="L1" s="375"/>
      <c r="M1" s="375"/>
    </row>
    <row r="2" spans="1:15" ht="18" customHeight="1">
      <c r="A2"/>
      <c r="B2" s="605" t="s">
        <v>61</v>
      </c>
      <c r="C2" s="605"/>
      <c r="D2" s="605"/>
      <c r="E2" s="605"/>
      <c r="F2" s="605"/>
      <c r="G2" s="605"/>
      <c r="H2" s="605"/>
      <c r="I2" s="605"/>
      <c r="J2" s="501"/>
      <c r="K2" s="375"/>
      <c r="L2" s="375"/>
      <c r="M2" s="375"/>
    </row>
    <row r="3" spans="1:15" ht="15">
      <c r="A3"/>
      <c r="B3" s="606" t="s">
        <v>62</v>
      </c>
      <c r="C3" s="606"/>
      <c r="D3" s="606"/>
      <c r="E3" s="606"/>
      <c r="F3" s="606"/>
      <c r="G3" s="606"/>
      <c r="H3" s="606"/>
      <c r="I3" s="606"/>
    </row>
    <row r="4" spans="1:15" ht="20.25" customHeight="1">
      <c r="A4"/>
      <c r="B4" s="606" t="s">
        <v>63</v>
      </c>
      <c r="C4" s="606"/>
      <c r="D4" s="606"/>
      <c r="E4" s="606"/>
      <c r="F4" s="606"/>
      <c r="G4" s="606"/>
      <c r="H4" s="606"/>
      <c r="I4" s="606"/>
    </row>
    <row r="5" spans="1:15" ht="9.75" customHeight="1">
      <c r="A5"/>
      <c r="B5" s="447"/>
      <c r="C5" s="447"/>
      <c r="D5" s="447"/>
      <c r="E5" s="447"/>
      <c r="F5" s="447"/>
      <c r="G5" s="447"/>
      <c r="H5"/>
      <c r="I5" t="s">
        <v>12</v>
      </c>
    </row>
    <row r="6" spans="1:15" ht="24" customHeight="1">
      <c r="A6" s="601" t="s">
        <v>64</v>
      </c>
      <c r="B6" s="603" t="s">
        <v>0</v>
      </c>
      <c r="C6" s="607" t="s">
        <v>50</v>
      </c>
      <c r="D6" s="608"/>
      <c r="E6" s="609"/>
      <c r="F6" s="610" t="s">
        <v>65</v>
      </c>
      <c r="G6" s="611"/>
      <c r="H6" s="612" t="s">
        <v>24</v>
      </c>
      <c r="I6" s="612"/>
    </row>
    <row r="7" spans="1:15" ht="36" customHeight="1">
      <c r="A7" s="602"/>
      <c r="B7" s="604"/>
      <c r="C7" s="449" t="s">
        <v>2</v>
      </c>
      <c r="D7" s="448" t="s">
        <v>66</v>
      </c>
      <c r="E7" s="450" t="s">
        <v>25</v>
      </c>
      <c r="F7" s="451" t="s">
        <v>67</v>
      </c>
      <c r="G7" s="452" t="s">
        <v>68</v>
      </c>
      <c r="H7" s="453" t="s">
        <v>26</v>
      </c>
      <c r="I7" s="502" t="s">
        <v>69</v>
      </c>
    </row>
    <row r="8" spans="1:15" ht="8.25" hidden="1" customHeight="1">
      <c r="A8"/>
      <c r="B8" s="454" t="s">
        <v>12</v>
      </c>
      <c r="C8" s="454"/>
      <c r="D8" s="455"/>
      <c r="E8" s="456"/>
      <c r="F8" s="455"/>
      <c r="G8" s="455"/>
      <c r="H8" s="457"/>
      <c r="I8"/>
    </row>
    <row r="9" spans="1:15" ht="21.75" customHeight="1">
      <c r="A9"/>
      <c r="B9" s="458" t="s">
        <v>28</v>
      </c>
      <c r="C9" s="459">
        <f>+C11+C34</f>
        <v>198000000</v>
      </c>
      <c r="D9" s="460">
        <f>+D11+D34</f>
        <v>167166634</v>
      </c>
      <c r="E9" s="460">
        <f>+E11+E34</f>
        <v>132346249</v>
      </c>
      <c r="F9" s="460">
        <f>+F11+F34</f>
        <v>13123672.040000001</v>
      </c>
      <c r="G9" s="461">
        <f>J9+F9</f>
        <v>78278599.230000004</v>
      </c>
      <c r="H9" s="423">
        <f>+G9-E9</f>
        <v>-54067649.769999996</v>
      </c>
      <c r="I9" s="503">
        <f>+G9/E9*100</f>
        <v>59.146821176624364</v>
      </c>
      <c r="J9" s="504">
        <v>65154927.189999998</v>
      </c>
      <c r="L9" s="505"/>
      <c r="N9" s="445" t="s">
        <v>12</v>
      </c>
    </row>
    <row r="10" spans="1:15" ht="9.9499999999999993" customHeight="1">
      <c r="A10"/>
      <c r="B10" s="458"/>
      <c r="C10" s="459"/>
      <c r="D10" s="461"/>
      <c r="E10" s="461"/>
      <c r="F10" s="461"/>
      <c r="G10" s="461"/>
      <c r="H10" s="462"/>
      <c r="I10" s="506"/>
      <c r="N10" s="445" t="s">
        <v>12</v>
      </c>
    </row>
    <row r="11" spans="1:15" ht="21" customHeight="1">
      <c r="A11" s="463" t="s">
        <v>70</v>
      </c>
      <c r="B11" s="464" t="s">
        <v>29</v>
      </c>
      <c r="C11" s="465">
        <f t="shared" ref="C11:G11" si="0">+C13</f>
        <v>141094806</v>
      </c>
      <c r="D11" s="461">
        <f t="shared" si="0"/>
        <v>140457693</v>
      </c>
      <c r="E11" s="461">
        <f t="shared" si="0"/>
        <v>106057308</v>
      </c>
      <c r="F11" s="461">
        <f t="shared" si="0"/>
        <v>13123672.040000001</v>
      </c>
      <c r="G11" s="461">
        <f t="shared" si="0"/>
        <v>65391926.229999997</v>
      </c>
      <c r="H11" s="423">
        <f t="shared" ref="H11:H45" si="1">+G11-E11</f>
        <v>-40665381.770000003</v>
      </c>
      <c r="I11" s="503">
        <f>+G11/E11*100</f>
        <v>61.657162022253097</v>
      </c>
      <c r="J11" s="504">
        <v>52268254.189999998</v>
      </c>
      <c r="M11" s="507"/>
    </row>
    <row r="12" spans="1:15" ht="9.9499999999999993" customHeight="1">
      <c r="A12"/>
      <c r="B12" s="466"/>
      <c r="C12" s="467"/>
      <c r="D12" s="468"/>
      <c r="E12" s="468" t="s">
        <v>12</v>
      </c>
      <c r="F12" s="468"/>
      <c r="G12" s="468"/>
      <c r="H12" s="469"/>
      <c r="I12" s="508" t="s">
        <v>12</v>
      </c>
      <c r="M12" s="507"/>
      <c r="O12" s="445" t="s">
        <v>12</v>
      </c>
    </row>
    <row r="13" spans="1:15" ht="21" customHeight="1">
      <c r="A13" s="463" t="s">
        <v>71</v>
      </c>
      <c r="B13" s="458" t="s">
        <v>72</v>
      </c>
      <c r="C13" s="459">
        <f>+C15+C21+C26+C31</f>
        <v>141094806</v>
      </c>
      <c r="D13" s="461">
        <f>+D15+D21+D26+D31</f>
        <v>140457693</v>
      </c>
      <c r="E13" s="461">
        <f>+E15+E21+E26+E31</f>
        <v>106057308</v>
      </c>
      <c r="F13" s="461">
        <f>+F15+F21+F26+F31</f>
        <v>13123672.040000001</v>
      </c>
      <c r="G13" s="461">
        <f>J13+F13</f>
        <v>65391926.229999997</v>
      </c>
      <c r="H13" s="423">
        <f t="shared" si="1"/>
        <v>-40665381.770000003</v>
      </c>
      <c r="I13" s="503">
        <f>+G13/E13*100</f>
        <v>61.657162022253097</v>
      </c>
      <c r="J13" s="504">
        <v>52268254.189999998</v>
      </c>
      <c r="K13" s="509"/>
      <c r="L13" s="507" t="s">
        <v>12</v>
      </c>
      <c r="M13" s="507"/>
    </row>
    <row r="14" spans="1:15" ht="9.9499999999999993" customHeight="1">
      <c r="A14" s="463"/>
      <c r="B14" s="470"/>
      <c r="C14" s="471"/>
      <c r="D14" s="468"/>
      <c r="E14" s="468"/>
      <c r="F14" s="468"/>
      <c r="G14" s="468" t="s">
        <v>12</v>
      </c>
      <c r="H14" s="469" t="s">
        <v>12</v>
      </c>
      <c r="I14" s="508" t="s">
        <v>12</v>
      </c>
      <c r="J14" s="446" t="s">
        <v>12</v>
      </c>
      <c r="K14" s="509"/>
      <c r="M14" s="507"/>
    </row>
    <row r="15" spans="1:15" ht="21" customHeight="1">
      <c r="A15" s="463" t="s">
        <v>73</v>
      </c>
      <c r="B15" s="458" t="s">
        <v>74</v>
      </c>
      <c r="C15" s="459">
        <f>+C17</f>
        <v>5476492</v>
      </c>
      <c r="D15" s="461">
        <f>SUM(D18:D19)</f>
        <v>5476492</v>
      </c>
      <c r="E15" s="461">
        <f>E17</f>
        <v>4346190</v>
      </c>
      <c r="F15" s="461">
        <f>SUM(F18:F19)</f>
        <v>211843.58</v>
      </c>
      <c r="G15" s="461">
        <f>G17</f>
        <v>1341810.8800000001</v>
      </c>
      <c r="H15" s="423">
        <f t="shared" si="1"/>
        <v>-3004379.12</v>
      </c>
      <c r="I15" s="503">
        <f>+G15/E15*100</f>
        <v>30.873267850692223</v>
      </c>
      <c r="J15" s="446">
        <v>1129967.3</v>
      </c>
      <c r="K15" s="509"/>
      <c r="M15" s="507"/>
    </row>
    <row r="16" spans="1:15" ht="11.45" customHeight="1">
      <c r="A16" s="463"/>
      <c r="B16" s="458"/>
      <c r="C16" s="459"/>
      <c r="D16" s="468"/>
      <c r="E16" s="461"/>
      <c r="F16" s="461"/>
      <c r="G16" s="461"/>
      <c r="H16" s="462"/>
      <c r="I16" s="503"/>
      <c r="K16" s="509"/>
    </row>
    <row r="17" spans="1:13" ht="19.149999999999999" customHeight="1">
      <c r="A17" s="463" t="s">
        <v>75</v>
      </c>
      <c r="B17" s="472" t="s">
        <v>76</v>
      </c>
      <c r="C17" s="473">
        <f>+C18+C19</f>
        <v>5476492</v>
      </c>
      <c r="D17" s="461">
        <f>+D18+D19</f>
        <v>5476492</v>
      </c>
      <c r="E17" s="461">
        <f>SUM(E18:E19)</f>
        <v>4346190</v>
      </c>
      <c r="F17" s="461">
        <f>SUM(F18:F19)</f>
        <v>211843.58</v>
      </c>
      <c r="G17" s="474">
        <f>J17+F17</f>
        <v>1341810.8800000001</v>
      </c>
      <c r="H17" s="423">
        <f t="shared" si="1"/>
        <v>-3004379.12</v>
      </c>
      <c r="I17" s="508">
        <f>+G17/E17*100</f>
        <v>30.873267850692223</v>
      </c>
      <c r="J17" s="504">
        <f>J18+J19</f>
        <v>1129967.3</v>
      </c>
    </row>
    <row r="18" spans="1:13" ht="24.95" customHeight="1">
      <c r="A18" s="475" t="s">
        <v>77</v>
      </c>
      <c r="B18" s="470" t="s">
        <v>78</v>
      </c>
      <c r="C18" s="471">
        <v>700000</v>
      </c>
      <c r="D18" s="468">
        <v>700000</v>
      </c>
      <c r="E18" s="476">
        <f>58333+58333+58333+58333+58333+58333+58333+58333+58333</f>
        <v>524997</v>
      </c>
      <c r="F18" s="477">
        <v>9252.0300000000007</v>
      </c>
      <c r="G18" s="477">
        <f>F18+J18</f>
        <v>389045.34</v>
      </c>
      <c r="H18" s="427">
        <f t="shared" si="1"/>
        <v>-135951.65999999997</v>
      </c>
      <c r="I18" s="508">
        <f>+G18/E18*100</f>
        <v>74.104297738844224</v>
      </c>
      <c r="J18" s="446">
        <v>379793.31</v>
      </c>
      <c r="M18" s="507"/>
    </row>
    <row r="19" spans="1:13" ht="24.95" customHeight="1">
      <c r="A19" s="475" t="s">
        <v>79</v>
      </c>
      <c r="B19" s="470" t="s">
        <v>80</v>
      </c>
      <c r="C19" s="471">
        <v>4776492</v>
      </c>
      <c r="D19" s="468">
        <v>4776492</v>
      </c>
      <c r="E19" s="476">
        <f>318433+318433+318433+477649+477649+477649+477649+477649+477649</f>
        <v>3821193</v>
      </c>
      <c r="F19" s="477">
        <v>202591.55</v>
      </c>
      <c r="G19" s="477">
        <f>J19+F19</f>
        <v>952765.54</v>
      </c>
      <c r="H19" s="427">
        <f t="shared" si="1"/>
        <v>-2868427.46</v>
      </c>
      <c r="I19" s="508">
        <f>+G19/E19*100</f>
        <v>24.933719390776652</v>
      </c>
      <c r="J19" s="446">
        <v>750173.99</v>
      </c>
    </row>
    <row r="20" spans="1:13" ht="9.9499999999999993" customHeight="1">
      <c r="A20" s="463"/>
      <c r="B20" s="470" t="s">
        <v>12</v>
      </c>
      <c r="C20" s="471"/>
      <c r="D20" s="468" t="s">
        <v>12</v>
      </c>
      <c r="E20" s="476"/>
      <c r="F20" s="468"/>
      <c r="G20" s="468"/>
      <c r="H20" s="469"/>
      <c r="I20" s="508" t="s">
        <v>12</v>
      </c>
    </row>
    <row r="21" spans="1:13" ht="24.95" customHeight="1">
      <c r="A21" s="463" t="s">
        <v>81</v>
      </c>
      <c r="B21" s="458" t="s">
        <v>82</v>
      </c>
      <c r="C21" s="459">
        <f>+C23</f>
        <v>127866634</v>
      </c>
      <c r="D21" s="461">
        <f>SUM(D23:D23)</f>
        <v>127866634</v>
      </c>
      <c r="E21" s="478">
        <f>SUM(E23)</f>
        <v>96165177</v>
      </c>
      <c r="F21" s="461">
        <f>F23</f>
        <v>11968297</v>
      </c>
      <c r="G21" s="474">
        <f>G23</f>
        <v>57247130</v>
      </c>
      <c r="H21" s="423">
        <f>+G21-E21</f>
        <v>-38918047</v>
      </c>
      <c r="I21" s="503">
        <f>+G21/E21*100</f>
        <v>59.530000137159831</v>
      </c>
      <c r="J21" s="504">
        <v>45278833</v>
      </c>
      <c r="L21" s="445" t="s">
        <v>12</v>
      </c>
      <c r="M21" s="507"/>
    </row>
    <row r="22" spans="1:13" ht="5.25" customHeight="1">
      <c r="A22" s="463"/>
      <c r="B22" s="470"/>
      <c r="C22" s="471"/>
      <c r="D22" s="468"/>
      <c r="E22" s="476"/>
      <c r="F22" s="468"/>
      <c r="G22" s="479">
        <f>F22</f>
        <v>0</v>
      </c>
      <c r="H22" s="469">
        <f t="shared" si="1"/>
        <v>0</v>
      </c>
      <c r="I22" s="508" t="s">
        <v>12</v>
      </c>
      <c r="J22" s="446">
        <v>0</v>
      </c>
    </row>
    <row r="23" spans="1:13" ht="24.75" customHeight="1">
      <c r="A23" s="463" t="s">
        <v>83</v>
      </c>
      <c r="B23" s="458" t="s">
        <v>84</v>
      </c>
      <c r="C23" s="459">
        <f>+C25</f>
        <v>127866634</v>
      </c>
      <c r="D23" s="461">
        <f>+D25</f>
        <v>127866634</v>
      </c>
      <c r="E23" s="478">
        <f>E25</f>
        <v>96165177</v>
      </c>
      <c r="F23" s="461">
        <f>F25</f>
        <v>11968297</v>
      </c>
      <c r="G23" s="474">
        <f>G25</f>
        <v>57247130</v>
      </c>
      <c r="H23" s="423">
        <f t="shared" si="1"/>
        <v>-38918047</v>
      </c>
      <c r="I23" s="503">
        <f>+G23/E23*100</f>
        <v>59.530000137159831</v>
      </c>
      <c r="J23" s="504">
        <v>45278833</v>
      </c>
    </row>
    <row r="24" spans="1:13" ht="10.15" customHeight="1">
      <c r="A24" s="463"/>
      <c r="B24" s="470"/>
      <c r="C24" s="471"/>
      <c r="D24" s="468"/>
      <c r="E24" s="476"/>
      <c r="F24" s="468"/>
      <c r="G24" s="479">
        <f>F24</f>
        <v>0</v>
      </c>
      <c r="H24" s="469">
        <f t="shared" si="1"/>
        <v>0</v>
      </c>
      <c r="I24" s="508" t="s">
        <v>12</v>
      </c>
      <c r="J24" s="446">
        <v>0</v>
      </c>
    </row>
    <row r="25" spans="1:13" ht="22.15" customHeight="1">
      <c r="A25" s="475" t="s">
        <v>85</v>
      </c>
      <c r="B25" s="470" t="s">
        <v>86</v>
      </c>
      <c r="C25" s="471">
        <v>127866634</v>
      </c>
      <c r="D25" s="468">
        <f>127866634</f>
        <v>127866634</v>
      </c>
      <c r="E25" s="476">
        <f>13488927+12100174+10105532+9486893+9401862+9558545+9687276+12602772+9733196</f>
        <v>96165177</v>
      </c>
      <c r="F25" s="468">
        <v>11968297</v>
      </c>
      <c r="G25" s="479">
        <f>J25+F25</f>
        <v>57247130</v>
      </c>
      <c r="H25" s="427">
        <f>G25-E25</f>
        <v>-38918047</v>
      </c>
      <c r="I25" s="508">
        <f>+G25/E25*100</f>
        <v>59.530000137159831</v>
      </c>
      <c r="J25" s="446">
        <v>45278833</v>
      </c>
    </row>
    <row r="26" spans="1:13" ht="24.95" customHeight="1">
      <c r="A26" s="463" t="s">
        <v>87</v>
      </c>
      <c r="B26" s="458" t="s">
        <v>30</v>
      </c>
      <c r="C26" s="459">
        <f>+C27+C28+C29</f>
        <v>5251680</v>
      </c>
      <c r="D26" s="461">
        <f>SUM(D27:D29)</f>
        <v>4614567</v>
      </c>
      <c r="E26" s="478">
        <f>SUM(E27:E29)</f>
        <v>3545940</v>
      </c>
      <c r="F26" s="461">
        <f>F27+F28+F29</f>
        <v>867019.98</v>
      </c>
      <c r="G26" s="461">
        <f>J26+F26</f>
        <v>6185608.4399999995</v>
      </c>
      <c r="H26" s="462">
        <f t="shared" si="1"/>
        <v>2639668.4399999995</v>
      </c>
      <c r="I26" s="503">
        <f>+G26/E26*100</f>
        <v>174.44199394236787</v>
      </c>
      <c r="J26" s="504">
        <f>J27+J28+J29</f>
        <v>5318588.46</v>
      </c>
    </row>
    <row r="27" spans="1:13" ht="24.95" customHeight="1">
      <c r="A27" s="475" t="s">
        <v>88</v>
      </c>
      <c r="B27" s="470" t="s">
        <v>89</v>
      </c>
      <c r="C27" s="471">
        <v>410082</v>
      </c>
      <c r="D27" s="468">
        <v>410082</v>
      </c>
      <c r="E27" s="476">
        <f>34173+34173+34173+34173+34173+34173+34173+34173+34173</f>
        <v>307557</v>
      </c>
      <c r="F27" s="476">
        <v>71164.12</v>
      </c>
      <c r="G27" s="476">
        <f>F27+J27</f>
        <v>663893.11</v>
      </c>
      <c r="H27" s="469">
        <f t="shared" si="1"/>
        <v>356336.11</v>
      </c>
      <c r="I27" s="508">
        <f>+G27/E27*100</f>
        <v>215.86018526647089</v>
      </c>
      <c r="J27" s="446">
        <v>592728.99</v>
      </c>
    </row>
    <row r="28" spans="1:13" ht="24.95" customHeight="1">
      <c r="A28" s="475" t="s">
        <v>90</v>
      </c>
      <c r="B28" s="470" t="s">
        <v>91</v>
      </c>
      <c r="C28" s="471">
        <v>4774884</v>
      </c>
      <c r="D28" s="468">
        <f>4774884-637113</f>
        <v>4137771</v>
      </c>
      <c r="E28" s="476">
        <f>318326+318326+318326+477488+477488+477488+477488+477488-637113+477488</f>
        <v>3182793</v>
      </c>
      <c r="F28" s="476">
        <f>782662.91+12642.95</f>
        <v>795305.86</v>
      </c>
      <c r="G28" s="476">
        <f>J28+F28</f>
        <v>5459215.7700000005</v>
      </c>
      <c r="H28" s="469">
        <f t="shared" si="1"/>
        <v>2276422.7700000005</v>
      </c>
      <c r="I28" s="508">
        <f>+G28/E28*100</f>
        <v>171.5228030852148</v>
      </c>
      <c r="J28" s="446">
        <f>4663909.86+0.05</f>
        <v>4663909.91</v>
      </c>
      <c r="L28" s="507"/>
    </row>
    <row r="29" spans="1:13" ht="24.95" customHeight="1">
      <c r="A29" s="475" t="s">
        <v>92</v>
      </c>
      <c r="B29" s="470" t="s">
        <v>93</v>
      </c>
      <c r="C29" s="471">
        <v>66714</v>
      </c>
      <c r="D29" s="468">
        <v>66714</v>
      </c>
      <c r="E29" s="476">
        <f>11118+5559+5559+5559+5559+5559+5559+5559+5559</f>
        <v>55590</v>
      </c>
      <c r="F29" s="476">
        <v>550</v>
      </c>
      <c r="G29" s="476">
        <f>J29+F29</f>
        <v>62499.56</v>
      </c>
      <c r="H29" s="469">
        <f t="shared" si="1"/>
        <v>6909.5599999999977</v>
      </c>
      <c r="I29" s="508">
        <f>+G29/E29*100</f>
        <v>112.42950170894046</v>
      </c>
      <c r="J29" s="446">
        <v>61949.56</v>
      </c>
    </row>
    <row r="30" spans="1:13" ht="9.9499999999999993" customHeight="1">
      <c r="A30" s="463" t="s">
        <v>12</v>
      </c>
      <c r="B30" s="470"/>
      <c r="C30" s="471"/>
      <c r="D30" s="468"/>
      <c r="E30" s="476"/>
      <c r="F30" s="468"/>
      <c r="G30" s="468">
        <f>F30</f>
        <v>0</v>
      </c>
      <c r="H30" s="469">
        <f t="shared" si="1"/>
        <v>0</v>
      </c>
      <c r="I30" s="508" t="s">
        <v>12</v>
      </c>
      <c r="J30" s="446">
        <v>0</v>
      </c>
    </row>
    <row r="31" spans="1:13" ht="24.95" customHeight="1">
      <c r="A31" s="463" t="s">
        <v>94</v>
      </c>
      <c r="B31" s="458" t="s">
        <v>31</v>
      </c>
      <c r="C31" s="459">
        <f>+C32</f>
        <v>2500000</v>
      </c>
      <c r="D31" s="461">
        <f>SUM(D32)</f>
        <v>2500000</v>
      </c>
      <c r="E31" s="478">
        <f>SUM(E32)</f>
        <v>2000001</v>
      </c>
      <c r="F31" s="461">
        <f>F32</f>
        <v>76511.48</v>
      </c>
      <c r="G31" s="461">
        <f>J31+F31</f>
        <v>617376.91</v>
      </c>
      <c r="H31" s="423">
        <f t="shared" si="1"/>
        <v>-1382624.0899999999</v>
      </c>
      <c r="I31" s="503">
        <f>+G31/E31*100</f>
        <v>30.868830065584969</v>
      </c>
      <c r="J31" s="504">
        <v>540865.43000000005</v>
      </c>
    </row>
    <row r="32" spans="1:13" ht="24.95" customHeight="1">
      <c r="A32" s="463" t="s">
        <v>95</v>
      </c>
      <c r="B32" s="470" t="s">
        <v>96</v>
      </c>
      <c r="C32" s="471">
        <v>2500000</v>
      </c>
      <c r="D32" s="468">
        <v>2500000</v>
      </c>
      <c r="E32" s="476">
        <f>166667+166667+166667+250000+250000+250000+250000+250000+250000</f>
        <v>2000001</v>
      </c>
      <c r="F32" s="476">
        <v>76511.48</v>
      </c>
      <c r="G32" s="476">
        <f>J32+F32</f>
        <v>617376.91</v>
      </c>
      <c r="H32" s="427">
        <f t="shared" si="1"/>
        <v>-1382624.0899999999</v>
      </c>
      <c r="I32" s="508">
        <f>+G32/E32*100</f>
        <v>30.868830065584969</v>
      </c>
      <c r="J32" s="446">
        <v>540865.43000000005</v>
      </c>
    </row>
    <row r="33" spans="1:10" ht="9.9499999999999993" customHeight="1">
      <c r="A33" s="463"/>
      <c r="B33" s="470"/>
      <c r="C33" s="471"/>
      <c r="D33" s="468"/>
      <c r="E33" s="468"/>
      <c r="F33" s="468"/>
      <c r="G33" s="468">
        <f>F33</f>
        <v>0</v>
      </c>
      <c r="H33" s="480"/>
      <c r="I33" s="508"/>
      <c r="J33" s="446">
        <v>0</v>
      </c>
    </row>
    <row r="34" spans="1:10" ht="24.95" customHeight="1">
      <c r="A34" s="463" t="s">
        <v>97</v>
      </c>
      <c r="B34" s="458" t="s">
        <v>32</v>
      </c>
      <c r="C34" s="459">
        <f>+C36+C40</f>
        <v>56905194</v>
      </c>
      <c r="D34" s="461">
        <f>+D40+D36</f>
        <v>26708941</v>
      </c>
      <c r="E34" s="461">
        <f>+E40+E36</f>
        <v>26288941</v>
      </c>
      <c r="F34" s="461">
        <f>+F40+F36</f>
        <v>0</v>
      </c>
      <c r="G34" s="461">
        <f>G36+G40</f>
        <v>12886673</v>
      </c>
      <c r="H34" s="423">
        <f>G34-E34</f>
        <v>-13402268</v>
      </c>
      <c r="I34" s="503">
        <f>+G34/E34*100</f>
        <v>49.019369019086774</v>
      </c>
      <c r="J34" s="504">
        <f>J36+J40</f>
        <v>12886673</v>
      </c>
    </row>
    <row r="35" spans="1:10" ht="9.9499999999999993" customHeight="1">
      <c r="A35" s="463"/>
      <c r="B35" s="470"/>
      <c r="C35" s="471"/>
      <c r="D35" s="468"/>
      <c r="E35" s="468"/>
      <c r="F35" s="468"/>
      <c r="G35" s="468"/>
      <c r="H35" s="480"/>
      <c r="I35" s="508"/>
    </row>
    <row r="36" spans="1:10" ht="18" customHeight="1">
      <c r="A36" s="463" t="s">
        <v>98</v>
      </c>
      <c r="B36" s="458" t="s">
        <v>99</v>
      </c>
      <c r="C36" s="459">
        <f>+C37</f>
        <v>54805194</v>
      </c>
      <c r="D36" s="461">
        <f>D37</f>
        <v>24608941</v>
      </c>
      <c r="E36" s="461">
        <f t="shared" ref="E36:E38" si="2">E37</f>
        <v>24608941</v>
      </c>
      <c r="F36" s="461">
        <f t="shared" ref="F36:G38" si="3">F37</f>
        <v>0</v>
      </c>
      <c r="G36" s="461">
        <f t="shared" si="3"/>
        <v>11206673</v>
      </c>
      <c r="H36" s="423">
        <f>H37</f>
        <v>-13402268</v>
      </c>
      <c r="I36" s="503">
        <f>I37</f>
        <v>45.539029899742538</v>
      </c>
      <c r="J36" s="504">
        <v>11206673</v>
      </c>
    </row>
    <row r="37" spans="1:10" ht="18" customHeight="1">
      <c r="A37" s="475" t="s">
        <v>100</v>
      </c>
      <c r="B37" s="470" t="s">
        <v>101</v>
      </c>
      <c r="C37" s="471">
        <f>+C38</f>
        <v>54805194</v>
      </c>
      <c r="D37" s="468">
        <f>D38</f>
        <v>24608941</v>
      </c>
      <c r="E37" s="468">
        <f t="shared" si="2"/>
        <v>24608941</v>
      </c>
      <c r="F37" s="468">
        <f>+F38</f>
        <v>0</v>
      </c>
      <c r="G37" s="468">
        <f t="shared" si="3"/>
        <v>11206673</v>
      </c>
      <c r="H37" s="427">
        <f>H38</f>
        <v>-13402268</v>
      </c>
      <c r="I37" s="508">
        <f>G37/E37*100</f>
        <v>45.539029899742538</v>
      </c>
      <c r="J37" s="446">
        <v>11206673</v>
      </c>
    </row>
    <row r="38" spans="1:10" ht="18" customHeight="1">
      <c r="A38" s="475" t="s">
        <v>102</v>
      </c>
      <c r="B38" s="470" t="s">
        <v>103</v>
      </c>
      <c r="C38" s="471">
        <f>+C39</f>
        <v>54805194</v>
      </c>
      <c r="D38" s="468">
        <f>D39</f>
        <v>24608941</v>
      </c>
      <c r="E38" s="468">
        <f t="shared" si="2"/>
        <v>24608941</v>
      </c>
      <c r="F38" s="468">
        <f>+F39</f>
        <v>0</v>
      </c>
      <c r="G38" s="468">
        <f t="shared" si="3"/>
        <v>11206673</v>
      </c>
      <c r="H38" s="427">
        <f>H39</f>
        <v>-13402268</v>
      </c>
      <c r="I38" s="508">
        <f>G38/E38*100</f>
        <v>45.539029899742538</v>
      </c>
      <c r="J38" s="446">
        <v>11206673</v>
      </c>
    </row>
    <row r="39" spans="1:10" ht="18" customHeight="1">
      <c r="A39" s="475" t="s">
        <v>104</v>
      </c>
      <c r="B39" s="470" t="s">
        <v>105</v>
      </c>
      <c r="C39" s="471">
        <v>54805194</v>
      </c>
      <c r="D39" s="468">
        <v>24608941</v>
      </c>
      <c r="E39" s="468">
        <v>24608941</v>
      </c>
      <c r="F39" s="468">
        <v>0</v>
      </c>
      <c r="G39" s="468">
        <f>J39+F39</f>
        <v>11206673</v>
      </c>
      <c r="H39" s="427">
        <f>G39-E39</f>
        <v>-13402268</v>
      </c>
      <c r="I39" s="508">
        <f>G39/E39*100</f>
        <v>45.539029899742538</v>
      </c>
      <c r="J39" s="446">
        <v>11206673</v>
      </c>
    </row>
    <row r="40" spans="1:10" ht="24.95" customHeight="1">
      <c r="A40" s="463" t="s">
        <v>106</v>
      </c>
      <c r="B40" s="458" t="s">
        <v>107</v>
      </c>
      <c r="C40" s="459">
        <f>+C41</f>
        <v>2100000</v>
      </c>
      <c r="D40" s="461">
        <f>SUM(D41)</f>
        <v>2100000</v>
      </c>
      <c r="E40" s="461">
        <f t="shared" ref="E40:E42" si="4">E41</f>
        <v>1680000</v>
      </c>
      <c r="F40" s="461">
        <f>F41</f>
        <v>0</v>
      </c>
      <c r="G40" s="461">
        <f>G41</f>
        <v>1680000</v>
      </c>
      <c r="H40" s="481">
        <f t="shared" si="1"/>
        <v>0</v>
      </c>
      <c r="I40" s="503">
        <f>+G40/E40*100</f>
        <v>100</v>
      </c>
      <c r="J40" s="504">
        <v>1680000</v>
      </c>
    </row>
    <row r="41" spans="1:10" ht="24.95" customHeight="1">
      <c r="A41" s="475" t="s">
        <v>108</v>
      </c>
      <c r="B41" s="470" t="s">
        <v>109</v>
      </c>
      <c r="C41" s="471">
        <f>+C42</f>
        <v>2100000</v>
      </c>
      <c r="D41" s="468">
        <f>+D42</f>
        <v>2100000</v>
      </c>
      <c r="E41" s="468">
        <f>+E42</f>
        <v>1680000</v>
      </c>
      <c r="F41" s="468">
        <f>+F42</f>
        <v>0</v>
      </c>
      <c r="G41" s="468">
        <f>+G42</f>
        <v>1680000</v>
      </c>
      <c r="H41" s="480">
        <f t="shared" si="1"/>
        <v>0</v>
      </c>
      <c r="I41" s="508">
        <f>+G41/E41*100</f>
        <v>100</v>
      </c>
      <c r="J41" s="446">
        <v>1680000</v>
      </c>
    </row>
    <row r="42" spans="1:10" ht="17.45" customHeight="1">
      <c r="A42" s="475" t="s">
        <v>110</v>
      </c>
      <c r="B42" s="470" t="s">
        <v>111</v>
      </c>
      <c r="C42" s="471">
        <f>+C43</f>
        <v>2100000</v>
      </c>
      <c r="D42" s="468">
        <f>D43</f>
        <v>2100000</v>
      </c>
      <c r="E42" s="468">
        <f t="shared" si="4"/>
        <v>1680000</v>
      </c>
      <c r="F42" s="468">
        <f>+F43</f>
        <v>0</v>
      </c>
      <c r="G42" s="468">
        <f>G43</f>
        <v>1680000</v>
      </c>
      <c r="H42" s="480">
        <f t="shared" si="1"/>
        <v>0</v>
      </c>
      <c r="I42" s="508">
        <f>G42/E42*100</f>
        <v>100</v>
      </c>
      <c r="J42" s="446">
        <v>1680000</v>
      </c>
    </row>
    <row r="43" spans="1:10" ht="17.45" customHeight="1">
      <c r="A43" s="475" t="s">
        <v>112</v>
      </c>
      <c r="B43" s="470" t="s">
        <v>113</v>
      </c>
      <c r="C43" s="471">
        <v>2100000</v>
      </c>
      <c r="D43" s="468">
        <v>2100000</v>
      </c>
      <c r="E43" s="468">
        <v>1680000</v>
      </c>
      <c r="F43" s="468">
        <v>0</v>
      </c>
      <c r="G43" s="468">
        <f>J43+F43</f>
        <v>1680000</v>
      </c>
      <c r="H43" s="480">
        <f t="shared" si="1"/>
        <v>0</v>
      </c>
      <c r="I43" s="508">
        <f>G43/E43*100</f>
        <v>100</v>
      </c>
      <c r="J43" s="446">
        <v>1680000</v>
      </c>
    </row>
    <row r="44" spans="1:10" ht="16.899999999999999" customHeight="1">
      <c r="A44" s="482"/>
      <c r="B44" s="483"/>
      <c r="C44" s="484"/>
      <c r="D44" s="484"/>
      <c r="E44" s="484"/>
      <c r="F44" s="484"/>
      <c r="G44" s="484"/>
      <c r="H44" s="485"/>
      <c r="I44" s="510"/>
    </row>
    <row r="45" spans="1:10" ht="24.6" hidden="1" customHeight="1">
      <c r="A45" s="486"/>
      <c r="B45" s="352" t="s">
        <v>114</v>
      </c>
      <c r="C45" s="352"/>
      <c r="D45" s="461">
        <f>SUM(D47)</f>
        <v>5210534</v>
      </c>
      <c r="E45" s="461">
        <f>SUM(E47)</f>
        <v>4639377</v>
      </c>
      <c r="F45" s="461">
        <f>SUM(F47:F47)</f>
        <v>1797741</v>
      </c>
      <c r="G45" s="461" t="e">
        <f>#REF!+F45</f>
        <v>#REF!</v>
      </c>
      <c r="H45" s="487" t="e">
        <f t="shared" si="1"/>
        <v>#REF!</v>
      </c>
      <c r="I45" s="380" t="e">
        <f>+G45/E45*100</f>
        <v>#REF!</v>
      </c>
      <c r="J45" s="446">
        <v>4639377</v>
      </c>
    </row>
    <row r="46" spans="1:10" ht="9.6" hidden="1" customHeight="1">
      <c r="A46" s="486"/>
      <c r="B46" s="359"/>
      <c r="C46" s="359"/>
      <c r="D46" s="468"/>
      <c r="E46" s="468"/>
      <c r="F46" s="468"/>
      <c r="G46" s="479">
        <f>F46</f>
        <v>0</v>
      </c>
      <c r="H46" s="488" t="s">
        <v>12</v>
      </c>
      <c r="I46" s="382" t="s">
        <v>12</v>
      </c>
      <c r="J46" s="446">
        <v>0</v>
      </c>
    </row>
    <row r="47" spans="1:10" ht="24.6" hidden="1" customHeight="1">
      <c r="A47" s="486"/>
      <c r="B47" s="359" t="s">
        <v>115</v>
      </c>
      <c r="C47" s="359"/>
      <c r="D47" s="468">
        <v>5210534</v>
      </c>
      <c r="E47" s="468">
        <v>4639377</v>
      </c>
      <c r="F47" s="489">
        <f>1779848+17893</f>
        <v>1797741</v>
      </c>
      <c r="G47" s="479" t="e">
        <f>F47+#REF!</f>
        <v>#REF!</v>
      </c>
      <c r="H47" s="488" t="e">
        <f>+G47-E47</f>
        <v>#REF!</v>
      </c>
      <c r="I47" s="382" t="e">
        <f>+G47/E47*100</f>
        <v>#REF!</v>
      </c>
      <c r="J47" s="446">
        <v>4639377</v>
      </c>
    </row>
    <row r="48" spans="1:10" ht="7.15" hidden="1" customHeight="1">
      <c r="A48" s="5"/>
      <c r="B48" s="490"/>
      <c r="C48" s="490"/>
      <c r="D48" s="491"/>
      <c r="E48" s="484" t="s">
        <v>12</v>
      </c>
      <c r="F48" s="492" t="s">
        <v>12</v>
      </c>
      <c r="G48" s="484" t="s">
        <v>12</v>
      </c>
      <c r="H48" s="484" t="s">
        <v>12</v>
      </c>
      <c r="I48" s="511"/>
      <c r="J48" s="446" t="s">
        <v>12</v>
      </c>
    </row>
    <row r="49" spans="1:9" ht="9" customHeight="1">
      <c r="A49"/>
      <c r="B49" s="493" t="s">
        <v>12</v>
      </c>
      <c r="C49" s="494"/>
      <c r="D49" s="494"/>
      <c r="E49" s="495"/>
      <c r="F49" s="495"/>
      <c r="G49" s="495"/>
      <c r="H49" s="496"/>
      <c r="I49" s="494"/>
    </row>
    <row r="50" spans="1:9">
      <c r="A50" s="600" t="s">
        <v>23</v>
      </c>
      <c r="B50" s="600"/>
      <c r="C50" s="62"/>
      <c r="D50" s="1"/>
      <c r="E50" s="1"/>
      <c r="F50" s="1"/>
      <c r="G50" s="1"/>
      <c r="H50" s="497"/>
      <c r="I50"/>
    </row>
    <row r="51" spans="1:9" ht="15.75">
      <c r="B51" s="498" t="s">
        <v>12</v>
      </c>
      <c r="C51" s="498"/>
      <c r="D51" s="10"/>
      <c r="E51" s="375"/>
      <c r="F51" s="375"/>
      <c r="G51" s="375"/>
      <c r="H51" s="375"/>
      <c r="I51" s="509"/>
    </row>
    <row r="52" spans="1:9" ht="15.75">
      <c r="B52" s="499" t="s">
        <v>12</v>
      </c>
      <c r="C52" s="499"/>
      <c r="D52" s="500" t="s">
        <v>12</v>
      </c>
      <c r="E52" s="375"/>
      <c r="F52" s="375"/>
      <c r="G52" s="375"/>
      <c r="H52" s="375"/>
      <c r="I52" s="509"/>
    </row>
    <row r="53" spans="1:9" ht="15.75">
      <c r="B53" s="499" t="s">
        <v>12</v>
      </c>
      <c r="C53" s="499"/>
      <c r="D53" s="80"/>
      <c r="E53" s="375"/>
      <c r="F53" s="375"/>
      <c r="G53" s="375"/>
      <c r="H53" s="375"/>
      <c r="I53" s="509"/>
    </row>
    <row r="54" spans="1:9" ht="15.75">
      <c r="B54" s="498" t="s">
        <v>12</v>
      </c>
      <c r="C54" s="498"/>
      <c r="D54" s="375"/>
      <c r="E54" s="375"/>
      <c r="F54" s="375"/>
      <c r="G54" s="375"/>
      <c r="H54" s="375"/>
      <c r="I54" s="509"/>
    </row>
    <row r="55" spans="1:9" ht="15.75">
      <c r="B55" s="498" t="s">
        <v>12</v>
      </c>
      <c r="C55" s="498"/>
      <c r="D55" s="375"/>
      <c r="E55" s="375"/>
      <c r="F55" s="375"/>
      <c r="G55" s="375"/>
      <c r="H55" s="375"/>
      <c r="I55" s="509"/>
    </row>
    <row r="56" spans="1:9" ht="15.75">
      <c r="B56" s="498" t="s">
        <v>12</v>
      </c>
      <c r="C56" s="498"/>
      <c r="D56" s="375"/>
      <c r="E56" s="375"/>
      <c r="F56" s="375"/>
      <c r="G56" s="375"/>
      <c r="H56" s="375"/>
      <c r="I56" s="509"/>
    </row>
    <row r="57" spans="1:9" ht="15.75">
      <c r="B57" s="498" t="s">
        <v>12</v>
      </c>
      <c r="C57" s="498"/>
      <c r="D57" s="375"/>
      <c r="E57" s="375"/>
      <c r="F57" s="375"/>
      <c r="G57" s="375"/>
      <c r="H57" s="375"/>
      <c r="I57" s="509"/>
    </row>
    <row r="58" spans="1:9">
      <c r="D58" s="322"/>
      <c r="E58" s="322"/>
      <c r="F58" s="322"/>
      <c r="G58" s="322"/>
      <c r="H58" s="322"/>
      <c r="I58" s="509"/>
    </row>
    <row r="127" spans="5:5">
      <c r="E127" s="4" t="s">
        <v>12</v>
      </c>
    </row>
  </sheetData>
  <mergeCells count="10">
    <mergeCell ref="A50:B50"/>
    <mergeCell ref="A6:A7"/>
    <mergeCell ref="B6:B7"/>
    <mergeCell ref="B1:I1"/>
    <mergeCell ref="B2:I2"/>
    <mergeCell ref="B3:I3"/>
    <mergeCell ref="B4:I4"/>
    <mergeCell ref="C6:E6"/>
    <mergeCell ref="F6:G6"/>
    <mergeCell ref="H6:I6"/>
  </mergeCells>
  <pageMargins left="0.28999999999999998" right="0.118110236220472" top="0.74803149606299202" bottom="0.98425196850393704" header="0.511811023622047" footer="0.511811023622047"/>
  <pageSetup scale="75" firstPageNumber="0" orientation="portrait" useFirstPageNumber="1"/>
  <headerFooter alignWithMargins="0">
    <oddFooter>&amp;R&amp;"Arial,Negrita"</oddFooter>
  </headerFooter>
  <ignoredErrors>
    <ignoredError sqref="E15:F15 E21 E41 G39:G41 G30 G22:G23 G18 H25 G27 F37:F38 F4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3">
    <tabColor theme="2" tint="-0.499984740745262"/>
    <pageSetUpPr fitToPage="1"/>
  </sheetPr>
  <dimension ref="A1:Y70"/>
  <sheetViews>
    <sheetView showGridLines="0" showZeros="0" workbookViewId="0">
      <selection activeCell="I20" sqref="I20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5.85546875" customWidth="1"/>
    <col min="4" max="4" width="15.28515625" customWidth="1"/>
    <col min="5" max="5" width="7.140625" hidden="1" customWidth="1"/>
    <col min="6" max="6" width="17" customWidth="1"/>
    <col min="7" max="7" width="0.140625" customWidth="1"/>
    <col min="8" max="8" width="15.140625" customWidth="1"/>
    <col min="9" max="9" width="15" customWidth="1"/>
    <col min="10" max="10" width="9.7109375" customWidth="1"/>
    <col min="11" max="11" width="21.42578125" hidden="1" customWidth="1"/>
    <col min="12" max="12" width="12" customWidth="1"/>
    <col min="13" max="13" width="24.28515625" customWidth="1"/>
    <col min="15" max="17" width="11.42578125" hidden="1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605" t="s">
        <v>60</v>
      </c>
      <c r="B1" s="605"/>
      <c r="C1" s="605"/>
      <c r="D1" s="605"/>
      <c r="E1" s="605"/>
      <c r="F1" s="605"/>
      <c r="G1" s="605"/>
      <c r="H1" s="605"/>
      <c r="I1" s="605"/>
      <c r="J1" s="605"/>
    </row>
    <row r="2" spans="1:25" ht="15.75">
      <c r="A2" s="605" t="s">
        <v>61</v>
      </c>
      <c r="B2" s="605"/>
      <c r="C2" s="605"/>
      <c r="D2" s="605"/>
      <c r="E2" s="605"/>
      <c r="F2" s="605"/>
      <c r="G2" s="605"/>
      <c r="H2" s="605"/>
      <c r="I2" s="605"/>
      <c r="J2" s="605"/>
    </row>
    <row r="3" spans="1:25" ht="15">
      <c r="A3" s="613" t="s">
        <v>116</v>
      </c>
      <c r="B3" s="614"/>
      <c r="C3" s="614"/>
      <c r="D3" s="614"/>
      <c r="E3" s="614"/>
      <c r="F3" s="614"/>
      <c r="G3" s="614"/>
      <c r="H3" s="614"/>
      <c r="I3" s="614"/>
      <c r="J3" s="615"/>
    </row>
    <row r="4" spans="1:25" ht="15">
      <c r="A4" s="613" t="s">
        <v>63</v>
      </c>
      <c r="B4" s="614"/>
      <c r="C4" s="614"/>
      <c r="D4" s="614"/>
      <c r="E4" s="614"/>
      <c r="F4" s="614"/>
      <c r="G4" s="614"/>
      <c r="H4" s="614"/>
      <c r="I4" s="614"/>
      <c r="J4" s="615"/>
    </row>
    <row r="5" spans="1:25" ht="14.25">
      <c r="A5" s="386"/>
      <c r="B5" s="387"/>
      <c r="C5" s="387"/>
      <c r="D5" s="387"/>
      <c r="E5" s="387"/>
      <c r="F5" s="387"/>
      <c r="G5" s="387"/>
      <c r="H5" s="387"/>
      <c r="I5" s="387"/>
    </row>
    <row r="6" spans="1:25" ht="21" customHeight="1">
      <c r="A6" s="621" t="s">
        <v>0</v>
      </c>
      <c r="B6" s="623" t="s">
        <v>117</v>
      </c>
      <c r="C6" s="616" t="s">
        <v>50</v>
      </c>
      <c r="D6" s="617"/>
      <c r="E6" s="617"/>
      <c r="F6" s="618"/>
      <c r="G6" s="619" t="s">
        <v>118</v>
      </c>
      <c r="H6" s="619"/>
      <c r="I6" s="619" t="s">
        <v>24</v>
      </c>
      <c r="J6" s="620"/>
    </row>
    <row r="7" spans="1:25" ht="33" customHeight="1">
      <c r="A7" s="622"/>
      <c r="B7" s="624"/>
      <c r="C7" s="388" t="s">
        <v>2</v>
      </c>
      <c r="D7" s="388" t="s">
        <v>3</v>
      </c>
      <c r="E7" s="389" t="s">
        <v>3</v>
      </c>
      <c r="F7" s="389" t="s">
        <v>25</v>
      </c>
      <c r="G7" s="389" t="s">
        <v>67</v>
      </c>
      <c r="H7" s="389" t="s">
        <v>119</v>
      </c>
      <c r="I7" s="389" t="s">
        <v>120</v>
      </c>
      <c r="J7" s="420" t="s">
        <v>27</v>
      </c>
      <c r="L7" s="421"/>
    </row>
    <row r="8" spans="1:25" ht="20.100000000000001" customHeight="1">
      <c r="A8" s="390"/>
      <c r="B8" s="391"/>
      <c r="C8" s="392"/>
      <c r="D8" s="393"/>
      <c r="E8" s="393"/>
      <c r="F8" s="394"/>
      <c r="G8" s="394"/>
      <c r="H8" s="394"/>
      <c r="I8" s="394"/>
      <c r="J8" s="422"/>
      <c r="K8" s="9"/>
    </row>
    <row r="9" spans="1:25" ht="20.100000000000001" customHeight="1">
      <c r="A9" s="395" t="s">
        <v>33</v>
      </c>
      <c r="B9" s="396"/>
      <c r="C9" s="397">
        <f t="shared" ref="C9:H9" si="0">+C11+C22</f>
        <v>198000000</v>
      </c>
      <c r="D9" s="397">
        <f t="shared" si="0"/>
        <v>167166634</v>
      </c>
      <c r="E9" s="397" t="e">
        <f t="shared" si="0"/>
        <v>#REF!</v>
      </c>
      <c r="F9" s="397">
        <f t="shared" si="0"/>
        <v>132346249</v>
      </c>
      <c r="G9" s="397">
        <f t="shared" si="0"/>
        <v>13123672.039999999</v>
      </c>
      <c r="H9" s="397">
        <f t="shared" si="0"/>
        <v>78278599.230000004</v>
      </c>
      <c r="I9" s="423">
        <f>+H9-F9</f>
        <v>-54067649.769999996</v>
      </c>
      <c r="J9" s="424">
        <f>+H9/F9*100</f>
        <v>59.146821176624364</v>
      </c>
      <c r="K9" s="313"/>
      <c r="L9" s="1" t="s">
        <v>12</v>
      </c>
    </row>
    <row r="10" spans="1:25" ht="20.100000000000001" customHeight="1">
      <c r="A10" s="395"/>
      <c r="B10" s="396"/>
      <c r="C10" s="397"/>
      <c r="D10" s="397"/>
      <c r="E10" s="397"/>
      <c r="F10" s="397"/>
      <c r="G10" s="397"/>
      <c r="H10" s="397" t="s">
        <v>12</v>
      </c>
      <c r="I10" s="397"/>
      <c r="J10" s="424"/>
      <c r="K10" s="313"/>
      <c r="M10" t="s">
        <v>12</v>
      </c>
      <c r="R10" s="1" t="s">
        <v>12</v>
      </c>
    </row>
    <row r="11" spans="1:25" ht="20.100000000000001" customHeight="1">
      <c r="A11" s="395" t="s">
        <v>34</v>
      </c>
      <c r="B11" s="396"/>
      <c r="C11" s="397">
        <f t="shared" ref="C11:H11" si="1">SUM(C13:C20)</f>
        <v>15328172</v>
      </c>
      <c r="D11" s="397">
        <f t="shared" si="1"/>
        <v>14691059</v>
      </c>
      <c r="E11" s="397" t="e">
        <f t="shared" si="1"/>
        <v>#REF!</v>
      </c>
      <c r="F11" s="397">
        <f t="shared" si="1"/>
        <v>11572131</v>
      </c>
      <c r="G11" s="397">
        <f t="shared" si="1"/>
        <v>1155375.04</v>
      </c>
      <c r="H11" s="397">
        <f t="shared" si="1"/>
        <v>9824796.2300000004</v>
      </c>
      <c r="I11" s="397">
        <f>F11-H11</f>
        <v>1747334.7699999996</v>
      </c>
      <c r="J11" s="424">
        <f>+H11/F11*100</f>
        <v>84.900492657748174</v>
      </c>
      <c r="K11" s="313"/>
      <c r="L11" s="1"/>
    </row>
    <row r="12" spans="1:25" ht="20.100000000000001" customHeight="1">
      <c r="A12" s="398"/>
      <c r="B12" s="399"/>
      <c r="C12" s="400"/>
      <c r="D12" s="400"/>
      <c r="E12" s="400"/>
      <c r="F12" s="400" t="s">
        <v>12</v>
      </c>
      <c r="G12" s="400"/>
      <c r="H12" s="400"/>
      <c r="I12" s="400"/>
      <c r="J12" s="425"/>
      <c r="K12" s="426"/>
    </row>
    <row r="13" spans="1:25" ht="20.100000000000001" customHeight="1">
      <c r="A13" s="401" t="s">
        <v>121</v>
      </c>
      <c r="B13" s="402" t="s">
        <v>122</v>
      </c>
      <c r="C13" s="403">
        <f>+Recaudación!C18</f>
        <v>700000</v>
      </c>
      <c r="D13" s="403">
        <f>+Recaudación!D18</f>
        <v>700000</v>
      </c>
      <c r="E13" s="403" t="e">
        <f>+Recaudación!#REF!</f>
        <v>#REF!</v>
      </c>
      <c r="F13" s="403">
        <f>+Recaudación!E18</f>
        <v>524997</v>
      </c>
      <c r="G13" s="403">
        <f>+Recaudación!F18</f>
        <v>9252.0300000000007</v>
      </c>
      <c r="H13" s="403">
        <f>+Recaudación!G18</f>
        <v>389045.34</v>
      </c>
      <c r="I13" s="427">
        <f>+H13-F13</f>
        <v>-135951.65999999997</v>
      </c>
      <c r="J13" s="428">
        <f t="shared" ref="J13:J18" si="2">+H13/F13*100</f>
        <v>74.104297738844224</v>
      </c>
      <c r="K13" s="429"/>
      <c r="L13" s="1"/>
      <c r="M13" s="430"/>
      <c r="N13" s="1"/>
      <c r="R13" s="9"/>
      <c r="S13" s="441"/>
      <c r="T13" s="441"/>
      <c r="U13" s="442"/>
      <c r="V13" s="442"/>
      <c r="W13" s="442"/>
      <c r="X13" s="442"/>
      <c r="Y13" s="442"/>
    </row>
    <row r="14" spans="1:25" ht="20.100000000000001" customHeight="1">
      <c r="A14" s="401" t="s">
        <v>35</v>
      </c>
      <c r="B14" s="402" t="s">
        <v>123</v>
      </c>
      <c r="C14" s="403">
        <f>+Recaudación!C19</f>
        <v>4776492</v>
      </c>
      <c r="D14" s="403">
        <f>+Recaudación!D19</f>
        <v>4776492</v>
      </c>
      <c r="E14" s="403" t="e">
        <f>+Recaudación!#REF!</f>
        <v>#REF!</v>
      </c>
      <c r="F14" s="403">
        <f>+Recaudación!E19</f>
        <v>3821193</v>
      </c>
      <c r="G14" s="403">
        <f>+Recaudación!F19</f>
        <v>202591.55</v>
      </c>
      <c r="H14" s="403">
        <f>+Recaudación!G19</f>
        <v>952765.54</v>
      </c>
      <c r="I14" s="427">
        <f t="shared" ref="I14:I20" si="3">+H14-F14</f>
        <v>-2868427.46</v>
      </c>
      <c r="J14" s="428">
        <f t="shared" si="2"/>
        <v>24.933719390776652</v>
      </c>
      <c r="K14" s="429"/>
      <c r="L14" s="1"/>
      <c r="M14" s="430"/>
      <c r="S14" s="441"/>
      <c r="T14" s="441"/>
      <c r="U14" s="442"/>
      <c r="V14" s="442"/>
      <c r="W14" s="442"/>
      <c r="X14" s="442"/>
      <c r="Y14" s="442"/>
    </row>
    <row r="15" spans="1:25" ht="20.100000000000001" customHeight="1">
      <c r="A15" s="404" t="s">
        <v>36</v>
      </c>
      <c r="B15" s="402" t="s">
        <v>124</v>
      </c>
      <c r="C15" s="403">
        <f>+Recaudación!C28</f>
        <v>4774884</v>
      </c>
      <c r="D15" s="403">
        <f>+Recaudación!D28</f>
        <v>4137771</v>
      </c>
      <c r="E15" s="403" t="e">
        <f>+Recaudación!#REF!</f>
        <v>#REF!</v>
      </c>
      <c r="F15" s="403">
        <f>+Recaudación!E28</f>
        <v>3182793</v>
      </c>
      <c r="G15" s="403">
        <f>+Recaudación!F28</f>
        <v>795305.86</v>
      </c>
      <c r="H15" s="403">
        <f>+Recaudación!G28</f>
        <v>5459215.7700000005</v>
      </c>
      <c r="I15" s="431">
        <f t="shared" si="3"/>
        <v>2276422.7700000005</v>
      </c>
      <c r="J15" s="428">
        <f t="shared" si="2"/>
        <v>171.5228030852148</v>
      </c>
      <c r="K15" s="429"/>
      <c r="L15" s="1"/>
      <c r="M15" s="430"/>
      <c r="S15" s="441"/>
      <c r="T15" s="441"/>
      <c r="U15" s="442"/>
      <c r="V15" s="442"/>
      <c r="W15" s="442"/>
      <c r="X15" s="442"/>
      <c r="Y15" s="442"/>
    </row>
    <row r="16" spans="1:25" ht="20.100000000000001" customHeight="1">
      <c r="A16" s="404" t="s">
        <v>37</v>
      </c>
      <c r="B16" s="402" t="s">
        <v>125</v>
      </c>
      <c r="C16" s="403">
        <f>+Recaudación!C29</f>
        <v>66714</v>
      </c>
      <c r="D16" s="403">
        <f>+Recaudación!D29</f>
        <v>66714</v>
      </c>
      <c r="E16" s="403" t="e">
        <f>+Recaudación!#REF!</f>
        <v>#REF!</v>
      </c>
      <c r="F16" s="403">
        <f>+Recaudación!E29</f>
        <v>55590</v>
      </c>
      <c r="G16" s="403">
        <f>+Recaudación!F29</f>
        <v>550</v>
      </c>
      <c r="H16" s="403">
        <f>+Recaudación!G29</f>
        <v>62499.56</v>
      </c>
      <c r="I16" s="431">
        <f t="shared" si="3"/>
        <v>6909.5599999999977</v>
      </c>
      <c r="J16" s="428">
        <f t="shared" si="2"/>
        <v>112.42950170894046</v>
      </c>
      <c r="K16" s="429"/>
      <c r="L16" s="1"/>
      <c r="M16" s="430"/>
      <c r="S16" s="441"/>
      <c r="T16" s="441"/>
      <c r="U16" s="442"/>
      <c r="V16" s="442"/>
      <c r="W16" s="442"/>
      <c r="X16" s="442"/>
      <c r="Y16" s="442"/>
    </row>
    <row r="17" spans="1:25" ht="20.100000000000001" customHeight="1">
      <c r="A17" s="404" t="s">
        <v>38</v>
      </c>
      <c r="B17" s="402" t="s">
        <v>126</v>
      </c>
      <c r="C17" s="403">
        <f>+Recaudación!C27</f>
        <v>410082</v>
      </c>
      <c r="D17" s="403">
        <f>+Recaudación!D27</f>
        <v>410082</v>
      </c>
      <c r="E17" s="403" t="e">
        <f>+Recaudación!#REF!</f>
        <v>#REF!</v>
      </c>
      <c r="F17" s="403">
        <f>+Recaudación!E27</f>
        <v>307557</v>
      </c>
      <c r="G17" s="403">
        <f>+Recaudación!F27</f>
        <v>71164.12</v>
      </c>
      <c r="H17" s="403">
        <f>+Recaudación!G27</f>
        <v>663893.11</v>
      </c>
      <c r="I17" s="431">
        <f t="shared" si="3"/>
        <v>356336.11</v>
      </c>
      <c r="J17" s="428">
        <f t="shared" si="2"/>
        <v>215.86018526647089</v>
      </c>
      <c r="K17" s="429"/>
      <c r="L17" s="1"/>
      <c r="M17" s="430"/>
      <c r="S17" s="441"/>
      <c r="T17" s="441"/>
      <c r="U17" s="442"/>
      <c r="V17" s="442"/>
      <c r="W17" s="442"/>
      <c r="X17" s="442"/>
      <c r="Y17" s="442"/>
    </row>
    <row r="18" spans="1:25" ht="20.100000000000001" customHeight="1">
      <c r="A18" s="404" t="s">
        <v>39</v>
      </c>
      <c r="B18" s="402" t="s">
        <v>127</v>
      </c>
      <c r="C18" s="403">
        <f>+Recaudación!C32</f>
        <v>2500000</v>
      </c>
      <c r="D18" s="403">
        <f>+Recaudación!D32</f>
        <v>2500000</v>
      </c>
      <c r="E18" s="403" t="e">
        <f>+Recaudación!#REF!</f>
        <v>#REF!</v>
      </c>
      <c r="F18" s="403">
        <f>+Recaudación!E32</f>
        <v>2000001</v>
      </c>
      <c r="G18" s="403">
        <f>+Recaudación!F32</f>
        <v>76511.48</v>
      </c>
      <c r="H18" s="403">
        <f>+Recaudación!G32</f>
        <v>617376.91</v>
      </c>
      <c r="I18" s="427">
        <f t="shared" si="3"/>
        <v>-1382624.0899999999</v>
      </c>
      <c r="J18" s="428">
        <f t="shared" si="2"/>
        <v>30.868830065584969</v>
      </c>
      <c r="K18" s="429"/>
      <c r="L18" s="1"/>
      <c r="M18" s="430"/>
      <c r="N18" s="1"/>
      <c r="S18" s="441"/>
      <c r="T18" s="441"/>
      <c r="U18" s="442"/>
      <c r="V18" s="442"/>
      <c r="W18" s="442"/>
      <c r="X18" s="442"/>
      <c r="Y18" s="442"/>
    </row>
    <row r="19" spans="1:25" ht="20.100000000000001" customHeight="1">
      <c r="A19" s="404" t="s">
        <v>128</v>
      </c>
      <c r="B19" s="402" t="s">
        <v>129</v>
      </c>
      <c r="C19" s="403"/>
      <c r="D19" s="403"/>
      <c r="E19" s="403"/>
      <c r="F19" s="403"/>
      <c r="G19" s="403">
        <f>+Recaudación!F24</f>
        <v>0</v>
      </c>
      <c r="H19" s="403">
        <f>+Recaudación!G33</f>
        <v>0</v>
      </c>
      <c r="I19" s="403" t="s">
        <v>12</v>
      </c>
      <c r="J19" s="428">
        <v>0</v>
      </c>
      <c r="K19" s="429"/>
      <c r="L19" s="1"/>
      <c r="M19" s="430"/>
      <c r="S19" s="441"/>
      <c r="T19" s="441"/>
      <c r="U19" s="442"/>
      <c r="V19" s="442"/>
      <c r="W19" s="442"/>
      <c r="X19" s="442"/>
      <c r="Y19" s="442"/>
    </row>
    <row r="20" spans="1:25" ht="20.100000000000001" customHeight="1">
      <c r="A20" s="404" t="s">
        <v>40</v>
      </c>
      <c r="B20" s="402" t="s">
        <v>130</v>
      </c>
      <c r="C20" s="403">
        <f>+Recaudación!C43</f>
        <v>2100000</v>
      </c>
      <c r="D20" s="403">
        <f>+Recaudación!D43</f>
        <v>2100000</v>
      </c>
      <c r="E20" s="403" t="e">
        <f>+Recaudación!#REF!</f>
        <v>#REF!</v>
      </c>
      <c r="F20" s="403">
        <f>+Recaudación!E43</f>
        <v>1680000</v>
      </c>
      <c r="G20" s="403">
        <f>+Recaudación!F40</f>
        <v>0</v>
      </c>
      <c r="H20" s="403">
        <f>+Recaudación!G43</f>
        <v>1680000</v>
      </c>
      <c r="I20" s="403">
        <f t="shared" si="3"/>
        <v>0</v>
      </c>
      <c r="J20" s="428">
        <f>+H20/F20*100</f>
        <v>100</v>
      </c>
      <c r="K20" s="429"/>
      <c r="L20" s="1"/>
      <c r="M20" s="430"/>
      <c r="S20" s="441"/>
      <c r="T20" s="441"/>
      <c r="U20" s="442"/>
      <c r="V20" s="442"/>
      <c r="W20" s="442"/>
      <c r="X20" s="442"/>
      <c r="Y20" s="442"/>
    </row>
    <row r="21" spans="1:25" ht="20.100000000000001" customHeight="1">
      <c r="A21" s="401"/>
      <c r="B21" s="405"/>
      <c r="C21" s="406"/>
      <c r="D21" s="400"/>
      <c r="E21" s="400"/>
      <c r="F21" s="400" t="s">
        <v>12</v>
      </c>
      <c r="G21" s="400" t="s">
        <v>12</v>
      </c>
      <c r="H21" s="400" t="str">
        <f>G21</f>
        <v xml:space="preserve"> </v>
      </c>
      <c r="I21" s="432"/>
      <c r="J21" s="425"/>
      <c r="K21" s="426"/>
      <c r="L21" s="1"/>
      <c r="M21" s="430"/>
      <c r="S21" s="441"/>
      <c r="T21" s="441"/>
      <c r="U21" s="442"/>
      <c r="V21" s="442"/>
      <c r="W21" s="442"/>
      <c r="X21" s="442"/>
      <c r="Y21" s="442"/>
    </row>
    <row r="22" spans="1:25" ht="20.100000000000001" customHeight="1">
      <c r="A22" s="395" t="s">
        <v>22</v>
      </c>
      <c r="B22" s="407"/>
      <c r="C22" s="408">
        <f>+C24+C30</f>
        <v>182671828</v>
      </c>
      <c r="D22" s="397">
        <f>+D24+D30</f>
        <v>152475575</v>
      </c>
      <c r="E22" s="397">
        <f>+E24+E30</f>
        <v>99974034</v>
      </c>
      <c r="F22" s="397">
        <f>F24+F30</f>
        <v>120774118</v>
      </c>
      <c r="G22" s="397">
        <f>+G24+G30</f>
        <v>11968297</v>
      </c>
      <c r="H22" s="397">
        <f>+G22+K22</f>
        <v>68453803</v>
      </c>
      <c r="I22" s="423">
        <f>H22-F22</f>
        <v>-52320315</v>
      </c>
      <c r="J22" s="424">
        <f>+H22/F22*100</f>
        <v>56.679199263537569</v>
      </c>
      <c r="K22" s="433">
        <f>K24+K30</f>
        <v>56485506</v>
      </c>
      <c r="L22" s="1"/>
      <c r="M22" s="430" t="s">
        <v>12</v>
      </c>
      <c r="S22" s="443"/>
      <c r="T22" s="443"/>
      <c r="U22" s="442"/>
      <c r="V22" s="442"/>
      <c r="W22" s="442"/>
      <c r="X22" s="442"/>
      <c r="Y22" s="442"/>
    </row>
    <row r="23" spans="1:25" ht="20.100000000000001" customHeight="1">
      <c r="A23" s="395" t="s">
        <v>12</v>
      </c>
      <c r="B23" s="407"/>
      <c r="C23" s="409"/>
      <c r="D23" s="397"/>
      <c r="E23" s="397"/>
      <c r="F23" s="397"/>
      <c r="G23" s="397"/>
      <c r="H23" s="397">
        <f>G23</f>
        <v>0</v>
      </c>
      <c r="I23" s="408"/>
      <c r="J23" s="424"/>
      <c r="K23" s="433"/>
      <c r="L23" s="1"/>
      <c r="M23" s="430"/>
      <c r="R23" s="1"/>
      <c r="S23" s="441"/>
      <c r="T23" s="441"/>
      <c r="U23" s="442"/>
      <c r="V23" s="442"/>
      <c r="W23" s="442"/>
      <c r="X23" s="442"/>
      <c r="Y23" s="442"/>
    </row>
    <row r="24" spans="1:25" ht="33" customHeight="1">
      <c r="A24" s="410" t="s">
        <v>46</v>
      </c>
      <c r="B24" s="407" t="s">
        <v>131</v>
      </c>
      <c r="C24" s="397">
        <f>SUM(C26:C28)</f>
        <v>127866634</v>
      </c>
      <c r="D24" s="397">
        <f>SUM(D26:D28)</f>
        <v>127866634</v>
      </c>
      <c r="E24" s="397">
        <f>SUM(E26:E28)</f>
        <v>94763500</v>
      </c>
      <c r="F24" s="397">
        <f>+F26+F27+F28</f>
        <v>96165177</v>
      </c>
      <c r="G24" s="397">
        <f>SUM(G26:G28)</f>
        <v>11968297</v>
      </c>
      <c r="H24" s="397">
        <f>+G24+K24</f>
        <v>57247130</v>
      </c>
      <c r="I24" s="423">
        <f>+H24-F24</f>
        <v>-38918047</v>
      </c>
      <c r="J24" s="424">
        <f>+H24/F24*100</f>
        <v>59.530000137159831</v>
      </c>
      <c r="K24" s="433">
        <f>K26+K27+K28</f>
        <v>45278833</v>
      </c>
      <c r="L24" s="1"/>
      <c r="M24" s="430"/>
      <c r="S24" s="443"/>
      <c r="T24" s="443"/>
      <c r="U24" s="442"/>
      <c r="V24" s="442"/>
      <c r="W24" s="442"/>
      <c r="X24" s="442"/>
      <c r="Y24" s="442"/>
    </row>
    <row r="25" spans="1:25" ht="17.45" customHeight="1">
      <c r="A25" s="410"/>
      <c r="B25" s="407"/>
      <c r="C25" s="409"/>
      <c r="D25" s="397"/>
      <c r="E25" s="397"/>
      <c r="F25" s="397"/>
      <c r="G25" s="397"/>
      <c r="H25" s="397"/>
      <c r="I25" s="408"/>
      <c r="J25" s="424"/>
      <c r="K25" s="433"/>
      <c r="L25" s="1"/>
      <c r="M25" s="430"/>
      <c r="S25" s="443"/>
      <c r="T25" s="443"/>
      <c r="U25" s="442"/>
      <c r="V25" s="442"/>
      <c r="W25" s="442"/>
      <c r="X25" s="442"/>
      <c r="Y25" s="442"/>
    </row>
    <row r="26" spans="1:25" ht="20.100000000000001" customHeight="1">
      <c r="A26" s="404" t="s">
        <v>132</v>
      </c>
      <c r="B26" s="405"/>
      <c r="C26" s="403">
        <v>111927700</v>
      </c>
      <c r="D26" s="403">
        <f>111927700</f>
        <v>111927700</v>
      </c>
      <c r="E26" s="403">
        <v>88702609</v>
      </c>
      <c r="F26" s="403">
        <f>11423210+10840726+8812441+8234748+8150721+8313259+8431358+11349349+8479440</f>
        <v>84035252</v>
      </c>
      <c r="G26" s="403">
        <v>8234748</v>
      </c>
      <c r="H26" s="403">
        <f>K26+G26</f>
        <v>47624384</v>
      </c>
      <c r="I26" s="427">
        <f>+H26-F26</f>
        <v>-36410868</v>
      </c>
      <c r="J26" s="428">
        <f>+H26/F26*100</f>
        <v>56.671911925723741</v>
      </c>
      <c r="K26" s="434">
        <v>39389636</v>
      </c>
      <c r="L26" s="1"/>
      <c r="M26" s="430"/>
      <c r="S26" s="441"/>
      <c r="T26" s="441"/>
      <c r="U26" s="442"/>
      <c r="V26" s="442"/>
      <c r="W26" s="442"/>
      <c r="X26" s="442"/>
      <c r="Y26" s="442"/>
    </row>
    <row r="27" spans="1:25" ht="20.100000000000001" customHeight="1">
      <c r="A27" s="404" t="s">
        <v>133</v>
      </c>
      <c r="B27" s="402" t="s">
        <v>12</v>
      </c>
      <c r="C27" s="403">
        <v>109200</v>
      </c>
      <c r="D27" s="403">
        <v>109200</v>
      </c>
      <c r="E27" s="403" t="s">
        <v>12</v>
      </c>
      <c r="F27" s="403">
        <f>10200+9900+9900+9900+9900+9900+9900+9900+9900</f>
        <v>89400</v>
      </c>
      <c r="G27" s="403">
        <v>9900</v>
      </c>
      <c r="H27" s="403">
        <f>K27+G27</f>
        <v>69600</v>
      </c>
      <c r="I27" s="431"/>
      <c r="J27" s="428">
        <f>+H27/F27*100</f>
        <v>77.852348993288587</v>
      </c>
      <c r="K27" s="434">
        <v>59700</v>
      </c>
      <c r="L27" s="1"/>
      <c r="M27" s="430"/>
      <c r="S27" s="441"/>
      <c r="T27" s="441"/>
      <c r="U27" s="442"/>
      <c r="V27" s="442"/>
      <c r="W27" s="442"/>
      <c r="X27" s="442"/>
      <c r="Y27" s="442"/>
    </row>
    <row r="28" spans="1:25" ht="20.100000000000001" customHeight="1">
      <c r="A28" s="404" t="s">
        <v>134</v>
      </c>
      <c r="B28" s="402"/>
      <c r="C28" s="403">
        <v>15829734</v>
      </c>
      <c r="D28" s="403">
        <v>15829734</v>
      </c>
      <c r="E28" s="403">
        <v>6060891</v>
      </c>
      <c r="F28" s="403">
        <f>2055517+1249548+1283191+1242245+1241241+1235386+1246018+1243523+1243856</f>
        <v>12040525</v>
      </c>
      <c r="G28" s="403">
        <v>3723649</v>
      </c>
      <c r="H28" s="403">
        <f>+G28+K28</f>
        <v>9553146</v>
      </c>
      <c r="I28" s="427">
        <f>+H28-F28</f>
        <v>-2487379</v>
      </c>
      <c r="J28" s="428">
        <f>+H28/F28*100</f>
        <v>79.341606782096292</v>
      </c>
      <c r="K28" s="435">
        <v>5829497</v>
      </c>
      <c r="L28" s="1"/>
      <c r="M28" s="430"/>
      <c r="S28" s="441"/>
      <c r="T28" s="441"/>
      <c r="U28" s="442"/>
      <c r="V28" s="442"/>
      <c r="W28" s="442"/>
      <c r="X28" s="442"/>
      <c r="Y28" s="442"/>
    </row>
    <row r="29" spans="1:25" ht="20.100000000000001" customHeight="1">
      <c r="A29" s="411" t="s">
        <v>12</v>
      </c>
      <c r="B29" s="405"/>
      <c r="C29" s="400" t="s">
        <v>12</v>
      </c>
      <c r="D29" s="400" t="s">
        <v>12</v>
      </c>
      <c r="E29" s="400" t="s">
        <v>12</v>
      </c>
      <c r="F29" s="412" t="s">
        <v>12</v>
      </c>
      <c r="G29" s="403" t="s">
        <v>12</v>
      </c>
      <c r="H29" s="400" t="s">
        <v>12</v>
      </c>
      <c r="I29" s="400"/>
      <c r="J29" s="436"/>
      <c r="K29" s="437" t="s">
        <v>12</v>
      </c>
      <c r="L29" s="1"/>
      <c r="M29" s="430"/>
      <c r="S29" s="441"/>
      <c r="T29" s="441"/>
      <c r="U29" s="442"/>
      <c r="V29" s="442"/>
      <c r="W29" s="442"/>
      <c r="X29" s="442"/>
      <c r="Y29" s="442"/>
    </row>
    <row r="30" spans="1:25" ht="23.25" customHeight="1">
      <c r="A30" s="410" t="s">
        <v>47</v>
      </c>
      <c r="B30" s="407" t="s">
        <v>135</v>
      </c>
      <c r="C30" s="397">
        <v>54805194</v>
      </c>
      <c r="D30" s="397">
        <v>24608941</v>
      </c>
      <c r="E30" s="397">
        <v>5210534</v>
      </c>
      <c r="F30" s="397">
        <v>24608941</v>
      </c>
      <c r="G30" s="397">
        <v>0</v>
      </c>
      <c r="H30" s="397">
        <f>+G30+K30</f>
        <v>11206673</v>
      </c>
      <c r="I30" s="423">
        <f>+H30-F30</f>
        <v>-13402268</v>
      </c>
      <c r="J30" s="438">
        <f>+H30/F30*100</f>
        <v>45.539029899742538</v>
      </c>
      <c r="K30" s="439">
        <v>11206673</v>
      </c>
      <c r="L30" s="1" t="s">
        <v>12</v>
      </c>
      <c r="M30" s="430"/>
      <c r="S30" s="444"/>
      <c r="T30" s="444"/>
      <c r="U30" s="442"/>
      <c r="V30" s="442"/>
      <c r="W30" s="442"/>
      <c r="X30" s="442"/>
      <c r="Y30" s="442"/>
    </row>
    <row r="31" spans="1:25" ht="20.100000000000001" customHeight="1">
      <c r="A31" s="413" t="s">
        <v>12</v>
      </c>
      <c r="B31" s="414"/>
      <c r="C31" s="415"/>
      <c r="D31" s="416"/>
      <c r="E31" s="416"/>
      <c r="F31" s="416">
        <v>0</v>
      </c>
      <c r="G31" s="415" t="s">
        <v>12</v>
      </c>
      <c r="H31" s="416" t="s">
        <v>12</v>
      </c>
      <c r="I31" s="416"/>
      <c r="J31" s="440"/>
      <c r="K31" t="s">
        <v>12</v>
      </c>
    </row>
    <row r="32" spans="1:25" ht="10.5" customHeight="1">
      <c r="A32" s="417" t="s">
        <v>12</v>
      </c>
      <c r="B32" s="417"/>
      <c r="C32" s="418"/>
      <c r="D32" s="417"/>
      <c r="E32" s="417"/>
      <c r="F32" s="417"/>
      <c r="G32" s="417"/>
      <c r="H32" s="417"/>
      <c r="I32" s="417"/>
      <c r="J32" s="417"/>
    </row>
    <row r="33" spans="1:10" ht="15.75">
      <c r="A33" s="172" t="s">
        <v>12</v>
      </c>
      <c r="B33" s="172"/>
      <c r="C33" s="419"/>
      <c r="D33" s="417"/>
      <c r="E33" s="417"/>
      <c r="F33" s="417" t="s">
        <v>12</v>
      </c>
      <c r="G33" s="417"/>
      <c r="H33" s="417"/>
      <c r="I33" s="417"/>
      <c r="J33" s="417"/>
    </row>
    <row r="38" spans="1:10" ht="12" customHeight="1"/>
    <row r="69" spans="1:25">
      <c r="A69" t="s">
        <v>136</v>
      </c>
      <c r="Y69" t="s">
        <v>137</v>
      </c>
    </row>
    <row r="70" spans="1:25">
      <c r="Y70" t="s">
        <v>138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5001E-2" right="0" top="0.39370078740157499" bottom="0.39370078740157499" header="0.511811023622047" footer="0.511811023622047"/>
  <pageSetup scale="72" firstPageNumber="0" orientation="portrait" useFirstPageNumber="1" r:id="rId1"/>
  <headerFooter alignWithMargins="0"/>
  <ignoredErrors>
    <ignoredError sqref="F22:G22 H22:H23 F2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499984740745262"/>
  </sheetPr>
  <dimension ref="A1:X56"/>
  <sheetViews>
    <sheetView showGridLines="0" showZeros="0" workbookViewId="0">
      <selection activeCell="M31" sqref="M30:M31"/>
    </sheetView>
  </sheetViews>
  <sheetFormatPr baseColWidth="10" defaultColWidth="11.42578125" defaultRowHeight="12.75"/>
  <cols>
    <col min="1" max="1" width="43.28515625" style="577" customWidth="1"/>
    <col min="2" max="2" width="12.28515625" style="577" customWidth="1"/>
    <col min="3" max="3" width="14.85546875" style="577" customWidth="1"/>
    <col min="4" max="4" width="17.140625" style="577" hidden="1" customWidth="1"/>
    <col min="5" max="5" width="12" style="577" hidden="1" customWidth="1"/>
    <col min="6" max="6" width="13.7109375" style="577" customWidth="1"/>
    <col min="7" max="7" width="14.5703125" style="577" customWidth="1"/>
    <col min="8" max="8" width="13.42578125" style="577" customWidth="1"/>
    <col min="9" max="9" width="4" style="541" customWidth="1"/>
    <col min="10" max="16384" width="11.42578125" style="541"/>
  </cols>
  <sheetData>
    <row r="1" spans="1:24" ht="6.75" customHeight="1">
      <c r="A1" s="538"/>
      <c r="B1" s="538"/>
      <c r="C1" s="538"/>
      <c r="D1" s="539"/>
      <c r="E1" s="539"/>
      <c r="F1" s="539"/>
      <c r="G1" s="539"/>
      <c r="H1" s="540"/>
    </row>
    <row r="2" spans="1:24" ht="15" customHeight="1">
      <c r="A2" s="626" t="s">
        <v>60</v>
      </c>
      <c r="B2" s="626"/>
      <c r="C2" s="626"/>
      <c r="D2" s="626"/>
      <c r="E2" s="626"/>
      <c r="F2" s="626"/>
      <c r="G2" s="626"/>
      <c r="H2" s="626"/>
      <c r="I2" s="542"/>
      <c r="J2" s="542"/>
    </row>
    <row r="3" spans="1:24" ht="16.5" customHeight="1">
      <c r="A3" s="626" t="s">
        <v>61</v>
      </c>
      <c r="B3" s="626"/>
      <c r="C3" s="626"/>
      <c r="D3" s="626"/>
      <c r="E3" s="626"/>
      <c r="F3" s="626"/>
      <c r="G3" s="626"/>
      <c r="H3" s="626"/>
      <c r="I3" s="542"/>
      <c r="J3" s="542"/>
    </row>
    <row r="4" spans="1:24" ht="18" customHeight="1">
      <c r="A4" s="627" t="s">
        <v>528</v>
      </c>
      <c r="B4" s="627"/>
      <c r="C4" s="627"/>
      <c r="D4" s="627"/>
      <c r="E4" s="627"/>
      <c r="F4" s="627"/>
      <c r="G4" s="627"/>
      <c r="H4" s="627"/>
    </row>
    <row r="5" spans="1:24" ht="18" customHeight="1">
      <c r="A5" s="627" t="s">
        <v>63</v>
      </c>
      <c r="B5" s="627"/>
      <c r="C5" s="627"/>
      <c r="D5" s="627"/>
      <c r="E5" s="627"/>
      <c r="F5" s="627"/>
      <c r="G5" s="627"/>
      <c r="H5" s="627"/>
    </row>
    <row r="6" spans="1:24" ht="15.75" customHeight="1">
      <c r="A6" s="543"/>
      <c r="B6" s="543"/>
      <c r="C6" s="543"/>
      <c r="D6" s="543"/>
      <c r="E6" s="543"/>
      <c r="F6" s="543"/>
      <c r="G6" s="543"/>
      <c r="H6" s="543" t="s">
        <v>12</v>
      </c>
    </row>
    <row r="7" spans="1:24" ht="20.25" customHeight="1">
      <c r="A7" s="628" t="s">
        <v>0</v>
      </c>
      <c r="B7" s="630" t="s">
        <v>50</v>
      </c>
      <c r="C7" s="631"/>
      <c r="D7" s="631"/>
      <c r="E7" s="631"/>
      <c r="F7" s="632"/>
      <c r="G7" s="633" t="s">
        <v>44</v>
      </c>
      <c r="H7" s="635" t="s">
        <v>43</v>
      </c>
    </row>
    <row r="8" spans="1:24" ht="31.5" customHeight="1">
      <c r="A8" s="629"/>
      <c r="B8" s="544" t="s">
        <v>2</v>
      </c>
      <c r="C8" s="545" t="s">
        <v>66</v>
      </c>
      <c r="D8" s="546" t="s">
        <v>3</v>
      </c>
      <c r="E8" s="546" t="s">
        <v>3</v>
      </c>
      <c r="F8" s="546" t="s">
        <v>25</v>
      </c>
      <c r="G8" s="634"/>
      <c r="H8" s="636"/>
    </row>
    <row r="9" spans="1:24" s="551" customFormat="1" ht="6" customHeight="1">
      <c r="A9" s="547"/>
      <c r="B9" s="547"/>
      <c r="C9" s="548"/>
      <c r="D9" s="549" t="s">
        <v>12</v>
      </c>
      <c r="E9" s="549"/>
      <c r="F9" s="549"/>
      <c r="G9" s="549" t="s">
        <v>12</v>
      </c>
      <c r="H9" s="550" t="s">
        <v>12</v>
      </c>
      <c r="I9" s="541"/>
      <c r="J9" s="541"/>
      <c r="K9" s="541"/>
      <c r="L9" s="541"/>
      <c r="M9" s="541"/>
      <c r="N9" s="541"/>
      <c r="O9" s="541"/>
      <c r="P9" s="541"/>
      <c r="Q9" s="541"/>
      <c r="R9" s="541"/>
      <c r="S9" s="541"/>
      <c r="T9" s="541"/>
      <c r="U9" s="541"/>
      <c r="V9" s="541"/>
      <c r="W9" s="541"/>
      <c r="X9" s="541"/>
    </row>
    <row r="10" spans="1:24" ht="24.95" customHeight="1">
      <c r="A10" s="552" t="s">
        <v>529</v>
      </c>
      <c r="B10" s="553">
        <f>+[2]CA1!C11</f>
        <v>141094806</v>
      </c>
      <c r="C10" s="553">
        <f>+Recaudación!D11</f>
        <v>140457693</v>
      </c>
      <c r="D10" s="553">
        <f>+[2]CA1!D11</f>
        <v>141094806</v>
      </c>
      <c r="E10" s="554"/>
      <c r="F10" s="554">
        <f>+Recaudación!E11</f>
        <v>106057308</v>
      </c>
      <c r="G10" s="554">
        <f>+Recaudación!G11</f>
        <v>65391926.229999997</v>
      </c>
      <c r="H10" s="555">
        <f>G10/F10*100</f>
        <v>61.657162022253097</v>
      </c>
      <c r="I10" s="556"/>
    </row>
    <row r="11" spans="1:24" ht="15" customHeight="1">
      <c r="A11" s="552"/>
      <c r="B11" s="552"/>
      <c r="C11" s="553" t="s">
        <v>12</v>
      </c>
      <c r="D11" s="553">
        <f>+'Funcionamiento '!D181</f>
        <v>39580</v>
      </c>
      <c r="E11" s="554"/>
      <c r="F11" s="554"/>
      <c r="G11" s="554"/>
      <c r="H11" s="557"/>
      <c r="I11" s="556" t="s">
        <v>12</v>
      </c>
    </row>
    <row r="12" spans="1:24" ht="24.95" customHeight="1">
      <c r="A12" s="558" t="s">
        <v>530</v>
      </c>
      <c r="B12" s="559">
        <f>+B14+B15</f>
        <v>141094806</v>
      </c>
      <c r="C12" s="553">
        <f>+Balance!C11</f>
        <v>140457693</v>
      </c>
      <c r="D12" s="553" t="e">
        <f>+Balance!#REF!</f>
        <v>#REF!</v>
      </c>
      <c r="E12" s="553"/>
      <c r="F12" s="553">
        <f>+'Funcionamiento '!E182</f>
        <v>108025224</v>
      </c>
      <c r="G12" s="553">
        <f>+'Funcionamiento '!G182</f>
        <v>90541959.559999987</v>
      </c>
      <c r="H12" s="555">
        <f>G12/F12*100</f>
        <v>83.815572148223453</v>
      </c>
    </row>
    <row r="13" spans="1:24" ht="15" customHeight="1">
      <c r="A13" s="560"/>
      <c r="B13" s="560"/>
      <c r="C13" s="553" t="s">
        <v>12</v>
      </c>
      <c r="D13" s="553">
        <f>+'Funcionamiento '!D183</f>
        <v>0</v>
      </c>
      <c r="E13" s="561"/>
      <c r="F13" s="561"/>
      <c r="G13" s="561" t="s">
        <v>12</v>
      </c>
      <c r="H13" s="562"/>
    </row>
    <row r="14" spans="1:24" ht="24.95" customHeight="1">
      <c r="A14" s="563" t="s">
        <v>531</v>
      </c>
      <c r="B14" s="581">
        <f>+Balance!B13</f>
        <v>138843212</v>
      </c>
      <c r="C14" s="581">
        <f>+Balance!C13</f>
        <v>136424252</v>
      </c>
      <c r="D14" s="554" t="e">
        <f>+Balance!#REF!</f>
        <v>#REF!</v>
      </c>
      <c r="E14" s="581"/>
      <c r="F14" s="581">
        <f>+Balance!D13</f>
        <v>104021324</v>
      </c>
      <c r="G14" s="581">
        <f>+G12-G15</f>
        <v>88652251.419999987</v>
      </c>
      <c r="H14" s="565">
        <f>G14/F14*100</f>
        <v>85.225075024040251</v>
      </c>
    </row>
    <row r="15" spans="1:24" ht="24.95" customHeight="1">
      <c r="A15" s="566" t="s">
        <v>532</v>
      </c>
      <c r="B15" s="581">
        <f>+'Funcionamiento '!C159</f>
        <v>2251594</v>
      </c>
      <c r="C15" s="581">
        <f>+'Funcionamiento '!D159</f>
        <v>4033441</v>
      </c>
      <c r="D15" s="554" t="e">
        <f>+Balance!#REF!</f>
        <v>#REF!</v>
      </c>
      <c r="E15" s="581"/>
      <c r="F15" s="581">
        <f>+'Funcionamiento '!E159</f>
        <v>4003900</v>
      </c>
      <c r="G15" s="581">
        <f>+'Funcionamiento '!G159</f>
        <v>1889708.1400000001</v>
      </c>
      <c r="H15" s="565">
        <f>G15/F15*100</f>
        <v>47.196686730437825</v>
      </c>
    </row>
    <row r="16" spans="1:24" ht="13.5" customHeight="1">
      <c r="A16" s="566"/>
      <c r="B16" s="582"/>
      <c r="C16" s="583"/>
      <c r="D16" s="581"/>
      <c r="E16" s="581"/>
      <c r="F16" s="581"/>
      <c r="G16" s="581"/>
      <c r="H16" s="565" t="s">
        <v>12</v>
      </c>
      <c r="L16" s="568" t="s">
        <v>12</v>
      </c>
    </row>
    <row r="17" spans="1:11" ht="24.95" customHeight="1">
      <c r="A17" s="558" t="s">
        <v>533</v>
      </c>
      <c r="B17" s="584"/>
      <c r="C17" s="585"/>
      <c r="D17" s="586">
        <v>0</v>
      </c>
      <c r="E17" s="586"/>
      <c r="F17" s="586">
        <v>0</v>
      </c>
      <c r="G17" s="587">
        <f>G10-G12-1</f>
        <v>-25150034.329999991</v>
      </c>
      <c r="H17" s="565" t="s">
        <v>12</v>
      </c>
    </row>
    <row r="18" spans="1:11" ht="12.75" customHeight="1">
      <c r="A18" s="566" t="s">
        <v>12</v>
      </c>
      <c r="B18" s="582"/>
      <c r="C18" s="583"/>
      <c r="D18" s="581"/>
      <c r="E18" s="581"/>
      <c r="F18" s="581"/>
      <c r="G18" s="581"/>
      <c r="H18" s="565" t="s">
        <v>12</v>
      </c>
    </row>
    <row r="19" spans="1:11" ht="24.95" customHeight="1">
      <c r="A19" s="558" t="s">
        <v>534</v>
      </c>
      <c r="B19" s="588">
        <f>+B21</f>
        <v>56905194</v>
      </c>
      <c r="C19" s="554">
        <f>SUM(C21)</f>
        <v>26708941</v>
      </c>
      <c r="D19" s="554">
        <f>SUM(D21:D24)</f>
        <v>56905194</v>
      </c>
      <c r="E19" s="554"/>
      <c r="F19" s="554">
        <f>SUM(F21:F24)</f>
        <v>26708941</v>
      </c>
      <c r="G19" s="554">
        <f>SUM(G21:G24)</f>
        <v>24434226.370000001</v>
      </c>
      <c r="H19" s="555">
        <f>G19/F19*100</f>
        <v>91.483321521433595</v>
      </c>
    </row>
    <row r="20" spans="1:11" ht="15.75" customHeight="1">
      <c r="A20" s="566"/>
      <c r="B20" s="582"/>
      <c r="C20" s="583"/>
      <c r="D20" s="581" t="s">
        <v>12</v>
      </c>
      <c r="E20" s="581"/>
      <c r="F20" s="581" t="s">
        <v>12</v>
      </c>
      <c r="G20" s="581"/>
      <c r="H20" s="565" t="s">
        <v>12</v>
      </c>
    </row>
    <row r="21" spans="1:11" ht="24.95" customHeight="1">
      <c r="A21" s="566" t="s">
        <v>535</v>
      </c>
      <c r="B21" s="581">
        <f>+'Proyectos Inv'!B42</f>
        <v>56905194</v>
      </c>
      <c r="C21" s="581">
        <f>+'Proyectos Inv'!C42</f>
        <v>26708941</v>
      </c>
      <c r="D21" s="581">
        <f>+'Proyectos Inv'!B42</f>
        <v>56905194</v>
      </c>
      <c r="E21" s="581"/>
      <c r="F21" s="581">
        <f>+'Proyectos Inv'!D42</f>
        <v>26708941</v>
      </c>
      <c r="G21" s="581">
        <f>+'Proyectos Inv'!F42</f>
        <v>24434226.370000001</v>
      </c>
      <c r="H21" s="565">
        <f>G21/F21*100</f>
        <v>91.483321521433595</v>
      </c>
      <c r="I21" s="541" t="s">
        <v>12</v>
      </c>
    </row>
    <row r="22" spans="1:11" ht="24.95" customHeight="1">
      <c r="A22" s="566" t="s">
        <v>536</v>
      </c>
      <c r="B22" s="566"/>
      <c r="C22" s="567"/>
      <c r="D22" s="564">
        <v>0</v>
      </c>
      <c r="E22" s="564"/>
      <c r="F22" s="564">
        <v>0</v>
      </c>
      <c r="G22" s="564" t="s">
        <v>12</v>
      </c>
      <c r="H22" s="565" t="s">
        <v>12</v>
      </c>
    </row>
    <row r="23" spans="1:11" ht="24.95" customHeight="1">
      <c r="A23" s="566" t="s">
        <v>537</v>
      </c>
      <c r="B23" s="566"/>
      <c r="C23" s="567"/>
      <c r="D23" s="564">
        <v>0</v>
      </c>
      <c r="E23" s="564"/>
      <c r="F23" s="564">
        <v>0</v>
      </c>
      <c r="G23" s="564">
        <v>0</v>
      </c>
      <c r="H23" s="565" t="s">
        <v>12</v>
      </c>
    </row>
    <row r="24" spans="1:11" ht="24.95" customHeight="1">
      <c r="A24" s="566" t="s">
        <v>538</v>
      </c>
      <c r="B24" s="566"/>
      <c r="C24" s="567"/>
      <c r="D24" s="564" t="s">
        <v>12</v>
      </c>
      <c r="E24" s="564"/>
      <c r="F24" s="564" t="s">
        <v>12</v>
      </c>
      <c r="G24" s="564">
        <v>0</v>
      </c>
      <c r="H24" s="565" t="s">
        <v>12</v>
      </c>
    </row>
    <row r="25" spans="1:11" ht="11.25" customHeight="1">
      <c r="A25" s="566"/>
      <c r="B25" s="566"/>
      <c r="C25" s="567"/>
      <c r="D25" s="564"/>
      <c r="E25" s="564"/>
      <c r="F25" s="564"/>
      <c r="G25" s="564" t="s">
        <v>12</v>
      </c>
      <c r="H25" s="565" t="s">
        <v>12</v>
      </c>
    </row>
    <row r="26" spans="1:11" ht="24.95" customHeight="1">
      <c r="A26" s="558" t="s">
        <v>539</v>
      </c>
      <c r="B26" s="559">
        <f>+B28+B30</f>
        <v>56905194</v>
      </c>
      <c r="C26" s="553">
        <f>SUM(C28:C30)</f>
        <v>26708941</v>
      </c>
      <c r="D26" s="553" t="e">
        <f>SUM(D28:D30)</f>
        <v>#REF!</v>
      </c>
      <c r="E26" s="553"/>
      <c r="F26" s="553">
        <f>SUM(F28:F30)</f>
        <v>26288941</v>
      </c>
      <c r="G26" s="553">
        <f>SUM(G28:G30)</f>
        <v>12886673</v>
      </c>
      <c r="H26" s="555">
        <f>G26/F26*100</f>
        <v>49.019369019086774</v>
      </c>
    </row>
    <row r="27" spans="1:11" ht="12.75" customHeight="1">
      <c r="A27" s="566"/>
      <c r="B27" s="566"/>
      <c r="C27" s="567"/>
      <c r="D27" s="564"/>
      <c r="E27" s="564"/>
      <c r="F27" s="564"/>
      <c r="G27" s="564"/>
      <c r="H27" s="565" t="s">
        <v>12</v>
      </c>
    </row>
    <row r="28" spans="1:11" ht="24.95" customHeight="1">
      <c r="A28" s="566" t="s">
        <v>540</v>
      </c>
      <c r="B28" s="564">
        <f>+Recaudación!C40</f>
        <v>2100000</v>
      </c>
      <c r="C28" s="564">
        <f>+Recaudación!D40</f>
        <v>2100000</v>
      </c>
      <c r="D28" s="564">
        <f>+Recaudación!D40</f>
        <v>2100000</v>
      </c>
      <c r="E28" s="564"/>
      <c r="F28" s="564">
        <f>+Recaudación!E40</f>
        <v>1680000</v>
      </c>
      <c r="G28" s="564">
        <f>+Recaudación!G41</f>
        <v>1680000</v>
      </c>
      <c r="H28" s="565">
        <f>G28/F28*100</f>
        <v>100</v>
      </c>
    </row>
    <row r="29" spans="1:11" ht="24.95" customHeight="1">
      <c r="A29" s="566" t="s">
        <v>541</v>
      </c>
      <c r="B29" s="566"/>
      <c r="C29" s="567"/>
      <c r="D29" s="564">
        <v>0</v>
      </c>
      <c r="E29" s="564"/>
      <c r="F29" s="564">
        <v>0</v>
      </c>
      <c r="G29" s="564">
        <v>0</v>
      </c>
      <c r="H29" s="565" t="s">
        <v>12</v>
      </c>
      <c r="K29" s="541" t="s">
        <v>12</v>
      </c>
    </row>
    <row r="30" spans="1:11" ht="24.95" customHeight="1">
      <c r="A30" s="566" t="s">
        <v>542</v>
      </c>
      <c r="B30" s="564">
        <f>+Recaudación!C37</f>
        <v>54805194</v>
      </c>
      <c r="C30" s="564">
        <f>+Recaudación!D37</f>
        <v>24608941</v>
      </c>
      <c r="D30" s="564" t="e">
        <f>+Recaudación!#REF!</f>
        <v>#REF!</v>
      </c>
      <c r="E30" s="564"/>
      <c r="F30" s="564">
        <f>+Recaudación!E37</f>
        <v>24608941</v>
      </c>
      <c r="G30" s="564">
        <f>+Recaudación!G37</f>
        <v>11206673</v>
      </c>
      <c r="H30" s="565">
        <f>G30/F30*100</f>
        <v>45.539029899742538</v>
      </c>
    </row>
    <row r="31" spans="1:11" ht="8.25" customHeight="1">
      <c r="A31" s="569"/>
      <c r="B31" s="569"/>
      <c r="C31" s="570"/>
      <c r="D31" s="571" t="s">
        <v>12</v>
      </c>
      <c r="E31" s="571"/>
      <c r="F31" s="571" t="s">
        <v>12</v>
      </c>
      <c r="G31" s="561" t="s">
        <v>12</v>
      </c>
      <c r="H31" s="562" t="s">
        <v>12</v>
      </c>
    </row>
    <row r="32" spans="1:11" ht="24.95" customHeight="1">
      <c r="A32" s="572" t="s">
        <v>543</v>
      </c>
      <c r="B32" s="572"/>
      <c r="C32" s="589"/>
      <c r="D32" s="590" t="s">
        <v>12</v>
      </c>
      <c r="E32" s="590"/>
      <c r="F32" s="590" t="s">
        <v>12</v>
      </c>
      <c r="G32" s="591">
        <f>G17-G19+G26+1</f>
        <v>-36697586.699999988</v>
      </c>
      <c r="H32" s="573" t="s">
        <v>12</v>
      </c>
    </row>
    <row r="33" spans="1:11" ht="16.5" customHeight="1">
      <c r="A33" s="574" t="s">
        <v>12</v>
      </c>
      <c r="B33" s="574"/>
      <c r="C33" s="574"/>
      <c r="D33" s="575"/>
      <c r="E33" s="575"/>
      <c r="F33" s="575"/>
      <c r="G33" s="575"/>
      <c r="H33" s="575"/>
      <c r="I33" s="576"/>
      <c r="J33" s="577"/>
      <c r="K33" s="577"/>
    </row>
    <row r="34" spans="1:11" ht="13.5" customHeight="1">
      <c r="A34" s="578" t="s">
        <v>49</v>
      </c>
      <c r="B34" s="541"/>
      <c r="C34" s="541"/>
      <c r="D34" s="541"/>
      <c r="E34" s="541"/>
      <c r="F34" s="541"/>
      <c r="G34" s="541"/>
      <c r="H34" s="541"/>
      <c r="I34" s="577"/>
      <c r="J34" s="579"/>
      <c r="K34" s="577"/>
    </row>
    <row r="35" spans="1:11" ht="12.75" customHeight="1">
      <c r="A35" s="541"/>
      <c r="B35" s="541"/>
      <c r="C35" s="541"/>
      <c r="D35" s="541"/>
      <c r="E35" s="541"/>
      <c r="F35" s="541"/>
      <c r="G35" s="625" t="s">
        <v>12</v>
      </c>
      <c r="H35" s="625"/>
      <c r="I35" s="577"/>
      <c r="J35" s="580" t="s">
        <v>12</v>
      </c>
      <c r="K35" s="577"/>
    </row>
    <row r="36" spans="1:11" ht="14.25" customHeight="1">
      <c r="D36" s="576"/>
      <c r="E36" s="576"/>
      <c r="F36" s="576"/>
      <c r="G36" s="576"/>
      <c r="H36" s="576"/>
    </row>
    <row r="37" spans="1:11" ht="11.25" customHeight="1">
      <c r="A37" s="576" t="s">
        <v>12</v>
      </c>
      <c r="B37" s="576"/>
      <c r="C37" s="576"/>
    </row>
    <row r="38" spans="1:11" ht="11.25" customHeight="1">
      <c r="A38" s="576"/>
      <c r="B38" s="576"/>
      <c r="C38" s="576"/>
      <c r="J38" s="541" t="s">
        <v>12</v>
      </c>
    </row>
    <row r="39" spans="1:11" ht="11.25" customHeight="1">
      <c r="A39" s="576"/>
      <c r="B39" s="576"/>
      <c r="C39" s="576"/>
    </row>
    <row r="56" spans="7:7">
      <c r="G56" s="577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scale="80" firstPageNumber="0" orientation="portrait" useFirstPageNumber="1" horizontalDpi="4294967294" verticalDpi="4294967294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tabColor theme="2" tint="-0.499984740745262"/>
  </sheetPr>
  <dimension ref="A1:L88"/>
  <sheetViews>
    <sheetView showGridLines="0" showZeros="0" topLeftCell="A157" workbookViewId="0">
      <pane ySplit="1560" activePane="bottomLeft"/>
      <selection pane="bottomLeft" activeCell="L20" sqref="L20"/>
    </sheetView>
  </sheetViews>
  <sheetFormatPr baseColWidth="10" defaultColWidth="11.42578125" defaultRowHeight="12.75"/>
  <cols>
    <col min="1" max="1" width="32" style="4" customWidth="1"/>
    <col min="2" max="2" width="11.28515625" style="4" customWidth="1"/>
    <col min="3" max="3" width="12.7109375" style="4" customWidth="1"/>
    <col min="4" max="4" width="13.28515625" style="4" hidden="1" customWidth="1"/>
    <col min="5" max="5" width="15.140625" style="4" hidden="1" customWidth="1"/>
    <col min="6" max="6" width="12.28515625" style="4" customWidth="1"/>
    <col min="7" max="7" width="15.5703125" style="4" customWidth="1"/>
    <col min="8" max="8" width="13.42578125" style="4" hidden="1" customWidth="1"/>
    <col min="9" max="9" width="14.28515625" style="4" customWidth="1"/>
  </cols>
  <sheetData>
    <row r="1" spans="1:12" ht="18" customHeight="1">
      <c r="A1" s="605" t="s">
        <v>60</v>
      </c>
      <c r="B1" s="605"/>
      <c r="C1" s="605"/>
      <c r="D1" s="605"/>
      <c r="E1" s="605"/>
      <c r="F1" s="605"/>
      <c r="G1" s="605"/>
      <c r="H1" s="605"/>
      <c r="I1" s="605"/>
    </row>
    <row r="2" spans="1:12" ht="19.5" customHeight="1">
      <c r="A2" s="605" t="s">
        <v>61</v>
      </c>
      <c r="B2" s="605"/>
      <c r="C2" s="605"/>
      <c r="D2" s="605"/>
      <c r="E2" s="605"/>
      <c r="F2" s="605"/>
      <c r="G2" s="605"/>
      <c r="H2" s="605"/>
      <c r="I2" s="605"/>
    </row>
    <row r="3" spans="1:12" ht="18" customHeight="1">
      <c r="A3" s="606" t="s">
        <v>139</v>
      </c>
      <c r="B3" s="606"/>
      <c r="C3" s="606"/>
      <c r="D3" s="606"/>
      <c r="E3" s="606"/>
      <c r="F3" s="606"/>
      <c r="G3" s="606"/>
      <c r="H3" s="606"/>
      <c r="I3" s="606"/>
    </row>
    <row r="4" spans="1:12" ht="18" customHeight="1">
      <c r="A4" s="606" t="s">
        <v>140</v>
      </c>
      <c r="B4" s="606"/>
      <c r="C4" s="606"/>
      <c r="D4" s="606"/>
      <c r="E4" s="606"/>
      <c r="F4" s="606"/>
      <c r="G4" s="606"/>
      <c r="H4" s="606"/>
      <c r="I4" s="606"/>
    </row>
    <row r="5" spans="1:12" ht="3" customHeight="1">
      <c r="A5" s="321"/>
      <c r="B5" s="321"/>
      <c r="C5" s="321"/>
      <c r="D5" s="321"/>
      <c r="E5" s="321"/>
      <c r="F5" s="321"/>
      <c r="G5" s="321"/>
      <c r="H5" s="321"/>
      <c r="I5" s="321"/>
    </row>
    <row r="6" spans="1:12" ht="8.25" customHeight="1">
      <c r="A6" s="321"/>
      <c r="B6" s="321"/>
      <c r="C6" s="321"/>
      <c r="D6" s="321"/>
      <c r="E6" s="6"/>
      <c r="F6" s="6"/>
      <c r="G6" s="6"/>
      <c r="H6" s="6"/>
      <c r="I6" s="3"/>
    </row>
    <row r="7" spans="1:12" ht="20.100000000000001" customHeight="1">
      <c r="A7" s="637" t="s">
        <v>0</v>
      </c>
      <c r="B7" s="641" t="s">
        <v>50</v>
      </c>
      <c r="C7" s="642"/>
      <c r="D7" s="642"/>
      <c r="E7" s="642"/>
      <c r="F7" s="642"/>
      <c r="G7" s="643"/>
      <c r="H7" s="339"/>
      <c r="I7" s="639" t="s">
        <v>43</v>
      </c>
    </row>
    <row r="8" spans="1:12" ht="31.5" customHeight="1">
      <c r="A8" s="638"/>
      <c r="B8" s="340" t="s">
        <v>2</v>
      </c>
      <c r="C8" s="341" t="s">
        <v>66</v>
      </c>
      <c r="D8" s="341" t="s">
        <v>3</v>
      </c>
      <c r="E8" s="342" t="s">
        <v>3</v>
      </c>
      <c r="F8" s="342" t="s">
        <v>25</v>
      </c>
      <c r="G8" s="341" t="s">
        <v>44</v>
      </c>
      <c r="H8" s="343" t="s">
        <v>51</v>
      </c>
      <c r="I8" s="640"/>
      <c r="L8" t="s">
        <v>12</v>
      </c>
    </row>
    <row r="9" spans="1:12" ht="6.75" customHeight="1">
      <c r="A9" s="344"/>
      <c r="B9" s="344"/>
      <c r="C9" s="345"/>
      <c r="D9" s="346"/>
      <c r="E9" s="347"/>
      <c r="F9" s="348"/>
      <c r="G9" s="348"/>
      <c r="H9" s="348"/>
      <c r="I9" s="377"/>
    </row>
    <row r="10" spans="1:12" ht="18" customHeight="1">
      <c r="A10" s="349" t="s">
        <v>6</v>
      </c>
      <c r="B10" s="349"/>
      <c r="C10" s="350"/>
      <c r="D10" s="351"/>
      <c r="E10" s="351"/>
      <c r="F10" s="351"/>
      <c r="G10" s="351"/>
      <c r="H10" s="351"/>
      <c r="I10" s="378"/>
    </row>
    <row r="11" spans="1:12" ht="9" customHeight="1">
      <c r="A11" s="352"/>
      <c r="B11" s="352"/>
      <c r="C11" s="353"/>
      <c r="D11" s="353"/>
      <c r="E11" s="353"/>
      <c r="F11" s="353"/>
      <c r="G11" s="353"/>
      <c r="H11" s="353"/>
      <c r="I11" s="379"/>
    </row>
    <row r="12" spans="1:12" ht="15" customHeight="1">
      <c r="A12" s="352" t="s">
        <v>55</v>
      </c>
      <c r="B12" s="354">
        <f>B15</f>
        <v>141094.80600000001</v>
      </c>
      <c r="C12" s="354">
        <f>C15</f>
        <v>140457.69300000003</v>
      </c>
      <c r="D12" s="354" t="e">
        <f>+D15</f>
        <v>#REF!</v>
      </c>
      <c r="E12" s="354" t="e">
        <f>+E15+#REF!</f>
        <v>#REF!</v>
      </c>
      <c r="F12" s="354">
        <f>+F15</f>
        <v>106057.308</v>
      </c>
      <c r="G12" s="354">
        <f>+G15</f>
        <v>65391.926229999997</v>
      </c>
      <c r="H12" s="355" t="e">
        <f>+G12-E12</f>
        <v>#REF!</v>
      </c>
      <c r="I12" s="380">
        <f>G12/F12*100</f>
        <v>61.657162022253097</v>
      </c>
    </row>
    <row r="13" spans="1:12" ht="11.25" customHeight="1">
      <c r="A13" s="356"/>
      <c r="B13" s="357"/>
      <c r="C13" s="357"/>
      <c r="D13" s="357"/>
      <c r="E13" s="357"/>
      <c r="F13" s="357"/>
      <c r="G13" s="357"/>
      <c r="H13" s="357"/>
      <c r="I13" s="381" t="s">
        <v>12</v>
      </c>
    </row>
    <row r="14" spans="1:12" ht="15" customHeight="1">
      <c r="A14" s="352" t="s">
        <v>141</v>
      </c>
      <c r="B14" s="357"/>
      <c r="C14" s="357"/>
      <c r="D14" s="357"/>
      <c r="E14" s="357"/>
      <c r="F14" s="357"/>
      <c r="G14" s="357"/>
      <c r="H14" s="357"/>
      <c r="I14" s="381" t="s">
        <v>12</v>
      </c>
    </row>
    <row r="15" spans="1:12" ht="15" customHeight="1">
      <c r="A15" s="352" t="s">
        <v>142</v>
      </c>
      <c r="B15" s="354">
        <f>SUM(B16:B19)</f>
        <v>141094.80600000001</v>
      </c>
      <c r="C15" s="354">
        <f>SUM(C16:C19)</f>
        <v>140457.69300000003</v>
      </c>
      <c r="D15" s="354" t="e">
        <f>SUM(D16:D19)</f>
        <v>#REF!</v>
      </c>
      <c r="E15" s="354">
        <f>SUM(E16:E19)</f>
        <v>140457.69300000003</v>
      </c>
      <c r="F15" s="354">
        <f>+F16+F17+F18+F19</f>
        <v>106057.308</v>
      </c>
      <c r="G15" s="358">
        <f>+(Recaudación!G13)/1000</f>
        <v>65391.926229999997</v>
      </c>
      <c r="H15" s="355">
        <f>+G15-E15</f>
        <v>-75065.766770000031</v>
      </c>
      <c r="I15" s="380">
        <f t="shared" ref="I15:I50" si="0">G15/F15*100</f>
        <v>61.657162022253097</v>
      </c>
    </row>
    <row r="16" spans="1:12" ht="15" customHeight="1">
      <c r="A16" s="359" t="s">
        <v>143</v>
      </c>
      <c r="B16" s="358">
        <f>+(Recaudación!C15)/1000</f>
        <v>5476.4920000000002</v>
      </c>
      <c r="C16" s="358">
        <f>+(Recaudación!D15)/1000</f>
        <v>5476.4920000000002</v>
      </c>
      <c r="D16" s="358" t="e">
        <f>+(Recaudación!#REF!)/1000</f>
        <v>#REF!</v>
      </c>
      <c r="E16" s="358">
        <f>+(Recaudación!D15)/1000</f>
        <v>5476.4920000000002</v>
      </c>
      <c r="F16" s="358">
        <f>+(Recaudación!E15)/1000</f>
        <v>4346.1899999999996</v>
      </c>
      <c r="G16" s="358">
        <f>+(Recaudación!G15)/1000</f>
        <v>1341.8108800000002</v>
      </c>
      <c r="H16" s="360">
        <f>+G16-E16</f>
        <v>-4134.6811200000002</v>
      </c>
      <c r="I16" s="382">
        <f t="shared" si="0"/>
        <v>30.873267850692223</v>
      </c>
      <c r="J16" t="s">
        <v>12</v>
      </c>
    </row>
    <row r="17" spans="1:11" ht="15" customHeight="1">
      <c r="A17" s="359" t="s">
        <v>144</v>
      </c>
      <c r="B17" s="358">
        <f>+(Recaudación!C21)/1000</f>
        <v>127866.63400000001</v>
      </c>
      <c r="C17" s="358">
        <f>+(Recaudación!D21)/1000</f>
        <v>127866.63400000001</v>
      </c>
      <c r="D17" s="358">
        <f>+(Recaudación!D21)/1000</f>
        <v>127866.63400000001</v>
      </c>
      <c r="E17" s="358">
        <f>+(Recaudación!D21)/1000</f>
        <v>127866.63400000001</v>
      </c>
      <c r="F17" s="358">
        <f>+(Recaudación!E21)/1000</f>
        <v>96165.176999999996</v>
      </c>
      <c r="G17" s="358">
        <f>+(Recaudación!G21)/1000</f>
        <v>57247.13</v>
      </c>
      <c r="H17" s="360">
        <f>+G17-E17</f>
        <v>-70619.504000000015</v>
      </c>
      <c r="I17" s="382">
        <f t="shared" si="0"/>
        <v>59.530000137159831</v>
      </c>
      <c r="K17" t="s">
        <v>12</v>
      </c>
    </row>
    <row r="18" spans="1:11" ht="15" customHeight="1">
      <c r="A18" s="359" t="s">
        <v>145</v>
      </c>
      <c r="B18" s="358">
        <f>+(Recaudación!C26)/1000</f>
        <v>5251.68</v>
      </c>
      <c r="C18" s="358">
        <f>+(Recaudación!D26)/1000</f>
        <v>4614.567</v>
      </c>
      <c r="D18" s="358" t="e">
        <f>+(Recaudación!#REF!)/1000</f>
        <v>#REF!</v>
      </c>
      <c r="E18" s="358">
        <f>+(Recaudación!D26)/1000</f>
        <v>4614.567</v>
      </c>
      <c r="F18" s="358">
        <f>+(Recaudación!E26)/1000</f>
        <v>3545.94</v>
      </c>
      <c r="G18" s="358">
        <f>+(Recaudación!G26)/1000</f>
        <v>6185.6084399999991</v>
      </c>
      <c r="H18" s="360">
        <f>+G18-E18</f>
        <v>1571.0414399999991</v>
      </c>
      <c r="I18" s="382">
        <f t="shared" si="0"/>
        <v>174.44199394236784</v>
      </c>
    </row>
    <row r="19" spans="1:11" ht="15" customHeight="1">
      <c r="A19" s="359" t="s">
        <v>146</v>
      </c>
      <c r="B19" s="358">
        <f>+(Recaudación!C31)/1000</f>
        <v>2500</v>
      </c>
      <c r="C19" s="358">
        <f>+(Recaudación!D31)/1000</f>
        <v>2500</v>
      </c>
      <c r="D19" s="358" t="e">
        <f>+(Recaudación!#REF!)/1000</f>
        <v>#REF!</v>
      </c>
      <c r="E19" s="358">
        <f>+(Recaudación!D31)/1000</f>
        <v>2500</v>
      </c>
      <c r="F19" s="358">
        <f>+(Recaudación!E31)/1000</f>
        <v>2000.001</v>
      </c>
      <c r="G19" s="358">
        <f>+(Recaudación!G31)/1000</f>
        <v>617.37691000000007</v>
      </c>
      <c r="H19" s="360">
        <f>+G19-E19</f>
        <v>-1882.62309</v>
      </c>
      <c r="I19" s="382">
        <f t="shared" si="0"/>
        <v>30.868830065584973</v>
      </c>
    </row>
    <row r="20" spans="1:11" ht="9" customHeight="1">
      <c r="A20" s="356"/>
      <c r="B20" s="357"/>
      <c r="C20" s="357"/>
      <c r="D20" s="357"/>
      <c r="E20" s="357"/>
      <c r="F20" s="357"/>
      <c r="G20" s="357"/>
      <c r="H20" s="357"/>
      <c r="I20" s="381" t="s">
        <v>12</v>
      </c>
    </row>
    <row r="21" spans="1:11" ht="15" customHeight="1">
      <c r="A21" s="352" t="s">
        <v>32</v>
      </c>
      <c r="B21" s="357">
        <f t="shared" ref="B21:G21" si="1">SUM(B23:B25)</f>
        <v>2100</v>
      </c>
      <c r="C21" s="357">
        <f t="shared" si="1"/>
        <v>7310.5339999999997</v>
      </c>
      <c r="D21" s="354" t="e">
        <f t="shared" si="1"/>
        <v>#REF!</v>
      </c>
      <c r="E21" s="354">
        <f t="shared" si="1"/>
        <v>7310.5339999999997</v>
      </c>
      <c r="F21" s="354">
        <f t="shared" si="1"/>
        <v>6319.3770000000004</v>
      </c>
      <c r="G21" s="354">
        <f t="shared" si="1"/>
        <v>12886.673000000001</v>
      </c>
      <c r="H21" s="355">
        <f>+G21-E21</f>
        <v>5576.139000000001</v>
      </c>
      <c r="I21" s="380">
        <f t="shared" si="0"/>
        <v>203.923155716141</v>
      </c>
    </row>
    <row r="22" spans="1:11" ht="9" customHeight="1">
      <c r="A22" s="356"/>
      <c r="B22" s="357"/>
      <c r="C22" s="357"/>
      <c r="D22" s="357"/>
      <c r="E22" s="357"/>
      <c r="F22" s="357"/>
      <c r="G22" s="357"/>
      <c r="H22" s="361"/>
      <c r="I22" s="381" t="s">
        <v>12</v>
      </c>
    </row>
    <row r="23" spans="1:11" ht="15" customHeight="1">
      <c r="A23" s="359" t="s">
        <v>147</v>
      </c>
      <c r="B23" s="358">
        <f>+(Recaudación!C40)/1000</f>
        <v>2100</v>
      </c>
      <c r="C23" s="358">
        <f>+(Recaudación!D40)/1000</f>
        <v>2100</v>
      </c>
      <c r="D23" s="358" t="e">
        <f>+(Recaudación!#REF!)/1000</f>
        <v>#REF!</v>
      </c>
      <c r="E23" s="358">
        <f>+(Recaudación!D40)/1000</f>
        <v>2100</v>
      </c>
      <c r="F23" s="358">
        <f>+(Recaudación!E40)/1000</f>
        <v>1680</v>
      </c>
      <c r="G23" s="358">
        <f>+(Recaudación!G40)/1000</f>
        <v>1680</v>
      </c>
      <c r="H23" s="360">
        <f>+G23-E23</f>
        <v>-420</v>
      </c>
      <c r="I23" s="382">
        <f t="shared" si="0"/>
        <v>100</v>
      </c>
    </row>
    <row r="24" spans="1:11" ht="15" customHeight="1">
      <c r="A24" s="359" t="s">
        <v>148</v>
      </c>
      <c r="B24" s="358">
        <v>0</v>
      </c>
      <c r="C24" s="358">
        <v>0</v>
      </c>
      <c r="D24" s="358">
        <v>0</v>
      </c>
      <c r="E24" s="358">
        <v>0</v>
      </c>
      <c r="F24" s="358">
        <v>0</v>
      </c>
      <c r="G24" s="358">
        <v>0</v>
      </c>
      <c r="H24" s="360">
        <f>+G24-E24</f>
        <v>0</v>
      </c>
      <c r="I24" s="382" t="s">
        <v>12</v>
      </c>
    </row>
    <row r="25" spans="1:11" ht="15" customHeight="1">
      <c r="A25" s="352" t="s">
        <v>149</v>
      </c>
      <c r="B25" s="358">
        <f t="shared" ref="B25:G25" si="2">SUM(B26)</f>
        <v>0</v>
      </c>
      <c r="C25" s="358">
        <f t="shared" si="2"/>
        <v>5210.5339999999997</v>
      </c>
      <c r="D25" s="354" t="e">
        <f t="shared" si="2"/>
        <v>#REF!</v>
      </c>
      <c r="E25" s="354">
        <f t="shared" si="2"/>
        <v>5210.5339999999997</v>
      </c>
      <c r="F25" s="354">
        <f t="shared" si="2"/>
        <v>4639.3770000000004</v>
      </c>
      <c r="G25" s="354">
        <f t="shared" si="2"/>
        <v>11206.673000000001</v>
      </c>
      <c r="H25" s="355">
        <f>+G25-E25</f>
        <v>5996.139000000001</v>
      </c>
      <c r="I25" s="380">
        <f t="shared" si="0"/>
        <v>241.5555579984123</v>
      </c>
    </row>
    <row r="26" spans="1:11" ht="15" customHeight="1">
      <c r="A26" s="359" t="s">
        <v>150</v>
      </c>
      <c r="B26" s="358">
        <f>+(Recaudación!C45)/1000</f>
        <v>0</v>
      </c>
      <c r="C26" s="358">
        <f>+(Recaudación!D45)/1000</f>
        <v>5210.5339999999997</v>
      </c>
      <c r="D26" s="358" t="e">
        <f>+(Recaudación!#REF!)/1000</f>
        <v>#REF!</v>
      </c>
      <c r="E26" s="358">
        <f>+(Recaudación!D45)/1000</f>
        <v>5210.5339999999997</v>
      </c>
      <c r="F26" s="358">
        <f>+(Recaudación!E45)/1000</f>
        <v>4639.3770000000004</v>
      </c>
      <c r="G26" s="358">
        <f>+(Recaudación!G37)/1000</f>
        <v>11206.673000000001</v>
      </c>
      <c r="H26" s="360">
        <f>+G26-E26</f>
        <v>5996.139000000001</v>
      </c>
      <c r="I26" s="382">
        <f t="shared" si="0"/>
        <v>241.5555579984123</v>
      </c>
    </row>
    <row r="27" spans="1:11" ht="15" customHeight="1">
      <c r="A27" s="359" t="s">
        <v>151</v>
      </c>
      <c r="B27" s="358"/>
      <c r="C27" s="358"/>
      <c r="D27" s="358"/>
      <c r="E27" s="358"/>
      <c r="F27" s="358"/>
      <c r="G27" s="358"/>
      <c r="H27" s="360"/>
      <c r="I27" s="382" t="s">
        <v>12</v>
      </c>
    </row>
    <row r="28" spans="1:11" ht="9" customHeight="1">
      <c r="A28" s="359"/>
      <c r="B28" s="358"/>
      <c r="C28" s="358"/>
      <c r="D28" s="358"/>
      <c r="E28" s="358"/>
      <c r="F28" s="358"/>
      <c r="G28" s="358"/>
      <c r="H28" s="360"/>
      <c r="I28" s="382" t="s">
        <v>12</v>
      </c>
    </row>
    <row r="29" spans="1:11" ht="18" customHeight="1">
      <c r="A29" s="352" t="s">
        <v>152</v>
      </c>
      <c r="B29" s="354">
        <f t="shared" ref="B29:G29" si="3">+B12+B21</f>
        <v>143194.80600000001</v>
      </c>
      <c r="C29" s="354">
        <f t="shared" si="3"/>
        <v>147768.22700000001</v>
      </c>
      <c r="D29" s="354" t="e">
        <f t="shared" si="3"/>
        <v>#REF!</v>
      </c>
      <c r="E29" s="354" t="e">
        <f t="shared" si="3"/>
        <v>#REF!</v>
      </c>
      <c r="F29" s="354">
        <f t="shared" si="3"/>
        <v>112376.685</v>
      </c>
      <c r="G29" s="354">
        <f t="shared" si="3"/>
        <v>78278.599229999993</v>
      </c>
      <c r="H29" s="355" t="e">
        <f>+G29-E29</f>
        <v>#REF!</v>
      </c>
      <c r="I29" s="380">
        <f t="shared" si="0"/>
        <v>69.657330815551276</v>
      </c>
    </row>
    <row r="30" spans="1:11" ht="9" customHeight="1">
      <c r="A30" s="359"/>
      <c r="B30" s="362"/>
      <c r="C30" s="362"/>
      <c r="D30" s="358"/>
      <c r="E30" s="358"/>
      <c r="F30" s="358"/>
      <c r="G30" s="358"/>
      <c r="H30" s="358"/>
      <c r="I30" s="382" t="s">
        <v>12</v>
      </c>
    </row>
    <row r="31" spans="1:11" ht="18" customHeight="1">
      <c r="A31" s="349" t="s">
        <v>56</v>
      </c>
      <c r="B31" s="363"/>
      <c r="C31" s="363"/>
      <c r="D31" s="358"/>
      <c r="E31" s="358"/>
      <c r="F31" s="358"/>
      <c r="G31" s="358"/>
      <c r="H31" s="358"/>
      <c r="I31" s="382" t="s">
        <v>12</v>
      </c>
    </row>
    <row r="32" spans="1:11" ht="9" customHeight="1">
      <c r="A32" s="359"/>
      <c r="B32" s="362"/>
      <c r="C32" s="362"/>
      <c r="D32" s="358"/>
      <c r="E32" s="358"/>
      <c r="F32" s="358"/>
      <c r="G32" s="358"/>
      <c r="H32" s="358"/>
      <c r="I32" s="382" t="s">
        <v>12</v>
      </c>
    </row>
    <row r="33" spans="1:10" ht="15" customHeight="1">
      <c r="A33" s="352" t="s">
        <v>57</v>
      </c>
      <c r="B33" s="354">
        <f>+B35+B41</f>
        <v>141094.80599999998</v>
      </c>
      <c r="C33" s="354">
        <f>+C35+C41</f>
        <v>140457.693</v>
      </c>
      <c r="D33" s="354" t="e">
        <f>+D35+D41+#REF!</f>
        <v>#REF!</v>
      </c>
      <c r="E33" s="354" t="e">
        <f>+E35+E41+#REF!</f>
        <v>#REF!</v>
      </c>
      <c r="F33" s="354">
        <f>+F35+F41</f>
        <v>108025.224</v>
      </c>
      <c r="G33" s="354">
        <f>+G35+G41</f>
        <v>90541.959559999988</v>
      </c>
      <c r="H33" s="354" t="e">
        <f>+E33-G33</f>
        <v>#REF!</v>
      </c>
      <c r="I33" s="380">
        <f t="shared" si="0"/>
        <v>83.815572148223438</v>
      </c>
    </row>
    <row r="34" spans="1:10" ht="15" customHeight="1">
      <c r="A34" s="359"/>
      <c r="B34" s="362"/>
      <c r="C34" s="362"/>
      <c r="D34" s="358"/>
      <c r="E34" s="358"/>
      <c r="F34" s="358"/>
      <c r="G34" s="358"/>
      <c r="H34" s="358"/>
      <c r="I34" s="382"/>
    </row>
    <row r="35" spans="1:10" ht="18" customHeight="1">
      <c r="A35" s="352" t="s">
        <v>153</v>
      </c>
      <c r="B35" s="354">
        <f t="shared" ref="B35:G35" si="4">SUM(B36:B39)</f>
        <v>138843.21199999997</v>
      </c>
      <c r="C35" s="354">
        <f t="shared" si="4"/>
        <v>136424.25200000001</v>
      </c>
      <c r="D35" s="354">
        <f t="shared" si="4"/>
        <v>136424.25200000001</v>
      </c>
      <c r="E35" s="354">
        <f t="shared" si="4"/>
        <v>136424.25200000001</v>
      </c>
      <c r="F35" s="354">
        <f t="shared" si="4"/>
        <v>104021.32400000001</v>
      </c>
      <c r="G35" s="354">
        <f t="shared" si="4"/>
        <v>88652.251419999986</v>
      </c>
      <c r="H35" s="354">
        <f t="shared" ref="H35:H39" si="5">+E35-G35</f>
        <v>47772.000580000022</v>
      </c>
      <c r="I35" s="380">
        <f t="shared" si="0"/>
        <v>85.225075024040237</v>
      </c>
      <c r="J35" s="138"/>
    </row>
    <row r="36" spans="1:10" ht="20.25" customHeight="1">
      <c r="A36" s="359" t="s">
        <v>154</v>
      </c>
      <c r="B36" s="358">
        <f>(+'Funcionamiento '!C11)/1000</f>
        <v>125299.72900000001</v>
      </c>
      <c r="C36" s="358">
        <f>(+'Funcionamiento '!D11)/1000</f>
        <v>122980.084</v>
      </c>
      <c r="D36" s="358">
        <f>(+'Funcionamiento '!D11)/1000</f>
        <v>122980.084</v>
      </c>
      <c r="E36" s="358">
        <f>(+'Funcionamiento '!D11)/1000</f>
        <v>122980.084</v>
      </c>
      <c r="F36" s="358">
        <f>(+'Funcionamiento '!E11)/1000</f>
        <v>91027.312000000005</v>
      </c>
      <c r="G36" s="358">
        <f>(+'Funcionamiento '!G11)/1000</f>
        <v>79528.977139999988</v>
      </c>
      <c r="H36" s="358">
        <f t="shared" si="5"/>
        <v>43451.106860000014</v>
      </c>
      <c r="I36" s="382">
        <f t="shared" si="0"/>
        <v>87.368258375024837</v>
      </c>
      <c r="J36" s="138"/>
    </row>
    <row r="37" spans="1:10" ht="17.25" customHeight="1">
      <c r="A37" s="359" t="s">
        <v>155</v>
      </c>
      <c r="B37" s="358">
        <f>(+'Funcionamiento '!C37)/1000</f>
        <v>7293.0079999999998</v>
      </c>
      <c r="C37" s="358">
        <f>(+'Funcionamiento '!D37)/1000</f>
        <v>7180.3729999999996</v>
      </c>
      <c r="D37" s="358">
        <f>(+'Funcionamiento '!D37)/1000</f>
        <v>7180.3729999999996</v>
      </c>
      <c r="E37" s="358">
        <f>(+'Funcionamiento '!D37)/1000</f>
        <v>7180.3729999999996</v>
      </c>
      <c r="F37" s="358">
        <f>(+'Funcionamiento '!E37)/1000</f>
        <v>6730.2169999999996</v>
      </c>
      <c r="G37" s="358">
        <f>(+'Funcionamiento '!G37)/1000</f>
        <v>4875.7413599999991</v>
      </c>
      <c r="H37" s="358">
        <f t="shared" si="5"/>
        <v>2304.6316400000005</v>
      </c>
      <c r="I37" s="382">
        <f t="shared" si="0"/>
        <v>72.445529765236387</v>
      </c>
      <c r="J37" s="138"/>
    </row>
    <row r="38" spans="1:10" ht="15.75" customHeight="1">
      <c r="A38" s="359" t="s">
        <v>156</v>
      </c>
      <c r="B38" s="358">
        <f>(+'Funcionamiento '!C94)/1000</f>
        <v>3042.5610000000001</v>
      </c>
      <c r="C38" s="358">
        <f>(+'Funcionamiento '!D94)/1000</f>
        <v>3968.7550000000001</v>
      </c>
      <c r="D38" s="358">
        <f>(+'Funcionamiento '!D94)/1000</f>
        <v>3968.7550000000001</v>
      </c>
      <c r="E38" s="358">
        <f>(+'Funcionamiento '!D94)/1000</f>
        <v>3968.7550000000001</v>
      </c>
      <c r="F38" s="358">
        <f>(+'Funcionamiento '!E94)/1000</f>
        <v>3968.7550000000001</v>
      </c>
      <c r="G38" s="358">
        <f>(+'Funcionamiento '!G94)/1000</f>
        <v>2867.4243400000005</v>
      </c>
      <c r="H38" s="358">
        <f t="shared" si="5"/>
        <v>1101.3306599999996</v>
      </c>
      <c r="I38" s="382">
        <f t="shared" si="0"/>
        <v>72.249971086650618</v>
      </c>
      <c r="J38" s="138"/>
    </row>
    <row r="39" spans="1:10" ht="17.25" customHeight="1">
      <c r="A39" s="359" t="s">
        <v>157</v>
      </c>
      <c r="B39" s="358">
        <f>(+'Funcionamiento '!C154)/1000</f>
        <v>3207.9140000000002</v>
      </c>
      <c r="C39" s="358">
        <f>(+'Funcionamiento '!D154)/1000</f>
        <v>2295.04</v>
      </c>
      <c r="D39" s="358">
        <f>(+'Funcionamiento '!D154)/1000</f>
        <v>2295.04</v>
      </c>
      <c r="E39" s="358">
        <f>(+'Funcionamiento '!D154)/1000</f>
        <v>2295.04</v>
      </c>
      <c r="F39" s="358">
        <f>(+'Funcionamiento '!E154)/1000</f>
        <v>2295.04</v>
      </c>
      <c r="G39" s="358">
        <f>(+'Funcionamiento '!G154)/1000</f>
        <v>1380.1085800000001</v>
      </c>
      <c r="H39" s="358">
        <f t="shared" si="5"/>
        <v>914.93141999999989</v>
      </c>
      <c r="I39" s="382">
        <f t="shared" si="0"/>
        <v>60.134402014779695</v>
      </c>
      <c r="J39" s="138"/>
    </row>
    <row r="40" spans="1:10" ht="9" customHeight="1">
      <c r="A40" s="359" t="s">
        <v>12</v>
      </c>
      <c r="B40" s="362"/>
      <c r="C40" s="362"/>
      <c r="D40" s="358">
        <v>0</v>
      </c>
      <c r="E40" s="358">
        <v>0</v>
      </c>
      <c r="F40" s="358" t="s">
        <v>12</v>
      </c>
      <c r="G40" s="358" t="s">
        <v>12</v>
      </c>
      <c r="H40" s="358"/>
      <c r="I40" s="382" t="s">
        <v>12</v>
      </c>
    </row>
    <row r="41" spans="1:10" ht="15" customHeight="1">
      <c r="A41" s="352" t="s">
        <v>158</v>
      </c>
      <c r="B41" s="354">
        <f>(+'Funcionamiento '!C159)/1000</f>
        <v>2251.5940000000001</v>
      </c>
      <c r="C41" s="354">
        <f>(+'Funcionamiento '!D159)/1000</f>
        <v>4033.4409999999998</v>
      </c>
      <c r="D41" s="354">
        <f>(+'Funcionamiento '!D159)/1000</f>
        <v>4033.4409999999998</v>
      </c>
      <c r="E41" s="354">
        <f>(+'Funcionamiento '!D159)/1000</f>
        <v>4033.4409999999998</v>
      </c>
      <c r="F41" s="354">
        <f>(+'Funcionamiento '!E159)/1000</f>
        <v>4003.9</v>
      </c>
      <c r="G41" s="354">
        <f>(+'Funcionamiento '!G159)/1000</f>
        <v>1889.7081400000002</v>
      </c>
      <c r="H41" s="354">
        <f>+E41-G41</f>
        <v>2143.7328599999996</v>
      </c>
      <c r="I41" s="380">
        <f t="shared" si="0"/>
        <v>47.196686730437825</v>
      </c>
    </row>
    <row r="42" spans="1:10" ht="8.25" customHeight="1">
      <c r="A42" s="359"/>
      <c r="B42" s="362"/>
      <c r="C42" s="362"/>
      <c r="D42" s="358"/>
      <c r="E42" s="358"/>
      <c r="F42" s="358"/>
      <c r="G42" s="358"/>
      <c r="H42" s="358"/>
      <c r="I42" s="382" t="s">
        <v>12</v>
      </c>
    </row>
    <row r="43" spans="1:10" ht="15" customHeight="1">
      <c r="A43" s="352" t="s">
        <v>58</v>
      </c>
      <c r="B43" s="354">
        <f t="shared" ref="B43:G43" si="6">SUM(B45)</f>
        <v>56905.194000000003</v>
      </c>
      <c r="C43" s="354">
        <f t="shared" si="6"/>
        <v>26708.940999999999</v>
      </c>
      <c r="D43" s="354">
        <f t="shared" si="6"/>
        <v>26708.940999999999</v>
      </c>
      <c r="E43" s="354" t="e">
        <f t="shared" si="6"/>
        <v>#REF!</v>
      </c>
      <c r="F43" s="354">
        <f t="shared" si="6"/>
        <v>26708.940999999999</v>
      </c>
      <c r="G43" s="354">
        <f t="shared" si="6"/>
        <v>24434.22637</v>
      </c>
      <c r="H43" s="354" t="e">
        <f>+E43-G43</f>
        <v>#REF!</v>
      </c>
      <c r="I43" s="380">
        <f t="shared" si="0"/>
        <v>91.483321521433595</v>
      </c>
      <c r="J43" t="s">
        <v>12</v>
      </c>
    </row>
    <row r="44" spans="1:10" ht="15" customHeight="1">
      <c r="A44" s="359"/>
      <c r="B44" s="362"/>
      <c r="C44" s="362"/>
      <c r="D44" s="358"/>
      <c r="E44" s="358"/>
      <c r="F44" s="358"/>
      <c r="G44" s="358"/>
      <c r="H44" s="358"/>
      <c r="I44" s="382" t="s">
        <v>12</v>
      </c>
    </row>
    <row r="45" spans="1:10" ht="15" customHeight="1">
      <c r="A45" s="359" t="s">
        <v>159</v>
      </c>
      <c r="B45" s="358">
        <f>+('Proyectos Inv'!B42)/1000</f>
        <v>56905.194000000003</v>
      </c>
      <c r="C45" s="358">
        <f>+('Proyectos Inv'!C42)/1000</f>
        <v>26708.940999999999</v>
      </c>
      <c r="D45" s="358">
        <f>+('Proyectos Inv'!C42)/1000</f>
        <v>26708.940999999999</v>
      </c>
      <c r="E45" s="358" t="e">
        <f>+(#REF!)/1000</f>
        <v>#REF!</v>
      </c>
      <c r="F45" s="358">
        <f>+('Proyectos Inv'!D42)/1000</f>
        <v>26708.940999999999</v>
      </c>
      <c r="G45" s="358">
        <f>+('Proyectos Inv'!F42)/1000</f>
        <v>24434.22637</v>
      </c>
      <c r="H45" s="358" t="e">
        <f>+E45-G45</f>
        <v>#REF!</v>
      </c>
      <c r="I45" s="382">
        <f t="shared" si="0"/>
        <v>91.483321521433595</v>
      </c>
    </row>
    <row r="46" spans="1:10" ht="14.25" customHeight="1">
      <c r="A46" s="359" t="s">
        <v>160</v>
      </c>
      <c r="B46" s="362"/>
      <c r="C46" s="358">
        <f>+('Proyectos Inv'!B43)/1000</f>
        <v>0</v>
      </c>
      <c r="D46" s="358">
        <v>0</v>
      </c>
      <c r="E46" s="358">
        <v>0</v>
      </c>
      <c r="F46" s="358">
        <v>0</v>
      </c>
      <c r="G46" s="358">
        <v>0</v>
      </c>
      <c r="H46" s="358">
        <f>+E46-G46</f>
        <v>0</v>
      </c>
      <c r="I46" s="382" t="s">
        <v>12</v>
      </c>
    </row>
    <row r="47" spans="1:10" ht="15" customHeight="1">
      <c r="A47" s="359" t="s">
        <v>161</v>
      </c>
      <c r="B47" s="362"/>
      <c r="C47" s="358">
        <f>+('Proyectos Inv'!B44)/1000</f>
        <v>0</v>
      </c>
      <c r="D47" s="358" t="s">
        <v>12</v>
      </c>
      <c r="E47" s="358" t="s">
        <v>12</v>
      </c>
      <c r="F47" s="358" t="s">
        <v>12</v>
      </c>
      <c r="G47" s="358" t="s">
        <v>12</v>
      </c>
      <c r="H47" s="358" t="s">
        <v>12</v>
      </c>
      <c r="I47" s="382" t="s">
        <v>12</v>
      </c>
    </row>
    <row r="48" spans="1:10" ht="15" customHeight="1">
      <c r="A48" s="359" t="s">
        <v>162</v>
      </c>
      <c r="B48" s="362"/>
      <c r="C48" s="362"/>
      <c r="D48" s="358">
        <v>0</v>
      </c>
      <c r="E48" s="358">
        <v>0</v>
      </c>
      <c r="F48" s="358">
        <v>0</v>
      </c>
      <c r="G48" s="358">
        <v>0</v>
      </c>
      <c r="H48" s="358">
        <f>+E48-G48</f>
        <v>0</v>
      </c>
      <c r="I48" s="382" t="s">
        <v>12</v>
      </c>
    </row>
    <row r="49" spans="1:9" ht="8.25" customHeight="1">
      <c r="A49" s="359"/>
      <c r="B49" s="362"/>
      <c r="C49" s="362"/>
      <c r="D49" s="358"/>
      <c r="E49" s="358"/>
      <c r="F49" s="358"/>
      <c r="G49" s="358"/>
      <c r="H49" s="358"/>
      <c r="I49" s="382" t="s">
        <v>12</v>
      </c>
    </row>
    <row r="50" spans="1:9" ht="18" customHeight="1">
      <c r="A50" s="352" t="s">
        <v>163</v>
      </c>
      <c r="B50" s="354">
        <f t="shared" ref="B50:H50" si="7">+B33+B43</f>
        <v>198000</v>
      </c>
      <c r="C50" s="354">
        <f t="shared" si="7"/>
        <v>167166.63399999999</v>
      </c>
      <c r="D50" s="354" t="e">
        <f t="shared" si="7"/>
        <v>#REF!</v>
      </c>
      <c r="E50" s="354" t="e">
        <f t="shared" si="7"/>
        <v>#REF!</v>
      </c>
      <c r="F50" s="354">
        <f t="shared" si="7"/>
        <v>134734.16500000001</v>
      </c>
      <c r="G50" s="354">
        <f t="shared" si="7"/>
        <v>114976.18592999999</v>
      </c>
      <c r="H50" s="354" t="e">
        <f t="shared" si="7"/>
        <v>#REF!</v>
      </c>
      <c r="I50" s="380">
        <f t="shared" si="0"/>
        <v>85.335583539631529</v>
      </c>
    </row>
    <row r="51" spans="1:9" ht="9" customHeight="1">
      <c r="A51" s="359"/>
      <c r="B51" s="359"/>
      <c r="C51" s="362"/>
      <c r="D51" s="358"/>
      <c r="E51" s="358"/>
      <c r="F51" s="358"/>
      <c r="G51" s="358"/>
      <c r="H51" s="358"/>
      <c r="I51" s="382" t="s">
        <v>12</v>
      </c>
    </row>
    <row r="52" spans="1:9" ht="21.75" customHeight="1">
      <c r="A52" s="364" t="s">
        <v>59</v>
      </c>
      <c r="B52" s="364"/>
      <c r="C52" s="365"/>
      <c r="D52" s="366" t="s">
        <v>12</v>
      </c>
      <c r="E52" s="366" t="e">
        <f>E29-E50</f>
        <v>#REF!</v>
      </c>
      <c r="F52" s="367" t="s">
        <v>12</v>
      </c>
      <c r="G52" s="368">
        <f>G29-G50</f>
        <v>-36697.5867</v>
      </c>
      <c r="H52" s="367" t="s">
        <v>12</v>
      </c>
      <c r="I52" s="383" t="s">
        <v>12</v>
      </c>
    </row>
    <row r="53" spans="1:9" ht="15" customHeight="1">
      <c r="A53" s="369"/>
      <c r="B53" s="6"/>
      <c r="C53" s="6"/>
      <c r="D53" s="369"/>
      <c r="E53" s="370"/>
      <c r="F53" s="370"/>
      <c r="G53" s="370"/>
      <c r="H53" s="371"/>
      <c r="I53" s="384"/>
    </row>
    <row r="54" spans="1:9" ht="15" customHeight="1">
      <c r="A54" s="600" t="s">
        <v>41</v>
      </c>
      <c r="B54" s="600"/>
      <c r="C54" s="172"/>
      <c r="D54" s="172"/>
      <c r="E54" s="6"/>
      <c r="F54" s="6" t="s">
        <v>12</v>
      </c>
      <c r="G54" s="6"/>
      <c r="H54" s="372"/>
      <c r="I54" s="3"/>
    </row>
    <row r="55" spans="1:9" ht="15" customHeight="1">
      <c r="A55" s="4" t="s">
        <v>12</v>
      </c>
      <c r="H55" s="373"/>
      <c r="I55" s="337"/>
    </row>
    <row r="56" spans="1:9" ht="15" customHeight="1">
      <c r="F56" s="374" t="s">
        <v>12</v>
      </c>
      <c r="G56" s="374"/>
      <c r="H56" s="373"/>
      <c r="I56" s="337"/>
    </row>
    <row r="57" spans="1:9" ht="15" customHeight="1">
      <c r="A57" s="375"/>
      <c r="B57" s="375"/>
      <c r="C57" s="375"/>
      <c r="D57" s="375"/>
      <c r="E57" s="376"/>
      <c r="F57" s="376"/>
      <c r="G57" s="376" t="s">
        <v>12</v>
      </c>
      <c r="H57" s="373"/>
      <c r="I57" s="337"/>
    </row>
    <row r="58" spans="1:9" ht="15" customHeight="1">
      <c r="A58" s="375"/>
      <c r="B58" s="375"/>
      <c r="C58" s="375"/>
      <c r="D58" s="375"/>
      <c r="E58" s="376"/>
      <c r="F58" s="376"/>
      <c r="G58" s="376"/>
      <c r="H58" s="373"/>
      <c r="I58" s="337"/>
    </row>
    <row r="59" spans="1:9" ht="15" customHeight="1">
      <c r="A59" s="375"/>
      <c r="B59" s="375"/>
      <c r="C59" s="375"/>
      <c r="D59" s="375"/>
      <c r="E59" s="376"/>
      <c r="F59" s="376"/>
      <c r="G59" s="376"/>
      <c r="H59" s="373"/>
      <c r="I59" s="337"/>
    </row>
    <row r="60" spans="1:9" ht="15" customHeight="1">
      <c r="A60" s="322"/>
      <c r="B60" s="322"/>
      <c r="C60" s="322"/>
      <c r="D60" s="322"/>
      <c r="E60" s="322"/>
      <c r="F60" s="322"/>
      <c r="H60" s="373"/>
      <c r="I60" s="337"/>
    </row>
    <row r="61" spans="1:9" ht="15" customHeight="1">
      <c r="A61" s="322"/>
      <c r="B61" s="322"/>
      <c r="C61" s="322"/>
      <c r="D61" s="322"/>
      <c r="E61" s="322"/>
      <c r="F61" s="322"/>
      <c r="I61" s="337"/>
    </row>
    <row r="62" spans="1:9" ht="15" customHeight="1">
      <c r="A62" s="322"/>
      <c r="B62" s="322"/>
      <c r="C62" s="322"/>
      <c r="D62" s="322"/>
      <c r="I62" s="337"/>
    </row>
    <row r="63" spans="1:9">
      <c r="A63" s="322"/>
      <c r="B63" s="322"/>
      <c r="C63" s="322"/>
      <c r="D63" s="322"/>
      <c r="I63" s="337"/>
    </row>
    <row r="64" spans="1:9">
      <c r="A64" s="322"/>
      <c r="B64" s="322"/>
      <c r="C64" s="322"/>
      <c r="D64" s="322"/>
      <c r="I64" s="337"/>
    </row>
    <row r="65" spans="1:9">
      <c r="A65" s="322"/>
      <c r="B65" s="322"/>
      <c r="C65" s="322"/>
      <c r="D65" s="322"/>
      <c r="I65" s="337"/>
    </row>
    <row r="66" spans="1:9" ht="15">
      <c r="A66" s="322"/>
      <c r="B66" s="322"/>
      <c r="C66" s="322"/>
      <c r="D66" s="322"/>
      <c r="E66" s="10"/>
      <c r="F66" s="10"/>
      <c r="G66" s="10"/>
      <c r="H66" s="385"/>
      <c r="I66" s="337"/>
    </row>
    <row r="67" spans="1:9" ht="15">
      <c r="A67" s="322"/>
      <c r="B67" s="322"/>
      <c r="C67" s="322"/>
      <c r="D67" s="322"/>
      <c r="E67" s="10"/>
      <c r="F67" s="10"/>
      <c r="G67" s="10"/>
      <c r="H67" s="385"/>
      <c r="I67" s="337"/>
    </row>
    <row r="68" spans="1:9">
      <c r="A68" s="322"/>
      <c r="B68" s="322"/>
      <c r="C68" s="322"/>
      <c r="D68" s="322"/>
      <c r="I68" s="337"/>
    </row>
    <row r="69" spans="1:9">
      <c r="I69" s="337"/>
    </row>
    <row r="70" spans="1:9">
      <c r="I70" s="337"/>
    </row>
    <row r="71" spans="1:9">
      <c r="I71" s="337"/>
    </row>
    <row r="72" spans="1:9">
      <c r="I72" s="337"/>
    </row>
    <row r="73" spans="1:9">
      <c r="I73" s="337"/>
    </row>
    <row r="74" spans="1:9">
      <c r="I74" s="337"/>
    </row>
    <row r="75" spans="1:9">
      <c r="I75" s="337"/>
    </row>
    <row r="76" spans="1:9">
      <c r="I76" s="337"/>
    </row>
    <row r="77" spans="1:9">
      <c r="I77" s="337"/>
    </row>
    <row r="78" spans="1:9">
      <c r="I78" s="337"/>
    </row>
    <row r="79" spans="1:9">
      <c r="I79" s="337"/>
    </row>
    <row r="80" spans="1:9">
      <c r="I80" s="337"/>
    </row>
    <row r="81" spans="9:9">
      <c r="I81" s="337"/>
    </row>
    <row r="82" spans="9:9">
      <c r="I82" s="337"/>
    </row>
    <row r="83" spans="9:9">
      <c r="I83" s="337"/>
    </row>
    <row r="84" spans="9:9">
      <c r="I84" s="337"/>
    </row>
    <row r="85" spans="9:9">
      <c r="I85" s="337"/>
    </row>
    <row r="86" spans="9:9">
      <c r="I86" s="337"/>
    </row>
    <row r="87" spans="9:9">
      <c r="I87" s="337"/>
    </row>
    <row r="88" spans="9:9">
      <c r="I88" s="337"/>
    </row>
  </sheetData>
  <mergeCells count="8">
    <mergeCell ref="A54:B54"/>
    <mergeCell ref="A7:A8"/>
    <mergeCell ref="I7:I8"/>
    <mergeCell ref="A1:I1"/>
    <mergeCell ref="A2:I2"/>
    <mergeCell ref="A3:I3"/>
    <mergeCell ref="A4:I4"/>
    <mergeCell ref="B7:G7"/>
  </mergeCells>
  <pageMargins left="1.14173228346457" right="0.86614173228346403" top="0.66929133858267698" bottom="0.59055118110236204" header="0.511811023622047" footer="0.511811023622047"/>
  <pageSetup scale="85" firstPageNumber="0" orientation="portrait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tabColor theme="2" tint="-0.499984740745262"/>
  </sheetPr>
  <dimension ref="A1:Q181"/>
  <sheetViews>
    <sheetView showGridLines="0" showZeros="0" workbookViewId="0">
      <selection activeCell="P11" sqref="P11"/>
    </sheetView>
  </sheetViews>
  <sheetFormatPr baseColWidth="10" defaultColWidth="11.42578125" defaultRowHeight="12.75"/>
  <cols>
    <col min="1" max="1" width="35.28515625" style="4" customWidth="1"/>
    <col min="2" max="2" width="13" style="4" customWidth="1"/>
    <col min="3" max="3" width="13.5703125" style="4" customWidth="1"/>
    <col min="4" max="4" width="12.28515625" style="4" customWidth="1"/>
    <col min="5" max="5" width="14" style="4" hidden="1" customWidth="1"/>
    <col min="6" max="6" width="14.140625" style="4" customWidth="1"/>
    <col min="7" max="7" width="14.42578125" style="4" customWidth="1"/>
    <col min="8" max="8" width="12.28515625" style="4" customWidth="1"/>
    <col min="9" max="9" width="12.42578125" style="4" customWidth="1"/>
    <col min="10" max="10" width="1.140625" style="4" hidden="1" customWidth="1"/>
    <col min="11" max="11" width="13.28515625" style="4" customWidth="1"/>
    <col min="12" max="12" width="19.5703125" hidden="1" customWidth="1"/>
    <col min="13" max="13" width="13.5703125" customWidth="1"/>
  </cols>
  <sheetData>
    <row r="1" spans="1:14" ht="12" customHeight="1">
      <c r="A1" s="290"/>
      <c r="B1" s="290"/>
      <c r="C1" s="290"/>
      <c r="D1" s="291"/>
      <c r="E1" s="291"/>
      <c r="F1" s="292"/>
      <c r="G1" s="292"/>
      <c r="H1" s="292"/>
      <c r="I1" s="292"/>
      <c r="J1" s="292"/>
      <c r="K1" s="292"/>
    </row>
    <row r="2" spans="1:14" ht="18" customHeight="1">
      <c r="A2" s="605" t="s">
        <v>60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</row>
    <row r="3" spans="1:14" ht="15.75" customHeight="1">
      <c r="A3" s="605" t="s">
        <v>61</v>
      </c>
      <c r="B3" s="605"/>
      <c r="C3" s="605"/>
      <c r="D3" s="605"/>
      <c r="E3" s="605"/>
      <c r="F3" s="605"/>
      <c r="G3" s="605"/>
      <c r="H3" s="605"/>
      <c r="I3" s="605"/>
      <c r="J3" s="605"/>
      <c r="K3" s="605"/>
    </row>
    <row r="4" spans="1:14" ht="15">
      <c r="A4" s="606" t="s">
        <v>164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</row>
    <row r="5" spans="1:14" ht="15">
      <c r="A5" s="606" t="s">
        <v>63</v>
      </c>
      <c r="B5" s="606"/>
      <c r="C5" s="606"/>
      <c r="D5" s="606"/>
      <c r="E5" s="606"/>
      <c r="F5" s="606"/>
      <c r="G5" s="606"/>
      <c r="H5" s="606"/>
      <c r="I5" s="606"/>
      <c r="J5" s="606"/>
      <c r="K5" s="606"/>
    </row>
    <row r="6" spans="1:14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645" t="s">
        <v>0</v>
      </c>
      <c r="B7" s="650" t="s">
        <v>165</v>
      </c>
      <c r="C7" s="651"/>
      <c r="D7" s="651"/>
      <c r="E7" s="651"/>
      <c r="F7" s="651"/>
      <c r="G7" s="651"/>
      <c r="H7" s="652"/>
      <c r="I7" s="647" t="s">
        <v>42</v>
      </c>
      <c r="J7" s="645"/>
      <c r="K7" s="647" t="s">
        <v>43</v>
      </c>
      <c r="L7" t="s">
        <v>12</v>
      </c>
    </row>
    <row r="8" spans="1:14" ht="31.5" customHeight="1">
      <c r="A8" s="646"/>
      <c r="B8" s="82" t="s">
        <v>2</v>
      </c>
      <c r="C8" s="82" t="s">
        <v>3</v>
      </c>
      <c r="D8" s="86" t="s">
        <v>25</v>
      </c>
      <c r="E8" s="293" t="s">
        <v>67</v>
      </c>
      <c r="F8" s="294" t="s">
        <v>44</v>
      </c>
      <c r="G8" s="295" t="s">
        <v>48</v>
      </c>
      <c r="H8" s="295" t="s">
        <v>45</v>
      </c>
      <c r="I8" s="648"/>
      <c r="J8" s="649"/>
      <c r="K8" s="648"/>
      <c r="L8" t="s">
        <v>68</v>
      </c>
      <c r="M8" t="s">
        <v>12</v>
      </c>
    </row>
    <row r="9" spans="1:14" ht="24.75" customHeight="1">
      <c r="A9" s="296" t="s">
        <v>166</v>
      </c>
      <c r="B9" s="297">
        <f>+B11+B36</f>
        <v>198000000</v>
      </c>
      <c r="C9" s="298">
        <f>+C11+C36</f>
        <v>167166634</v>
      </c>
      <c r="D9" s="298">
        <f>++D11+D36</f>
        <v>134734165</v>
      </c>
      <c r="E9" s="298">
        <f>+E11+E36</f>
        <v>8122167.9899999984</v>
      </c>
      <c r="F9" s="298">
        <f>+F11+F36</f>
        <v>114976185.92999999</v>
      </c>
      <c r="G9" s="298">
        <f>+G11+G36</f>
        <v>89685663.730000004</v>
      </c>
      <c r="H9" s="298">
        <f>++H11+H36</f>
        <v>90913296.179999992</v>
      </c>
      <c r="I9" s="298">
        <f>+D9-F9</f>
        <v>19757979.070000008</v>
      </c>
      <c r="J9" s="298" t="e">
        <f>+#REF!-F9</f>
        <v>#REF!</v>
      </c>
      <c r="K9" s="324">
        <f>+F9/D9*100</f>
        <v>85.335583539631529</v>
      </c>
      <c r="L9">
        <v>84817701.783999994</v>
      </c>
    </row>
    <row r="10" spans="1:14" ht="11.1" customHeight="1">
      <c r="A10" s="296"/>
      <c r="B10" s="297"/>
      <c r="C10" s="298"/>
      <c r="D10" s="298"/>
      <c r="E10" s="298"/>
      <c r="F10" s="298" t="s">
        <v>12</v>
      </c>
      <c r="G10" s="298"/>
      <c r="H10" s="298" t="s">
        <v>12</v>
      </c>
      <c r="I10" s="298" t="s">
        <v>12</v>
      </c>
      <c r="J10" s="298" t="s">
        <v>12</v>
      </c>
      <c r="K10" s="324" t="s">
        <v>12</v>
      </c>
      <c r="L10" t="s">
        <v>12</v>
      </c>
    </row>
    <row r="11" spans="1:14" ht="15">
      <c r="A11" s="296" t="s">
        <v>167</v>
      </c>
      <c r="B11" s="297">
        <f>+B13+B20+B34</f>
        <v>141094806</v>
      </c>
      <c r="C11" s="298">
        <f>+C13+C20+C34</f>
        <v>140457693</v>
      </c>
      <c r="D11" s="299">
        <f>+D13+D20</f>
        <v>108025224</v>
      </c>
      <c r="E11" s="299">
        <f>+E20+E13</f>
        <v>9313247.6499999985</v>
      </c>
      <c r="F11" s="299">
        <f>+F20+F13</f>
        <v>90541959.559999987</v>
      </c>
      <c r="G11" s="299">
        <f>+G20+G13</f>
        <v>78175898.939999998</v>
      </c>
      <c r="H11" s="299">
        <f>+H20+H13+H34</f>
        <v>84153052.159999996</v>
      </c>
      <c r="I11" s="299">
        <f>+D11-F11</f>
        <v>17483264.440000013</v>
      </c>
      <c r="J11" s="299" t="e">
        <f>+#REF!-F11</f>
        <v>#REF!</v>
      </c>
      <c r="K11" s="325">
        <f>+F11/D11*100</f>
        <v>83.815572148223453</v>
      </c>
      <c r="L11">
        <v>71948551.653999999</v>
      </c>
      <c r="N11" t="s">
        <v>12</v>
      </c>
    </row>
    <row r="12" spans="1:14" ht="10.35" customHeight="1">
      <c r="A12" s="296"/>
      <c r="B12" s="297"/>
      <c r="C12" s="298"/>
      <c r="D12" s="298"/>
      <c r="E12" s="298"/>
      <c r="F12" s="298" t="s">
        <v>12</v>
      </c>
      <c r="G12" s="298"/>
      <c r="H12" s="298"/>
      <c r="I12" s="298"/>
      <c r="J12" s="298" t="s">
        <v>12</v>
      </c>
      <c r="K12" s="324"/>
      <c r="L12" t="s">
        <v>12</v>
      </c>
    </row>
    <row r="13" spans="1:14" ht="18" customHeight="1">
      <c r="A13" s="296" t="s">
        <v>168</v>
      </c>
      <c r="B13" s="297">
        <f t="shared" ref="B13:H13" si="0">SUM(B15:B18)</f>
        <v>138843212</v>
      </c>
      <c r="C13" s="298">
        <f t="shared" si="0"/>
        <v>136424252</v>
      </c>
      <c r="D13" s="298">
        <f t="shared" si="0"/>
        <v>104021324</v>
      </c>
      <c r="E13" s="298">
        <f t="shared" si="0"/>
        <v>9115127.879999999</v>
      </c>
      <c r="F13" s="298">
        <f t="shared" si="0"/>
        <v>88652251.419999987</v>
      </c>
      <c r="G13" s="298">
        <f t="shared" si="0"/>
        <v>76389625.519999996</v>
      </c>
      <c r="H13" s="298">
        <f t="shared" si="0"/>
        <v>82382803.319999993</v>
      </c>
      <c r="I13" s="298">
        <f>+D13-F13</f>
        <v>15369072.580000013</v>
      </c>
      <c r="J13" s="298" t="e">
        <f>+#REF!-F13</f>
        <v>#REF!</v>
      </c>
      <c r="K13" s="324">
        <f>+F13/D13*100</f>
        <v>85.225075024040251</v>
      </c>
      <c r="L13">
        <v>71049250.593999997</v>
      </c>
      <c r="M13" s="1" t="s">
        <v>12</v>
      </c>
    </row>
    <row r="14" spans="1:14" ht="11.1" customHeight="1">
      <c r="A14" s="296"/>
      <c r="B14" s="297"/>
      <c r="C14" s="298"/>
      <c r="D14" s="298"/>
      <c r="E14" s="298"/>
      <c r="F14" s="298" t="s">
        <v>12</v>
      </c>
      <c r="G14" s="298"/>
      <c r="H14" s="298"/>
      <c r="I14" s="298"/>
      <c r="J14" s="298"/>
      <c r="K14" s="324"/>
      <c r="L14" t="s">
        <v>12</v>
      </c>
    </row>
    <row r="15" spans="1:14" ht="20.100000000000001" customHeight="1">
      <c r="A15" s="300" t="s">
        <v>169</v>
      </c>
      <c r="B15" s="301">
        <f>+'Funcionamiento '!C11</f>
        <v>125299729</v>
      </c>
      <c r="C15" s="301">
        <f>+'Funcionamiento '!D11</f>
        <v>122980084</v>
      </c>
      <c r="D15" s="301">
        <f>+'Funcionamiento '!E11</f>
        <v>91027312</v>
      </c>
      <c r="E15" s="301">
        <f>+'Funcionamiento '!F11</f>
        <v>8606889.75</v>
      </c>
      <c r="F15" s="301">
        <f>+'Funcionamiento '!G11</f>
        <v>79528977.139999986</v>
      </c>
      <c r="G15" s="301">
        <f>+'Funcionamiento '!H11</f>
        <v>69117102.290000007</v>
      </c>
      <c r="H15" s="301">
        <f>+'Funcionamiento '!I11</f>
        <v>76248810.170000002</v>
      </c>
      <c r="I15" s="301">
        <f>+D15-F15</f>
        <v>11498334.860000014</v>
      </c>
      <c r="J15" s="301" t="e">
        <f>+#REF!-F15</f>
        <v>#REF!</v>
      </c>
      <c r="K15" s="326">
        <f>+F15/D15*100</f>
        <v>87.368258375024837</v>
      </c>
      <c r="L15">
        <v>67328817.609999999</v>
      </c>
    </row>
    <row r="16" spans="1:14" ht="20.100000000000001" customHeight="1">
      <c r="A16" s="300" t="s">
        <v>170</v>
      </c>
      <c r="B16" s="301">
        <f>+'Funcionamiento '!C37</f>
        <v>7293008</v>
      </c>
      <c r="C16" s="301">
        <f>+'Funcionamiento '!D37</f>
        <v>7180373</v>
      </c>
      <c r="D16" s="301">
        <f>+'Funcionamiento '!E37</f>
        <v>6730217</v>
      </c>
      <c r="E16" s="301">
        <f>+'Funcionamiento '!F37</f>
        <v>377920.61999999994</v>
      </c>
      <c r="F16" s="301">
        <f>+'Funcionamiento '!G37</f>
        <v>4875741.3599999994</v>
      </c>
      <c r="G16" s="301">
        <f>+'Funcionamiento '!H37</f>
        <v>4052580.39</v>
      </c>
      <c r="H16" s="301">
        <f>+'Funcionamiento '!I37</f>
        <v>3545271.7399999998</v>
      </c>
      <c r="I16" s="301">
        <f>+D16-F16</f>
        <v>1854475.6400000006</v>
      </c>
      <c r="J16" s="301" t="e">
        <f>+#REF!-F16</f>
        <v>#REF!</v>
      </c>
      <c r="K16" s="326">
        <f>+F16/D16*100</f>
        <v>72.445529765236387</v>
      </c>
      <c r="L16">
        <v>2361674.91</v>
      </c>
    </row>
    <row r="17" spans="1:16" ht="20.100000000000001" customHeight="1">
      <c r="A17" s="300" t="s">
        <v>171</v>
      </c>
      <c r="B17" s="301">
        <f>+'Funcionamiento '!C94</f>
        <v>3042561</v>
      </c>
      <c r="C17" s="301">
        <f>+'Funcionamiento '!D94</f>
        <v>3968755</v>
      </c>
      <c r="D17" s="301">
        <f>+'Funcionamiento '!E94</f>
        <v>3968755</v>
      </c>
      <c r="E17" s="301">
        <f>+'Funcionamiento '!F94</f>
        <v>97498.199999999983</v>
      </c>
      <c r="F17" s="301">
        <f>+'Funcionamiento '!G94</f>
        <v>2867424.3400000003</v>
      </c>
      <c r="G17" s="301">
        <f>+'Funcionamiento '!H94</f>
        <v>2124717.6300000004</v>
      </c>
      <c r="H17" s="302">
        <f>+'Funcionamiento '!I94</f>
        <v>1795090.1600000001</v>
      </c>
      <c r="I17" s="301">
        <f>+D17-F17</f>
        <v>1101330.6599999997</v>
      </c>
      <c r="J17" s="301" t="e">
        <f>+#REF!-F17</f>
        <v>#REF!</v>
      </c>
      <c r="K17" s="326">
        <f>+F17/D17*100</f>
        <v>72.249971086650618</v>
      </c>
      <c r="L17">
        <v>1178096.594</v>
      </c>
      <c r="N17" t="s">
        <v>12</v>
      </c>
    </row>
    <row r="18" spans="1:16" ht="20.100000000000001" customHeight="1">
      <c r="A18" s="300" t="s">
        <v>172</v>
      </c>
      <c r="B18" s="301">
        <f>+'Funcionamiento '!C154</f>
        <v>3207914</v>
      </c>
      <c r="C18" s="301">
        <f>+'Funcionamiento '!D154</f>
        <v>2295040</v>
      </c>
      <c r="D18" s="301">
        <f>+'Funcionamiento '!E154</f>
        <v>2295040</v>
      </c>
      <c r="E18" s="301">
        <f>+'Funcionamiento '!F154</f>
        <v>32819.31</v>
      </c>
      <c r="F18" s="301">
        <f>+'Funcionamiento '!G154</f>
        <v>1380108.58</v>
      </c>
      <c r="G18" s="301">
        <f>+'Funcionamiento '!H154</f>
        <v>1095225.2100000002</v>
      </c>
      <c r="H18" s="301">
        <f>+'Funcionamiento '!I154</f>
        <v>793631.25</v>
      </c>
      <c r="I18" s="301">
        <f>+D18-F18</f>
        <v>914931.41999999993</v>
      </c>
      <c r="J18" s="301" t="e">
        <f>+#REF!-F18</f>
        <v>#REF!</v>
      </c>
      <c r="K18" s="326">
        <f>+F18/D18*100</f>
        <v>60.134402014779695</v>
      </c>
      <c r="L18">
        <v>105848.37</v>
      </c>
    </row>
    <row r="19" spans="1:16" ht="9.75" customHeight="1">
      <c r="A19" s="296"/>
      <c r="B19" s="297"/>
      <c r="C19" s="298"/>
      <c r="D19" s="298"/>
      <c r="E19" s="298" t="s">
        <v>12</v>
      </c>
      <c r="F19" s="298" t="s">
        <v>12</v>
      </c>
      <c r="G19" s="298" t="s">
        <v>12</v>
      </c>
      <c r="H19" s="298"/>
      <c r="I19" s="298"/>
      <c r="J19" s="298"/>
      <c r="K19" s="324" t="s">
        <v>12</v>
      </c>
      <c r="L19" t="s">
        <v>12</v>
      </c>
    </row>
    <row r="20" spans="1:16" ht="18" customHeight="1">
      <c r="A20" s="296" t="s">
        <v>173</v>
      </c>
      <c r="B20" s="298">
        <f>+'Funcionamiento '!C159</f>
        <v>2251594</v>
      </c>
      <c r="C20" s="298">
        <f>+'Funcionamiento '!D159</f>
        <v>4033441</v>
      </c>
      <c r="D20" s="298">
        <f>+'Funcionamiento '!E159</f>
        <v>4003900</v>
      </c>
      <c r="E20" s="298">
        <f>+'Funcionamiento '!F159</f>
        <v>198119.77</v>
      </c>
      <c r="F20" s="303">
        <f>+'Funcionamiento '!G159</f>
        <v>1889708.1400000001</v>
      </c>
      <c r="G20" s="298">
        <f>+'Funcionamiento '!H159</f>
        <v>1786273.4200000002</v>
      </c>
      <c r="H20" s="298">
        <f>+'Funcionamiento '!I159</f>
        <v>1770248.8400000003</v>
      </c>
      <c r="I20" s="298">
        <f>+D20-F20</f>
        <v>2114191.86</v>
      </c>
      <c r="J20" s="298" t="e">
        <f>+#REF!-F20</f>
        <v>#REF!</v>
      </c>
      <c r="K20" s="324">
        <f>+F20/D20*100</f>
        <v>47.196686730437825</v>
      </c>
      <c r="L20">
        <v>899301.06</v>
      </c>
      <c r="P20" s="1" t="s">
        <v>12</v>
      </c>
    </row>
    <row r="21" spans="1:16" ht="12.75" customHeight="1">
      <c r="A21" s="296" t="s">
        <v>174</v>
      </c>
      <c r="B21" s="297"/>
      <c r="C21" s="298"/>
      <c r="D21" s="298"/>
      <c r="E21" s="298" t="s">
        <v>12</v>
      </c>
      <c r="F21" s="298" t="s">
        <v>12</v>
      </c>
      <c r="G21" s="298" t="s">
        <v>12</v>
      </c>
      <c r="H21" s="298"/>
      <c r="I21" s="298"/>
      <c r="J21" s="298"/>
      <c r="K21" s="324" t="s">
        <v>12</v>
      </c>
      <c r="L21" t="s">
        <v>12</v>
      </c>
    </row>
    <row r="22" spans="1:16" ht="18" customHeight="1">
      <c r="A22" s="296" t="s">
        <v>175</v>
      </c>
      <c r="B22" s="297">
        <f>+B28</f>
        <v>1964594</v>
      </c>
      <c r="C22" s="298">
        <f>SUM(C28)</f>
        <v>3898361</v>
      </c>
      <c r="D22" s="298">
        <f t="shared" ref="D22:H22" si="1">SUM(D28)</f>
        <v>3709554</v>
      </c>
      <c r="E22" s="298">
        <f t="shared" si="1"/>
        <v>195119.77</v>
      </c>
      <c r="F22" s="298">
        <f t="shared" si="1"/>
        <v>195119.77</v>
      </c>
      <c r="G22" s="298">
        <f t="shared" ref="G22" si="2">SUM(G28)</f>
        <v>1785373.4200000002</v>
      </c>
      <c r="H22" s="298">
        <f t="shared" si="1"/>
        <v>1769348.8400000003</v>
      </c>
      <c r="I22" s="298">
        <f>+D22-F22</f>
        <v>3514434.23</v>
      </c>
      <c r="J22" s="298" t="e">
        <f>+#REF!-F22</f>
        <v>#REF!</v>
      </c>
      <c r="K22" s="324">
        <f>+F22/D22*100</f>
        <v>5.2599253171675082</v>
      </c>
      <c r="L22">
        <v>59671.519999999997</v>
      </c>
    </row>
    <row r="23" spans="1:16" ht="12.75" hidden="1" customHeight="1">
      <c r="A23" s="296" t="s">
        <v>176</v>
      </c>
      <c r="B23" s="297"/>
      <c r="C23" s="298"/>
      <c r="D23" s="298" t="s">
        <v>12</v>
      </c>
      <c r="E23" s="298">
        <f ca="1">+F23-L23</f>
        <v>134579</v>
      </c>
      <c r="F23" s="298">
        <f t="shared" ref="F23:F35" ca="1" si="3">+E23+L23</f>
        <v>1231</v>
      </c>
      <c r="G23" s="298">
        <f>+H23-N23</f>
        <v>0</v>
      </c>
      <c r="H23" s="298"/>
      <c r="I23" s="298"/>
      <c r="J23" s="298"/>
      <c r="K23" s="324" t="s">
        <v>12</v>
      </c>
      <c r="L23">
        <v>1231</v>
      </c>
    </row>
    <row r="24" spans="1:16" ht="12.75" hidden="1" customHeight="1">
      <c r="A24" s="296" t="s">
        <v>177</v>
      </c>
      <c r="B24" s="297"/>
      <c r="C24" s="298"/>
      <c r="D24" s="298"/>
      <c r="E24" s="298">
        <f ca="1">+F24-L24</f>
        <v>134579</v>
      </c>
      <c r="F24" s="298">
        <f t="shared" ca="1" si="3"/>
        <v>1231</v>
      </c>
      <c r="G24" s="298">
        <f>+H24-N24</f>
        <v>0</v>
      </c>
      <c r="H24" s="298"/>
      <c r="I24" s="298"/>
      <c r="J24" s="298"/>
      <c r="K24" s="324" t="s">
        <v>12</v>
      </c>
      <c r="L24">
        <v>1231</v>
      </c>
    </row>
    <row r="25" spans="1:16" ht="12.75" hidden="1" customHeight="1">
      <c r="A25" s="296" t="s">
        <v>178</v>
      </c>
      <c r="B25" s="297"/>
      <c r="C25" s="298"/>
      <c r="D25" s="298"/>
      <c r="E25" s="298">
        <f ca="1">+F25-L25</f>
        <v>134579</v>
      </c>
      <c r="F25" s="298">
        <f t="shared" ca="1" si="3"/>
        <v>1231</v>
      </c>
      <c r="G25" s="298">
        <f>+H25-N25</f>
        <v>0</v>
      </c>
      <c r="H25" s="298"/>
      <c r="I25" s="298"/>
      <c r="J25" s="298"/>
      <c r="K25" s="324" t="s">
        <v>12</v>
      </c>
      <c r="L25">
        <v>1231</v>
      </c>
    </row>
    <row r="26" spans="1:16" ht="12.75" hidden="1" customHeight="1">
      <c r="A26" s="296" t="s">
        <v>179</v>
      </c>
      <c r="B26" s="297"/>
      <c r="C26" s="298"/>
      <c r="D26" s="298"/>
      <c r="E26" s="298">
        <f ca="1">+F26-L26</f>
        <v>134579</v>
      </c>
      <c r="F26" s="298">
        <f t="shared" ca="1" si="3"/>
        <v>1231</v>
      </c>
      <c r="G26" s="298">
        <f>+H26-N26</f>
        <v>0</v>
      </c>
      <c r="H26" s="298"/>
      <c r="I26" s="298"/>
      <c r="J26" s="298"/>
      <c r="K26" s="324" t="s">
        <v>12</v>
      </c>
      <c r="L26">
        <v>1231</v>
      </c>
    </row>
    <row r="27" spans="1:16" ht="12.75" customHeight="1">
      <c r="A27" s="296"/>
      <c r="B27" s="297"/>
      <c r="C27" s="298"/>
      <c r="D27" s="298"/>
      <c r="E27" s="298"/>
      <c r="F27" s="298"/>
      <c r="G27" s="298"/>
      <c r="H27" s="298"/>
      <c r="I27" s="298"/>
      <c r="J27" s="298"/>
      <c r="K27" s="324"/>
    </row>
    <row r="28" spans="1:16" ht="18" customHeight="1">
      <c r="A28" s="300" t="s">
        <v>180</v>
      </c>
      <c r="B28" s="301">
        <f>+'Funcionamiento '!C160+'Funcionamiento '!C162++'Funcionamiento '!C168+'Funcionamiento '!C172</f>
        <v>1964594</v>
      </c>
      <c r="C28" s="301">
        <f>+'Funcionamiento '!D160+'Funcionamiento '!D162++'Funcionamiento '!D168+'Funcionamiento '!D172</f>
        <v>3898361</v>
      </c>
      <c r="D28" s="301">
        <f>+'Funcionamiento '!E160+'Funcionamiento '!E162++'Funcionamiento '!E168</f>
        <v>3709554</v>
      </c>
      <c r="E28" s="301">
        <f>+'Funcionamiento '!F160+'Funcionamiento '!F162++'Funcionamiento '!F168</f>
        <v>195119.77</v>
      </c>
      <c r="F28" s="301">
        <f>+'Funcionamiento '!F160+'Funcionamiento '!F162++'Funcionamiento '!F168</f>
        <v>195119.77</v>
      </c>
      <c r="G28" s="301">
        <f>+'Funcionamiento '!H160+'Funcionamiento '!H162++'Funcionamiento '!H168</f>
        <v>1785373.4200000002</v>
      </c>
      <c r="H28" s="301">
        <f>+'Funcionamiento '!I160+'Funcionamiento '!I162++'Funcionamiento '!I168</f>
        <v>1769348.8400000003</v>
      </c>
      <c r="I28" s="301">
        <f>+I22</f>
        <v>3514434.23</v>
      </c>
      <c r="J28" s="301" t="e">
        <f>+J22</f>
        <v>#REF!</v>
      </c>
      <c r="K28" s="326">
        <f>+F28/D28*100</f>
        <v>5.2599253171675082</v>
      </c>
      <c r="L28">
        <v>59671.519999999997</v>
      </c>
    </row>
    <row r="29" spans="1:16" ht="18" customHeight="1">
      <c r="A29" s="300" t="s">
        <v>181</v>
      </c>
      <c r="B29" s="304"/>
      <c r="C29" s="301"/>
      <c r="D29" s="301" t="s">
        <v>12</v>
      </c>
      <c r="E29" s="301" t="s">
        <v>12</v>
      </c>
      <c r="F29" s="301" t="s">
        <v>12</v>
      </c>
      <c r="G29" s="301" t="s">
        <v>12</v>
      </c>
      <c r="H29" s="301"/>
      <c r="I29" s="301"/>
      <c r="J29" s="301"/>
      <c r="K29" s="326" t="s">
        <v>12</v>
      </c>
      <c r="L29" t="s">
        <v>12</v>
      </c>
    </row>
    <row r="30" spans="1:16" ht="18" customHeight="1">
      <c r="A30" s="300" t="s">
        <v>182</v>
      </c>
      <c r="B30" s="304"/>
      <c r="C30" s="301"/>
      <c r="D30" s="301" t="s">
        <v>12</v>
      </c>
      <c r="E30" s="301"/>
      <c r="F30" s="301">
        <f t="shared" si="3"/>
        <v>0</v>
      </c>
      <c r="G30" s="301"/>
      <c r="H30" s="301"/>
      <c r="I30" s="301"/>
      <c r="J30" s="301"/>
      <c r="K30" s="326" t="s">
        <v>12</v>
      </c>
      <c r="L30">
        <v>0</v>
      </c>
    </row>
    <row r="31" spans="1:16" ht="9" customHeight="1">
      <c r="A31" s="300"/>
      <c r="B31" s="304"/>
      <c r="C31" s="301"/>
      <c r="D31" s="301"/>
      <c r="E31" s="301"/>
      <c r="F31" s="301"/>
      <c r="G31" s="301"/>
      <c r="H31" s="301"/>
      <c r="I31" s="301"/>
      <c r="J31" s="301"/>
      <c r="K31" s="326"/>
    </row>
    <row r="32" spans="1:16" ht="22.5" customHeight="1">
      <c r="A32" s="305" t="s">
        <v>183</v>
      </c>
      <c r="B32" s="306">
        <f>+'Funcionamiento '!C174</f>
        <v>287000</v>
      </c>
      <c r="C32" s="306">
        <f>+'Funcionamiento '!D174</f>
        <v>93500</v>
      </c>
      <c r="D32" s="306">
        <f>+'Funcionamiento '!E174</f>
        <v>93500</v>
      </c>
      <c r="E32" s="306">
        <f>+'Funcionamiento '!F174</f>
        <v>3000</v>
      </c>
      <c r="F32" s="306">
        <f>+'Funcionamiento '!G174</f>
        <v>25424.21</v>
      </c>
      <c r="G32" s="306">
        <f>+'Funcionamiento '!H174</f>
        <v>900</v>
      </c>
      <c r="H32" s="306">
        <f>+'Funcionamiento '!I163+'Funcionamiento '!I165++'Funcionamiento '!I174</f>
        <v>900</v>
      </c>
      <c r="I32" s="306">
        <f>+D32-F32</f>
        <v>68075.790000000008</v>
      </c>
      <c r="J32" s="306" t="e">
        <f>+#REF!-F32</f>
        <v>#REF!</v>
      </c>
      <c r="K32" s="327">
        <f>+F32/D32*100</f>
        <v>27.191668449197859</v>
      </c>
      <c r="L32">
        <v>5963.56</v>
      </c>
    </row>
    <row r="33" spans="1:17" ht="12.6" customHeight="1">
      <c r="A33" s="296"/>
      <c r="B33" s="297"/>
      <c r="C33" s="298"/>
      <c r="D33" s="298"/>
      <c r="E33" s="298"/>
      <c r="F33" s="298"/>
      <c r="G33" s="298"/>
      <c r="H33" s="298"/>
      <c r="I33" s="298"/>
      <c r="J33" s="298"/>
      <c r="K33" s="324"/>
    </row>
    <row r="34" spans="1:17" ht="15.75" customHeight="1">
      <c r="A34" s="296" t="s">
        <v>12</v>
      </c>
      <c r="B34" s="297"/>
      <c r="C34" s="298"/>
      <c r="D34" s="298" t="s">
        <v>12</v>
      </c>
      <c r="E34" s="298" t="s">
        <v>12</v>
      </c>
      <c r="F34" s="298" t="s">
        <v>12</v>
      </c>
      <c r="G34" s="298" t="s">
        <v>12</v>
      </c>
      <c r="H34" s="298">
        <v>0</v>
      </c>
      <c r="I34" s="298" t="s">
        <v>12</v>
      </c>
      <c r="J34" s="298" t="s">
        <v>12</v>
      </c>
      <c r="K34" s="324">
        <v>0</v>
      </c>
      <c r="L34" t="s">
        <v>12</v>
      </c>
    </row>
    <row r="35" spans="1:17" ht="7.9" customHeight="1">
      <c r="A35" s="296" t="s">
        <v>12</v>
      </c>
      <c r="B35" s="297"/>
      <c r="C35" s="298"/>
      <c r="D35" s="298"/>
      <c r="E35" s="298"/>
      <c r="F35" s="298">
        <f t="shared" si="3"/>
        <v>0</v>
      </c>
      <c r="G35" s="298"/>
      <c r="H35" s="298"/>
      <c r="I35" s="298" t="s">
        <v>12</v>
      </c>
      <c r="J35" s="298" t="s">
        <v>12</v>
      </c>
      <c r="K35" s="324" t="s">
        <v>12</v>
      </c>
      <c r="L35">
        <v>0</v>
      </c>
    </row>
    <row r="36" spans="1:17" ht="15">
      <c r="A36" s="307" t="s">
        <v>184</v>
      </c>
      <c r="B36" s="299">
        <f>+B39</f>
        <v>56905194</v>
      </c>
      <c r="C36" s="299">
        <f>+C39+C45</f>
        <v>26708941</v>
      </c>
      <c r="D36" s="299">
        <f>+D45+D39</f>
        <v>26708941</v>
      </c>
      <c r="E36" s="299">
        <f>+E39+E45</f>
        <v>-1191079.6599999999</v>
      </c>
      <c r="F36" s="299">
        <f>+F39</f>
        <v>24434226.370000001</v>
      </c>
      <c r="G36" s="299">
        <f>+G39+G45</f>
        <v>11509764.790000001</v>
      </c>
      <c r="H36" s="299">
        <f>+H45+H39</f>
        <v>6760244.0199999996</v>
      </c>
      <c r="I36" s="299">
        <f>+D36-F36</f>
        <v>2274714.629999999</v>
      </c>
      <c r="J36" s="299" t="e">
        <f>+#REF!-F36</f>
        <v>#REF!</v>
      </c>
      <c r="K36" s="325">
        <f>+F36/D36*100</f>
        <v>91.483321521433595</v>
      </c>
      <c r="L36" s="328">
        <f>12869150.13-1</f>
        <v>12869149.130000001</v>
      </c>
    </row>
    <row r="37" spans="1:17" ht="4.5" customHeight="1">
      <c r="A37" s="296"/>
      <c r="B37" s="297"/>
      <c r="C37" s="298"/>
      <c r="D37" s="308" t="s">
        <v>12</v>
      </c>
      <c r="E37" s="298" t="s">
        <v>12</v>
      </c>
      <c r="F37" s="298" t="s">
        <v>12</v>
      </c>
      <c r="G37" s="298" t="s">
        <v>12</v>
      </c>
      <c r="H37" s="298"/>
      <c r="I37" s="298"/>
      <c r="J37" s="298"/>
      <c r="K37" s="324" t="s">
        <v>12</v>
      </c>
      <c r="L37" t="s">
        <v>12</v>
      </c>
    </row>
    <row r="38" spans="1:17" ht="15.75" customHeight="1">
      <c r="A38" s="296"/>
      <c r="B38" s="297"/>
      <c r="C38" s="298"/>
      <c r="D38" s="308"/>
      <c r="E38" s="298"/>
      <c r="F38" s="298"/>
      <c r="G38" s="298"/>
      <c r="H38" s="298"/>
      <c r="I38" s="298"/>
      <c r="J38" s="298"/>
      <c r="K38" s="324"/>
    </row>
    <row r="39" spans="1:17" ht="13.5">
      <c r="A39" s="296" t="s">
        <v>185</v>
      </c>
      <c r="B39" s="297">
        <f>+B41+B42+B43</f>
        <v>56905194</v>
      </c>
      <c r="C39" s="298">
        <f t="shared" ref="C39:H39" si="4">+C41+C42+C43</f>
        <v>26708941</v>
      </c>
      <c r="D39" s="298">
        <f t="shared" si="4"/>
        <v>26708941</v>
      </c>
      <c r="E39" s="298">
        <f t="shared" si="4"/>
        <v>-1191079.6599999999</v>
      </c>
      <c r="F39" s="298">
        <f t="shared" si="4"/>
        <v>24434226.370000001</v>
      </c>
      <c r="G39" s="298">
        <f t="shared" si="4"/>
        <v>11509764.790000001</v>
      </c>
      <c r="H39" s="298">
        <f t="shared" si="4"/>
        <v>6760244.0199999996</v>
      </c>
      <c r="I39" s="298">
        <f>+D39-F39</f>
        <v>2274714.629999999</v>
      </c>
      <c r="J39" s="298" t="e">
        <f>+#REF!-F39</f>
        <v>#REF!</v>
      </c>
      <c r="K39" s="324">
        <f>+F39/D39*100</f>
        <v>91.483321521433595</v>
      </c>
      <c r="L39">
        <v>12869150.130000001</v>
      </c>
      <c r="N39" t="s">
        <v>12</v>
      </c>
    </row>
    <row r="40" spans="1:17" ht="6" customHeight="1">
      <c r="A40" s="296"/>
      <c r="B40" s="297"/>
      <c r="C40" s="298"/>
      <c r="D40" s="298"/>
      <c r="E40" s="298" t="s">
        <v>12</v>
      </c>
      <c r="F40" s="298" t="s">
        <v>12</v>
      </c>
      <c r="G40" s="298" t="s">
        <v>12</v>
      </c>
      <c r="H40" s="298"/>
      <c r="I40" s="298" t="s">
        <v>12</v>
      </c>
      <c r="J40" s="298" t="s">
        <v>12</v>
      </c>
      <c r="K40" s="324"/>
      <c r="L40" t="s">
        <v>12</v>
      </c>
    </row>
    <row r="41" spans="1:17" ht="18" customHeight="1">
      <c r="A41" s="296" t="s">
        <v>186</v>
      </c>
      <c r="B41" s="301">
        <f>+'Proyectos Inv'!B8</f>
        <v>27799680</v>
      </c>
      <c r="C41" s="301">
        <f>+'Proyectos Inv'!C8</f>
        <v>9514044</v>
      </c>
      <c r="D41" s="301">
        <f>+'Proyectos Inv'!D8</f>
        <v>9514044</v>
      </c>
      <c r="E41" s="301">
        <f>+'Proyectos Inv'!E8</f>
        <v>-1306248.3399999999</v>
      </c>
      <c r="F41" s="301">
        <f>+'Proyectos Inv'!F8</f>
        <v>9246331.4499999993</v>
      </c>
      <c r="G41" s="301">
        <f>+'Proyectos Inv'!G8</f>
        <v>1389214.8</v>
      </c>
      <c r="H41" s="301">
        <f>+'Proyectos Inv'!H8</f>
        <v>704903.66</v>
      </c>
      <c r="I41" s="301">
        <f>+D41-F41</f>
        <v>267712.55000000075</v>
      </c>
      <c r="J41" s="301" t="e">
        <f>+#REF!-F41</f>
        <v>#REF!</v>
      </c>
      <c r="K41" s="326">
        <f>+F41/D41*100</f>
        <v>97.18613294199605</v>
      </c>
      <c r="L41" s="329">
        <v>12221531.41</v>
      </c>
      <c r="N41" s="1"/>
      <c r="O41" s="1"/>
      <c r="Q41" s="338"/>
    </row>
    <row r="42" spans="1:17" ht="18" customHeight="1">
      <c r="A42" s="296" t="s">
        <v>187</v>
      </c>
      <c r="B42" s="301">
        <f>+'Proyectos Inv'!B16</f>
        <v>15761574</v>
      </c>
      <c r="C42" s="301">
        <f>+'Proyectos Inv'!C16</f>
        <v>8985902</v>
      </c>
      <c r="D42" s="301">
        <f>+'Proyectos Inv'!D16</f>
        <v>8985902</v>
      </c>
      <c r="E42" s="301">
        <f>+'Proyectos Inv'!E16</f>
        <v>108383</v>
      </c>
      <c r="F42" s="301">
        <f>+'Proyectos Inv'!F16</f>
        <v>8038142.870000001</v>
      </c>
      <c r="G42" s="301">
        <f>+'Proyectos Inv'!G16</f>
        <v>5041562.1100000013</v>
      </c>
      <c r="H42" s="301">
        <f>+'Proyectos Inv'!H16</f>
        <v>3964233.3</v>
      </c>
      <c r="I42" s="301">
        <f>+D42-F42</f>
        <v>947759.12999999896</v>
      </c>
      <c r="J42" s="301" t="e">
        <f>+#REF!-F42</f>
        <v>#REF!</v>
      </c>
      <c r="K42" s="326">
        <f>+F42/D42*100</f>
        <v>89.452821430725606</v>
      </c>
      <c r="L42" s="329">
        <v>647618.72</v>
      </c>
      <c r="N42" s="1"/>
      <c r="O42" s="1"/>
      <c r="Q42" s="338"/>
    </row>
    <row r="43" spans="1:17" ht="19.5" customHeight="1">
      <c r="A43" s="309" t="s">
        <v>188</v>
      </c>
      <c r="B43" s="310">
        <f>+'Proyectos Inv'!B33</f>
        <v>13343940</v>
      </c>
      <c r="C43" s="310">
        <f>+'Proyectos Inv'!C33</f>
        <v>8208995</v>
      </c>
      <c r="D43" s="310">
        <f>+'Proyectos Inv'!D33</f>
        <v>8208995</v>
      </c>
      <c r="E43" s="310">
        <f>+'Proyectos Inv'!E33</f>
        <v>6785.68</v>
      </c>
      <c r="F43" s="310">
        <f>+'Proyectos Inv'!F33</f>
        <v>7149752.0499999998</v>
      </c>
      <c r="G43" s="310">
        <f>+'Proyectos Inv'!G33</f>
        <v>5078987.88</v>
      </c>
      <c r="H43" s="310">
        <f>+'Proyectos Inv'!H33</f>
        <v>2091107.06</v>
      </c>
      <c r="I43" s="330">
        <f>+D43-F43</f>
        <v>1059242.9500000002</v>
      </c>
      <c r="J43" s="310" t="e">
        <f>+#REF!-F43</f>
        <v>#REF!</v>
      </c>
      <c r="K43" s="331">
        <f>+F43/D43*100</f>
        <v>87.096557495771407</v>
      </c>
      <c r="L43" s="329">
        <v>0</v>
      </c>
      <c r="N43" s="1"/>
      <c r="O43" s="1"/>
    </row>
    <row r="44" spans="1:17" ht="18" customHeight="1">
      <c r="A44" s="311"/>
      <c r="B44" s="311"/>
      <c r="C44" s="312"/>
      <c r="D44" s="312"/>
      <c r="E44" s="312"/>
      <c r="F44" s="312" t="s">
        <v>12</v>
      </c>
      <c r="G44" s="312"/>
      <c r="H44" s="313"/>
      <c r="I44" s="312" t="s">
        <v>12</v>
      </c>
      <c r="J44" s="312" t="s">
        <v>12</v>
      </c>
      <c r="K44" s="332" t="s">
        <v>12</v>
      </c>
      <c r="L44" t="s">
        <v>12</v>
      </c>
    </row>
    <row r="45" spans="1:17" ht="10.5" customHeight="1">
      <c r="A45" s="311"/>
      <c r="B45" s="311"/>
      <c r="C45" s="312"/>
      <c r="D45" s="312">
        <v>0</v>
      </c>
      <c r="E45" s="312">
        <v>0</v>
      </c>
      <c r="F45" s="312" t="s">
        <v>12</v>
      </c>
      <c r="G45" s="312"/>
      <c r="H45" s="313">
        <v>0</v>
      </c>
      <c r="I45" s="312" t="s">
        <v>12</v>
      </c>
      <c r="J45" s="312" t="s">
        <v>12</v>
      </c>
      <c r="K45" s="332" t="s">
        <v>12</v>
      </c>
      <c r="L45" t="s">
        <v>12</v>
      </c>
    </row>
    <row r="46" spans="1:17" ht="7.5" hidden="1" customHeight="1">
      <c r="A46" s="311"/>
      <c r="B46" s="311"/>
      <c r="C46" s="312"/>
      <c r="D46" s="312"/>
      <c r="E46" s="312"/>
      <c r="F46" s="312" t="s">
        <v>12</v>
      </c>
      <c r="G46" s="312"/>
      <c r="H46" s="313" t="s">
        <v>12</v>
      </c>
      <c r="I46" s="312" t="s">
        <v>12</v>
      </c>
      <c r="J46" s="312" t="s">
        <v>12</v>
      </c>
      <c r="K46" s="332" t="s">
        <v>12</v>
      </c>
      <c r="L46" t="s">
        <v>12</v>
      </c>
    </row>
    <row r="47" spans="1:17" ht="13.5" hidden="1">
      <c r="A47" s="311"/>
      <c r="B47" s="311"/>
      <c r="C47" s="312"/>
      <c r="D47" s="312"/>
      <c r="E47" s="312"/>
      <c r="F47" s="312" t="s">
        <v>12</v>
      </c>
      <c r="G47" s="312"/>
      <c r="H47" s="312"/>
      <c r="I47" s="312" t="s">
        <v>12</v>
      </c>
      <c r="J47" s="312" t="s">
        <v>12</v>
      </c>
      <c r="K47" s="332" t="s">
        <v>12</v>
      </c>
      <c r="L47" t="s">
        <v>12</v>
      </c>
    </row>
    <row r="48" spans="1:17" ht="13.5" hidden="1">
      <c r="A48" s="311"/>
      <c r="B48" s="311"/>
      <c r="C48" s="312"/>
      <c r="D48" s="312"/>
      <c r="E48" s="312"/>
      <c r="F48" s="312" t="s">
        <v>12</v>
      </c>
      <c r="G48" s="312"/>
      <c r="H48" s="312"/>
      <c r="I48" s="312" t="s">
        <v>12</v>
      </c>
      <c r="J48" s="312" t="s">
        <v>12</v>
      </c>
      <c r="K48" s="332" t="s">
        <v>12</v>
      </c>
      <c r="L48" t="s">
        <v>12</v>
      </c>
    </row>
    <row r="49" spans="1:12" ht="3.75" customHeight="1">
      <c r="A49" s="311"/>
      <c r="B49" s="311"/>
      <c r="C49" s="312"/>
      <c r="D49" s="312"/>
      <c r="E49" s="312"/>
      <c r="F49" s="312" t="s">
        <v>12</v>
      </c>
      <c r="G49" s="312"/>
      <c r="H49" s="312"/>
      <c r="I49" s="312" t="s">
        <v>12</v>
      </c>
      <c r="J49" s="312" t="s">
        <v>12</v>
      </c>
      <c r="K49" s="332" t="s">
        <v>12</v>
      </c>
      <c r="L49" t="s">
        <v>12</v>
      </c>
    </row>
    <row r="50" spans="1:12" ht="1.5" customHeight="1">
      <c r="A50" s="314"/>
      <c r="B50" s="314"/>
      <c r="C50" s="315"/>
      <c r="D50" s="316"/>
      <c r="E50" s="316"/>
      <c r="F50" s="316" t="s">
        <v>12</v>
      </c>
      <c r="G50" s="316"/>
      <c r="H50" s="316"/>
      <c r="I50" s="316" t="s">
        <v>12</v>
      </c>
      <c r="J50" s="333" t="s">
        <v>12</v>
      </c>
      <c r="K50" s="334" t="s">
        <v>12</v>
      </c>
      <c r="L50" t="s">
        <v>12</v>
      </c>
    </row>
    <row r="51" spans="1:12" ht="12" hidden="1" customHeight="1">
      <c r="A51" s="317"/>
      <c r="B51" s="317"/>
      <c r="C51" s="318"/>
      <c r="D51" s="319"/>
      <c r="E51" s="319"/>
      <c r="F51" s="320" t="s">
        <v>12</v>
      </c>
      <c r="G51" s="320"/>
      <c r="H51" s="319"/>
      <c r="I51" s="319"/>
      <c r="J51" s="335" t="s">
        <v>12</v>
      </c>
      <c r="K51" s="336"/>
    </row>
    <row r="52" spans="1:12" ht="8.25" customHeight="1">
      <c r="A52" s="321"/>
      <c r="B52" s="321"/>
      <c r="C52" s="321"/>
      <c r="D52" s="221"/>
      <c r="E52" s="221"/>
      <c r="F52" s="221"/>
      <c r="G52" s="221"/>
      <c r="H52" s="221"/>
      <c r="I52" s="221"/>
      <c r="J52" s="221"/>
      <c r="K52" s="3"/>
    </row>
    <row r="53" spans="1:12">
      <c r="A53" s="644" t="s">
        <v>41</v>
      </c>
      <c r="B53" s="644"/>
      <c r="C53" s="6"/>
      <c r="D53" s="1"/>
      <c r="E53" s="1"/>
      <c r="F53" s="221"/>
      <c r="G53" s="221"/>
      <c r="H53" s="221"/>
      <c r="I53" s="221"/>
      <c r="J53" s="221"/>
      <c r="K53" s="3"/>
    </row>
    <row r="54" spans="1:12">
      <c r="A54" s="322" cm="1">
        <f t="array" aca="1" ref="A54" ca="1">A1:K54</f>
        <v>0</v>
      </c>
      <c r="B54" s="322"/>
      <c r="C54" s="322"/>
      <c r="D54" s="80"/>
      <c r="E54" s="80"/>
      <c r="F54" s="323"/>
      <c r="G54" s="323"/>
      <c r="H54" s="323"/>
      <c r="I54" s="323"/>
      <c r="J54" s="323"/>
      <c r="K54" s="337"/>
    </row>
    <row r="55" spans="1:12">
      <c r="A55" s="322" t="s">
        <v>12</v>
      </c>
      <c r="B55" s="322"/>
      <c r="C55" s="322"/>
      <c r="D55" s="80"/>
      <c r="E55" s="80"/>
      <c r="F55" s="323"/>
      <c r="G55" s="323"/>
      <c r="H55" s="323"/>
      <c r="I55" s="323"/>
      <c r="J55" s="323"/>
      <c r="K55" s="337"/>
    </row>
    <row r="56" spans="1:12">
      <c r="A56" s="322" t="s">
        <v>12</v>
      </c>
      <c r="B56" s="322"/>
      <c r="C56" s="322"/>
      <c r="D56" s="186"/>
      <c r="E56" s="186"/>
      <c r="F56" s="186"/>
      <c r="G56" s="186"/>
      <c r="H56" s="186"/>
      <c r="I56" s="186"/>
      <c r="J56" s="186"/>
      <c r="K56" s="337"/>
    </row>
    <row r="57" spans="1:12">
      <c r="A57" s="322" t="s">
        <v>12</v>
      </c>
      <c r="B57" s="322"/>
      <c r="C57" s="322"/>
      <c r="D57" s="186"/>
      <c r="E57" s="186"/>
      <c r="F57" s="186"/>
      <c r="G57" s="186"/>
      <c r="H57" s="186"/>
      <c r="I57" s="186"/>
      <c r="J57" s="186"/>
      <c r="K57" s="337"/>
    </row>
    <row r="58" spans="1:12">
      <c r="A58" s="322" t="s">
        <v>12</v>
      </c>
      <c r="B58" s="322"/>
      <c r="C58" s="322"/>
      <c r="D58" s="186"/>
      <c r="E58" s="186"/>
      <c r="F58" s="186"/>
      <c r="G58" s="186"/>
      <c r="H58" s="186"/>
      <c r="I58" s="186"/>
      <c r="J58" s="186"/>
      <c r="K58" s="337"/>
    </row>
    <row r="59" spans="1:12">
      <c r="A59" s="322" t="s">
        <v>12</v>
      </c>
      <c r="B59" s="322"/>
      <c r="C59" s="322"/>
      <c r="D59" s="186"/>
      <c r="E59" s="186"/>
      <c r="F59" s="186"/>
      <c r="G59" s="186"/>
      <c r="H59" s="186"/>
      <c r="I59" s="186"/>
      <c r="J59" s="186"/>
      <c r="K59" s="337"/>
    </row>
    <row r="60" spans="1:12">
      <c r="A60" s="322" t="s">
        <v>12</v>
      </c>
      <c r="B60" s="322"/>
      <c r="C60" s="322"/>
      <c r="D60" s="186"/>
      <c r="E60" s="186"/>
      <c r="F60" s="186"/>
      <c r="G60" s="186"/>
      <c r="H60" s="186"/>
      <c r="I60" s="186"/>
      <c r="J60" s="186"/>
      <c r="K60" s="337"/>
    </row>
    <row r="61" spans="1:12">
      <c r="A61" s="322" t="s">
        <v>12</v>
      </c>
      <c r="B61" s="322"/>
      <c r="C61" s="322"/>
      <c r="D61" s="186"/>
      <c r="E61" s="186"/>
      <c r="F61" s="186"/>
      <c r="G61" s="186"/>
      <c r="H61" s="186"/>
      <c r="I61" s="186"/>
      <c r="J61" s="186"/>
      <c r="K61" s="337"/>
    </row>
    <row r="62" spans="1:12" ht="74.25" customHeight="1">
      <c r="A62" s="322" t="s">
        <v>12</v>
      </c>
      <c r="B62" s="322"/>
      <c r="C62" s="322"/>
      <c r="D62" s="186"/>
      <c r="E62" s="186"/>
      <c r="F62" s="186"/>
      <c r="G62" s="186"/>
      <c r="H62" s="186"/>
      <c r="I62" s="186"/>
      <c r="J62" s="186"/>
      <c r="K62" s="337"/>
    </row>
    <row r="63" spans="1:12">
      <c r="A63" s="4" t="s">
        <v>12</v>
      </c>
      <c r="D63" s="186"/>
      <c r="E63" s="186"/>
      <c r="F63" s="186"/>
      <c r="G63" s="186"/>
      <c r="H63" s="186"/>
      <c r="I63" s="186"/>
      <c r="J63" s="186"/>
      <c r="K63" s="337"/>
    </row>
    <row r="64" spans="1:12">
      <c r="D64" s="186"/>
      <c r="E64" s="186"/>
      <c r="F64" s="186"/>
      <c r="G64" s="186"/>
      <c r="H64" s="186"/>
      <c r="I64" s="186"/>
      <c r="J64" s="186"/>
      <c r="K64" s="337"/>
    </row>
    <row r="65" spans="1:11">
      <c r="A65" s="4" t="s">
        <v>12</v>
      </c>
      <c r="D65" s="186"/>
      <c r="E65" s="186"/>
      <c r="F65" s="186"/>
      <c r="G65" s="186"/>
      <c r="H65" s="186"/>
      <c r="I65" s="186"/>
      <c r="J65" s="186"/>
      <c r="K65" s="337"/>
    </row>
    <row r="66" spans="1:11">
      <c r="A66" s="4" t="s">
        <v>12</v>
      </c>
      <c r="D66" s="186"/>
      <c r="E66" s="186"/>
      <c r="F66" s="186"/>
      <c r="G66" s="186"/>
      <c r="H66" s="186"/>
      <c r="I66" s="186"/>
      <c r="J66" s="186"/>
      <c r="K66" s="337"/>
    </row>
    <row r="67" spans="1:11">
      <c r="D67" s="186"/>
      <c r="E67" s="186"/>
      <c r="F67" s="186"/>
      <c r="G67" s="186"/>
      <c r="H67" s="186"/>
      <c r="I67" s="186"/>
      <c r="J67" s="186"/>
      <c r="K67" s="337"/>
    </row>
    <row r="68" spans="1:11">
      <c r="D68" s="186"/>
      <c r="E68" s="186"/>
      <c r="F68" s="186"/>
      <c r="G68" s="186"/>
      <c r="H68" s="186"/>
      <c r="I68" s="186"/>
      <c r="J68" s="186"/>
      <c r="K68" s="337"/>
    </row>
    <row r="69" spans="1:11">
      <c r="D69" s="186"/>
      <c r="E69" s="186"/>
      <c r="F69" s="186"/>
      <c r="G69" s="186"/>
      <c r="H69" s="186"/>
      <c r="I69" s="186"/>
      <c r="J69" s="186"/>
      <c r="K69" s="337"/>
    </row>
    <row r="70" spans="1:11">
      <c r="D70" s="186"/>
      <c r="E70" s="186"/>
      <c r="F70" s="186"/>
      <c r="G70" s="186"/>
      <c r="H70" s="186"/>
      <c r="I70" s="186"/>
      <c r="J70" s="186"/>
      <c r="K70" s="337"/>
    </row>
    <row r="71" spans="1:11">
      <c r="D71" s="186"/>
      <c r="E71" s="186"/>
      <c r="F71" s="186"/>
      <c r="G71" s="186"/>
      <c r="H71" s="186"/>
      <c r="I71" s="186"/>
      <c r="J71" s="186"/>
      <c r="K71" s="337"/>
    </row>
    <row r="72" spans="1:11">
      <c r="D72" s="186"/>
      <c r="E72" s="186"/>
      <c r="F72" s="186"/>
      <c r="G72" s="186"/>
      <c r="H72" s="186"/>
      <c r="I72" s="186"/>
      <c r="J72" s="186"/>
      <c r="K72" s="337"/>
    </row>
    <row r="73" spans="1:11">
      <c r="D73" s="186"/>
      <c r="E73" s="186"/>
      <c r="F73" s="186"/>
      <c r="G73" s="186"/>
      <c r="H73" s="186"/>
      <c r="I73" s="186"/>
      <c r="J73" s="186"/>
      <c r="K73" s="337"/>
    </row>
    <row r="74" spans="1:11">
      <c r="D74" s="186"/>
      <c r="E74" s="186"/>
      <c r="F74" s="186"/>
      <c r="G74" s="186"/>
      <c r="H74" s="186"/>
      <c r="I74" s="186"/>
      <c r="J74" s="186"/>
      <c r="K74" s="337"/>
    </row>
    <row r="75" spans="1:11">
      <c r="D75" s="186"/>
      <c r="E75" s="186"/>
      <c r="F75" s="186"/>
      <c r="G75" s="186"/>
      <c r="H75" s="186"/>
      <c r="I75" s="186"/>
      <c r="J75" s="186"/>
      <c r="K75" s="337"/>
    </row>
    <row r="76" spans="1:11">
      <c r="D76" s="186"/>
      <c r="E76" s="186"/>
      <c r="F76" s="186"/>
      <c r="G76" s="186"/>
      <c r="H76" s="186"/>
      <c r="I76" s="186"/>
      <c r="J76" s="186"/>
      <c r="K76" s="337"/>
    </row>
    <row r="77" spans="1:11">
      <c r="D77" s="186"/>
      <c r="E77" s="186"/>
      <c r="F77" s="186"/>
      <c r="G77" s="186"/>
      <c r="H77" s="186"/>
      <c r="I77" s="186"/>
      <c r="J77" s="186"/>
      <c r="K77" s="337"/>
    </row>
    <row r="78" spans="1:11">
      <c r="D78" s="186"/>
      <c r="E78" s="186"/>
      <c r="F78" s="186"/>
      <c r="G78" s="186"/>
      <c r="H78" s="186"/>
      <c r="I78" s="186"/>
      <c r="J78" s="186"/>
      <c r="K78" s="337"/>
    </row>
    <row r="79" spans="1:11">
      <c r="D79" s="186"/>
      <c r="E79" s="186"/>
      <c r="F79" s="186"/>
      <c r="G79" s="186"/>
      <c r="H79" s="186"/>
      <c r="I79" s="186"/>
      <c r="J79" s="186"/>
      <c r="K79" s="337"/>
    </row>
    <row r="80" spans="1:11">
      <c r="D80" s="186"/>
      <c r="E80" s="186"/>
      <c r="F80" s="186"/>
      <c r="G80" s="186"/>
      <c r="H80" s="186"/>
      <c r="I80" s="186"/>
      <c r="J80" s="186"/>
      <c r="K80" s="337"/>
    </row>
    <row r="81" spans="4:11">
      <c r="D81" s="186"/>
      <c r="E81" s="186"/>
      <c r="F81" s="186"/>
      <c r="G81" s="186"/>
      <c r="H81" s="186"/>
      <c r="I81" s="186"/>
      <c r="J81" s="186"/>
      <c r="K81" s="337"/>
    </row>
    <row r="82" spans="4:11">
      <c r="D82" s="186"/>
      <c r="E82" s="186"/>
      <c r="F82" s="186"/>
      <c r="G82" s="186"/>
      <c r="H82" s="186"/>
      <c r="I82" s="186"/>
      <c r="J82" s="186"/>
      <c r="K82" s="337"/>
    </row>
    <row r="83" spans="4:11">
      <c r="D83" s="186"/>
      <c r="E83" s="186"/>
      <c r="F83" s="186"/>
      <c r="G83" s="186"/>
      <c r="H83" s="186"/>
      <c r="I83" s="186"/>
      <c r="J83" s="186"/>
      <c r="K83" s="337"/>
    </row>
    <row r="84" spans="4:11">
      <c r="D84" s="186"/>
      <c r="E84" s="186"/>
      <c r="F84" s="186"/>
      <c r="G84" s="186"/>
      <c r="H84" s="186"/>
      <c r="I84" s="186"/>
      <c r="J84" s="186"/>
      <c r="K84" s="337"/>
    </row>
    <row r="85" spans="4:11">
      <c r="D85" s="186"/>
      <c r="E85" s="186"/>
      <c r="F85" s="186"/>
      <c r="G85" s="186"/>
      <c r="H85" s="186"/>
      <c r="I85" s="186"/>
      <c r="J85" s="186"/>
      <c r="K85" s="337"/>
    </row>
    <row r="86" spans="4:11">
      <c r="D86" s="186"/>
      <c r="E86" s="186"/>
      <c r="F86" s="186"/>
      <c r="G86" s="186"/>
      <c r="H86" s="186"/>
      <c r="I86" s="186"/>
      <c r="J86" s="186"/>
      <c r="K86" s="337"/>
    </row>
    <row r="87" spans="4:11">
      <c r="D87" s="186"/>
      <c r="E87" s="186"/>
      <c r="F87" s="186"/>
      <c r="G87" s="186"/>
      <c r="H87" s="186"/>
      <c r="I87" s="186"/>
      <c r="J87" s="186"/>
      <c r="K87" s="337"/>
    </row>
    <row r="88" spans="4:11">
      <c r="D88" s="186"/>
      <c r="E88" s="186"/>
      <c r="F88" s="186"/>
      <c r="G88" s="186"/>
      <c r="H88" s="186"/>
      <c r="I88" s="186"/>
      <c r="J88" s="186"/>
      <c r="K88" s="337"/>
    </row>
    <row r="89" spans="4:11">
      <c r="D89" s="186"/>
      <c r="E89" s="186"/>
      <c r="F89" s="186"/>
      <c r="G89" s="186"/>
      <c r="H89" s="186"/>
      <c r="I89" s="186"/>
      <c r="J89" s="186"/>
      <c r="K89" s="337"/>
    </row>
    <row r="90" spans="4:11">
      <c r="D90" s="186"/>
      <c r="E90" s="186"/>
      <c r="F90" s="186"/>
      <c r="G90" s="186"/>
      <c r="H90" s="186"/>
      <c r="I90" s="186"/>
      <c r="J90" s="186"/>
      <c r="K90" s="337"/>
    </row>
    <row r="91" spans="4:11">
      <c r="D91" s="186"/>
      <c r="E91" s="186"/>
      <c r="F91" s="186"/>
      <c r="G91" s="186"/>
      <c r="H91" s="186"/>
      <c r="I91" s="186"/>
      <c r="J91" s="186"/>
      <c r="K91" s="337"/>
    </row>
    <row r="92" spans="4:11">
      <c r="D92" s="186"/>
      <c r="E92" s="186"/>
      <c r="F92" s="186"/>
      <c r="G92" s="186"/>
      <c r="H92" s="186"/>
      <c r="I92" s="186"/>
      <c r="J92" s="186"/>
      <c r="K92" s="337"/>
    </row>
    <row r="93" spans="4:11">
      <c r="D93" s="186"/>
      <c r="E93" s="186"/>
      <c r="F93" s="186"/>
      <c r="G93" s="186"/>
      <c r="H93" s="186"/>
      <c r="I93" s="186"/>
      <c r="J93" s="186"/>
      <c r="K93" s="337"/>
    </row>
    <row r="94" spans="4:11">
      <c r="D94" s="186"/>
      <c r="E94" s="186"/>
      <c r="F94" s="186"/>
      <c r="G94" s="186"/>
      <c r="H94" s="186"/>
      <c r="I94" s="186"/>
      <c r="J94" s="186"/>
      <c r="K94" s="337"/>
    </row>
    <row r="95" spans="4:11">
      <c r="D95" s="186"/>
      <c r="E95" s="186"/>
      <c r="F95" s="186"/>
      <c r="G95" s="186"/>
      <c r="H95" s="186"/>
      <c r="I95" s="186"/>
      <c r="J95" s="186"/>
      <c r="K95" s="337"/>
    </row>
    <row r="96" spans="4:11">
      <c r="D96" s="186"/>
      <c r="E96" s="186"/>
      <c r="F96" s="186"/>
      <c r="G96" s="186"/>
      <c r="H96" s="186"/>
      <c r="I96" s="186"/>
      <c r="J96" s="186"/>
      <c r="K96" s="337"/>
    </row>
    <row r="97" spans="4:11">
      <c r="D97" s="186"/>
      <c r="E97" s="186"/>
      <c r="F97" s="186"/>
      <c r="G97" s="186"/>
      <c r="H97" s="186"/>
      <c r="I97" s="186"/>
      <c r="J97" s="186"/>
      <c r="K97" s="337"/>
    </row>
    <row r="98" spans="4:11">
      <c r="D98" s="186"/>
      <c r="E98" s="186"/>
      <c r="F98" s="186"/>
      <c r="G98" s="186"/>
      <c r="H98" s="186"/>
      <c r="I98" s="186"/>
      <c r="J98" s="186"/>
      <c r="K98" s="337"/>
    </row>
    <row r="99" spans="4:11">
      <c r="D99" s="186"/>
      <c r="E99" s="186"/>
      <c r="F99" s="186"/>
      <c r="G99" s="186"/>
      <c r="H99" s="186"/>
      <c r="I99" s="186"/>
      <c r="J99" s="186"/>
      <c r="K99" s="337"/>
    </row>
    <row r="100" spans="4:11">
      <c r="D100" s="186"/>
      <c r="E100" s="186"/>
      <c r="F100" s="186"/>
      <c r="G100" s="186"/>
      <c r="H100" s="186"/>
      <c r="I100" s="186"/>
      <c r="J100" s="186"/>
      <c r="K100" s="337"/>
    </row>
    <row r="101" spans="4:11">
      <c r="D101" s="186"/>
      <c r="E101" s="186"/>
      <c r="F101" s="186"/>
      <c r="G101" s="186"/>
      <c r="H101" s="186"/>
      <c r="I101" s="186"/>
      <c r="J101" s="186"/>
      <c r="K101" s="337"/>
    </row>
    <row r="102" spans="4:11">
      <c r="D102" s="186"/>
      <c r="E102" s="186"/>
      <c r="F102" s="186"/>
      <c r="G102" s="186"/>
      <c r="H102" s="186"/>
      <c r="I102" s="186"/>
      <c r="J102" s="186"/>
      <c r="K102" s="337"/>
    </row>
    <row r="103" spans="4:11">
      <c r="D103" s="186"/>
      <c r="E103" s="186"/>
      <c r="F103" s="186"/>
      <c r="G103" s="186"/>
      <c r="H103" s="186"/>
      <c r="I103" s="186"/>
      <c r="J103" s="186"/>
      <c r="K103" s="337"/>
    </row>
    <row r="104" spans="4:11">
      <c r="D104" s="186"/>
      <c r="E104" s="186"/>
      <c r="F104" s="186"/>
      <c r="G104" s="186"/>
      <c r="H104" s="186"/>
      <c r="I104" s="186"/>
      <c r="J104" s="186"/>
      <c r="K104" s="337"/>
    </row>
    <row r="105" spans="4:11">
      <c r="D105" s="186"/>
      <c r="E105" s="186"/>
      <c r="F105" s="186"/>
      <c r="G105" s="186"/>
      <c r="H105" s="186"/>
      <c r="I105" s="186"/>
      <c r="J105" s="186"/>
      <c r="K105" s="337"/>
    </row>
    <row r="106" spans="4:11">
      <c r="D106" s="186"/>
      <c r="E106" s="186"/>
      <c r="F106" s="186"/>
      <c r="G106" s="186"/>
      <c r="H106" s="186"/>
      <c r="I106" s="186"/>
      <c r="J106" s="186"/>
      <c r="K106" s="337"/>
    </row>
    <row r="107" spans="4:11">
      <c r="D107" s="186"/>
      <c r="E107" s="186"/>
      <c r="F107" s="186"/>
      <c r="G107" s="186"/>
      <c r="H107" s="186"/>
      <c r="I107" s="186"/>
      <c r="J107" s="186"/>
      <c r="K107" s="337"/>
    </row>
    <row r="108" spans="4:11">
      <c r="D108" s="186"/>
      <c r="E108" s="186"/>
      <c r="F108" s="186"/>
      <c r="G108" s="186"/>
      <c r="H108" s="186"/>
      <c r="I108" s="186"/>
      <c r="J108" s="186"/>
      <c r="K108" s="337"/>
    </row>
    <row r="109" spans="4:11">
      <c r="D109" s="186"/>
      <c r="E109" s="186"/>
      <c r="F109" s="186"/>
      <c r="G109" s="186"/>
      <c r="H109" s="186"/>
      <c r="I109" s="186"/>
      <c r="J109" s="186"/>
      <c r="K109" s="337"/>
    </row>
    <row r="110" spans="4:11">
      <c r="D110" s="186"/>
      <c r="E110" s="186"/>
      <c r="F110" s="186"/>
      <c r="G110" s="186"/>
      <c r="H110" s="186"/>
      <c r="I110" s="186"/>
      <c r="J110" s="186"/>
      <c r="K110" s="337"/>
    </row>
    <row r="111" spans="4:11">
      <c r="D111" s="186"/>
      <c r="E111" s="186"/>
      <c r="F111" s="186"/>
      <c r="G111" s="186"/>
      <c r="H111" s="186"/>
      <c r="I111" s="186"/>
      <c r="J111" s="186"/>
      <c r="K111" s="337"/>
    </row>
    <row r="112" spans="4:11">
      <c r="D112" s="186"/>
      <c r="E112" s="186"/>
      <c r="F112" s="186"/>
      <c r="G112" s="186"/>
      <c r="H112" s="186"/>
      <c r="I112" s="186"/>
      <c r="J112" s="186"/>
      <c r="K112" s="337"/>
    </row>
    <row r="113" spans="4:11">
      <c r="D113" s="186"/>
      <c r="E113" s="186"/>
      <c r="F113" s="186"/>
      <c r="G113" s="186"/>
      <c r="H113" s="186"/>
      <c r="I113" s="186"/>
      <c r="J113" s="186"/>
      <c r="K113" s="337"/>
    </row>
    <row r="114" spans="4:11">
      <c r="D114" s="186"/>
      <c r="E114" s="186"/>
      <c r="F114" s="186"/>
      <c r="G114" s="186"/>
      <c r="H114" s="186"/>
      <c r="I114" s="186"/>
      <c r="J114" s="186"/>
      <c r="K114" s="337"/>
    </row>
    <row r="115" spans="4:11">
      <c r="D115" s="186"/>
      <c r="E115" s="186"/>
      <c r="F115" s="186"/>
      <c r="G115" s="186"/>
      <c r="H115" s="186"/>
      <c r="I115" s="186"/>
      <c r="J115" s="186"/>
      <c r="K115" s="337"/>
    </row>
    <row r="116" spans="4:11">
      <c r="D116" s="186"/>
      <c r="E116" s="186"/>
      <c r="F116" s="186"/>
      <c r="G116" s="186"/>
      <c r="H116" s="186"/>
      <c r="I116" s="186"/>
      <c r="J116" s="186"/>
      <c r="K116" s="337"/>
    </row>
    <row r="117" spans="4:11">
      <c r="D117" s="186"/>
      <c r="E117" s="186"/>
      <c r="F117" s="186"/>
      <c r="G117" s="186"/>
      <c r="H117" s="186"/>
      <c r="I117" s="186"/>
      <c r="J117" s="186"/>
      <c r="K117" s="337"/>
    </row>
    <row r="118" spans="4:11">
      <c r="D118" s="186"/>
      <c r="E118" s="186"/>
      <c r="F118" s="186"/>
      <c r="G118" s="186"/>
      <c r="H118" s="186"/>
      <c r="I118" s="186"/>
      <c r="J118" s="186"/>
      <c r="K118" s="337"/>
    </row>
    <row r="119" spans="4:11">
      <c r="D119" s="186"/>
      <c r="E119" s="186"/>
      <c r="F119" s="186"/>
      <c r="G119" s="186"/>
      <c r="H119" s="186"/>
      <c r="I119" s="186"/>
      <c r="J119" s="186"/>
      <c r="K119" s="337"/>
    </row>
    <row r="120" spans="4:11">
      <c r="D120" s="186"/>
      <c r="E120" s="186"/>
      <c r="F120" s="186"/>
      <c r="G120" s="186"/>
      <c r="H120" s="186"/>
      <c r="I120" s="186"/>
      <c r="J120" s="186"/>
      <c r="K120" s="337"/>
    </row>
    <row r="121" spans="4:11">
      <c r="D121" s="186"/>
      <c r="E121" s="186"/>
      <c r="F121" s="186"/>
      <c r="G121" s="186"/>
      <c r="H121" s="186"/>
      <c r="I121" s="186"/>
      <c r="J121" s="186"/>
      <c r="K121" s="337"/>
    </row>
    <row r="122" spans="4:11">
      <c r="K122" s="337"/>
    </row>
    <row r="123" spans="4:11">
      <c r="K123" s="337"/>
    </row>
    <row r="124" spans="4:11">
      <c r="K124" s="337"/>
    </row>
    <row r="125" spans="4:11">
      <c r="K125" s="337"/>
    </row>
    <row r="126" spans="4:11">
      <c r="K126" s="337"/>
    </row>
    <row r="127" spans="4:11">
      <c r="K127" s="337"/>
    </row>
    <row r="128" spans="4:11">
      <c r="K128" s="337"/>
    </row>
    <row r="129" spans="11:11">
      <c r="K129" s="337"/>
    </row>
    <row r="130" spans="11:11">
      <c r="K130" s="337"/>
    </row>
    <row r="131" spans="11:11">
      <c r="K131" s="337"/>
    </row>
    <row r="132" spans="11:11">
      <c r="K132" s="337"/>
    </row>
    <row r="133" spans="11:11">
      <c r="K133" s="337"/>
    </row>
    <row r="134" spans="11:11">
      <c r="K134" s="337"/>
    </row>
    <row r="135" spans="11:11">
      <c r="K135" s="337"/>
    </row>
    <row r="136" spans="11:11">
      <c r="K136" s="337"/>
    </row>
    <row r="137" spans="11:11">
      <c r="K137" s="337"/>
    </row>
    <row r="138" spans="11:11">
      <c r="K138" s="337"/>
    </row>
    <row r="139" spans="11:11">
      <c r="K139" s="337"/>
    </row>
    <row r="140" spans="11:11">
      <c r="K140" s="337"/>
    </row>
    <row r="141" spans="11:11">
      <c r="K141" s="337"/>
    </row>
    <row r="142" spans="11:11">
      <c r="K142" s="337"/>
    </row>
    <row r="143" spans="11:11">
      <c r="K143" s="337"/>
    </row>
    <row r="144" spans="11:11">
      <c r="K144" s="337"/>
    </row>
    <row r="145" spans="11:11">
      <c r="K145" s="337"/>
    </row>
    <row r="146" spans="11:11">
      <c r="K146" s="337"/>
    </row>
    <row r="147" spans="11:11">
      <c r="K147" s="337"/>
    </row>
    <row r="148" spans="11:11">
      <c r="K148" s="337"/>
    </row>
    <row r="149" spans="11:11">
      <c r="K149" s="337"/>
    </row>
    <row r="150" spans="11:11">
      <c r="K150" s="337"/>
    </row>
    <row r="151" spans="11:11">
      <c r="K151" s="337"/>
    </row>
    <row r="152" spans="11:11">
      <c r="K152" s="337"/>
    </row>
    <row r="153" spans="11:11">
      <c r="K153" s="337"/>
    </row>
    <row r="154" spans="11:11">
      <c r="K154" s="337"/>
    </row>
    <row r="155" spans="11:11">
      <c r="K155" s="337"/>
    </row>
    <row r="156" spans="11:11">
      <c r="K156" s="337"/>
    </row>
    <row r="157" spans="11:11">
      <c r="K157" s="337"/>
    </row>
    <row r="158" spans="11:11">
      <c r="K158" s="337"/>
    </row>
    <row r="159" spans="11:11">
      <c r="K159" s="337"/>
    </row>
    <row r="160" spans="11:11">
      <c r="K160" s="337"/>
    </row>
    <row r="161" spans="11:11">
      <c r="K161" s="337"/>
    </row>
    <row r="162" spans="11:11">
      <c r="K162" s="337"/>
    </row>
    <row r="163" spans="11:11">
      <c r="K163" s="337"/>
    </row>
    <row r="164" spans="11:11">
      <c r="K164" s="337"/>
    </row>
    <row r="165" spans="11:11">
      <c r="K165" s="337"/>
    </row>
    <row r="166" spans="11:11">
      <c r="K166" s="337"/>
    </row>
    <row r="167" spans="11:11">
      <c r="K167" s="337"/>
    </row>
    <row r="168" spans="11:11">
      <c r="K168" s="337"/>
    </row>
    <row r="169" spans="11:11">
      <c r="K169" s="337"/>
    </row>
    <row r="170" spans="11:11">
      <c r="K170" s="337"/>
    </row>
    <row r="171" spans="11:11">
      <c r="K171" s="337"/>
    </row>
    <row r="172" spans="11:11">
      <c r="K172" s="337"/>
    </row>
    <row r="173" spans="11:11">
      <c r="K173" s="337"/>
    </row>
    <row r="174" spans="11:11">
      <c r="K174" s="337"/>
    </row>
    <row r="175" spans="11:11">
      <c r="K175" s="337"/>
    </row>
    <row r="176" spans="11:11">
      <c r="K176" s="337"/>
    </row>
    <row r="177" spans="11:11">
      <c r="K177" s="337"/>
    </row>
    <row r="178" spans="11:11">
      <c r="K178" s="337"/>
    </row>
    <row r="179" spans="11:11">
      <c r="K179" s="337"/>
    </row>
    <row r="180" spans="11:11">
      <c r="K180" s="337"/>
    </row>
    <row r="181" spans="11:11">
      <c r="K181" s="337"/>
    </row>
  </sheetData>
  <mergeCells count="9">
    <mergeCell ref="A53:B53"/>
    <mergeCell ref="A7:A8"/>
    <mergeCell ref="K7:K8"/>
    <mergeCell ref="I7:J8"/>
    <mergeCell ref="A2:K2"/>
    <mergeCell ref="A3:K3"/>
    <mergeCell ref="A4:K4"/>
    <mergeCell ref="A5:K5"/>
    <mergeCell ref="B7:H7"/>
  </mergeCells>
  <pageMargins left="0.196850393700787" right="7.8740157480315001E-2" top="0.98425196850393704" bottom="0.78740157480314998" header="0.511811023622047" footer="0.511811023622047"/>
  <pageSetup scale="75" firstPageNumber="0" orientation="portrait" useFirstPageNumber="1"/>
  <headerFooter alignWithMargins="0"/>
  <ignoredErrors>
    <ignoredError sqref="D9 F36 D3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7">
    <tabColor theme="2" tint="-0.499984740745262"/>
  </sheetPr>
  <dimension ref="A1:U201"/>
  <sheetViews>
    <sheetView showGridLines="0" showZeros="0" topLeftCell="A2" zoomScale="124" zoomScaleNormal="124" workbookViewId="0">
      <selection activeCell="P182" sqref="P182"/>
    </sheetView>
  </sheetViews>
  <sheetFormatPr baseColWidth="10" defaultColWidth="11.42578125" defaultRowHeight="12.75"/>
  <cols>
    <col min="1" max="1" width="4.85546875" style="185" customWidth="1"/>
    <col min="2" max="2" width="33.42578125" style="185" customWidth="1"/>
    <col min="3" max="3" width="12.28515625" style="185" customWidth="1"/>
    <col min="4" max="4" width="13.42578125" style="185" customWidth="1"/>
    <col min="5" max="5" width="13" style="185" customWidth="1"/>
    <col min="6" max="6" width="13.42578125" style="185" hidden="1" customWidth="1"/>
    <col min="7" max="7" width="13.42578125" style="185" customWidth="1"/>
    <col min="8" max="8" width="12.85546875" style="185" customWidth="1"/>
    <col min="9" max="9" width="11.85546875" style="185" customWidth="1"/>
    <col min="10" max="10" width="11.140625" style="185" customWidth="1"/>
    <col min="11" max="11" width="6.85546875" style="185" hidden="1" customWidth="1"/>
    <col min="12" max="12" width="13.28515625" style="185" customWidth="1"/>
    <col min="13" max="13" width="5.140625" hidden="1" customWidth="1"/>
    <col min="14" max="14" width="13.5703125" hidden="1" customWidth="1"/>
    <col min="15" max="15" width="12.5703125" customWidth="1"/>
    <col min="16" max="16" width="13.140625" customWidth="1"/>
  </cols>
  <sheetData>
    <row r="1" spans="1:17" hidden="1"/>
    <row r="2" spans="1:17" ht="15.75">
      <c r="A2" s="605" t="s">
        <v>60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</row>
    <row r="3" spans="1:17" ht="15.75">
      <c r="A3" s="605" t="s">
        <v>61</v>
      </c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</row>
    <row r="4" spans="1:17" ht="15">
      <c r="A4" s="606" t="s">
        <v>189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  <c r="P4" t="s">
        <v>12</v>
      </c>
    </row>
    <row r="5" spans="1:17" ht="15">
      <c r="A5" s="606" t="s">
        <v>190</v>
      </c>
      <c r="B5" s="606"/>
      <c r="C5" s="606"/>
      <c r="D5" s="606"/>
      <c r="E5" s="606"/>
      <c r="F5" s="606"/>
      <c r="G5" s="606"/>
      <c r="H5" s="606"/>
      <c r="I5" s="606"/>
      <c r="J5" s="606"/>
      <c r="K5" s="606"/>
      <c r="L5" s="606"/>
    </row>
    <row r="6" spans="1:17" ht="6.75" customHeight="1">
      <c r="A6" s="186"/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</row>
    <row r="7" spans="1:17" ht="0.75" customHeight="1">
      <c r="A7" s="186"/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</row>
    <row r="8" spans="1:17" ht="12.75" customHeight="1">
      <c r="A8" s="664" t="s">
        <v>191</v>
      </c>
      <c r="B8" s="667" t="s">
        <v>0</v>
      </c>
      <c r="C8" s="654" t="s">
        <v>50</v>
      </c>
      <c r="D8" s="654"/>
      <c r="E8" s="654"/>
      <c r="F8" s="656" t="s">
        <v>192</v>
      </c>
      <c r="G8" s="656"/>
      <c r="H8" s="670" t="s">
        <v>193</v>
      </c>
      <c r="I8" s="656" t="s">
        <v>194</v>
      </c>
      <c r="J8" s="658" t="s">
        <v>42</v>
      </c>
      <c r="K8" s="659"/>
      <c r="L8" s="675" t="s">
        <v>195</v>
      </c>
      <c r="N8" s="653" t="s">
        <v>196</v>
      </c>
    </row>
    <row r="9" spans="1:17" ht="4.5" customHeight="1">
      <c r="A9" s="665"/>
      <c r="B9" s="668"/>
      <c r="C9" s="655"/>
      <c r="D9" s="655"/>
      <c r="E9" s="655"/>
      <c r="F9" s="657"/>
      <c r="G9" s="657"/>
      <c r="H9" s="671"/>
      <c r="I9" s="673"/>
      <c r="J9" s="660"/>
      <c r="K9" s="661"/>
      <c r="L9" s="676"/>
      <c r="N9" s="653"/>
    </row>
    <row r="10" spans="1:17" ht="23.25" customHeight="1">
      <c r="A10" s="666"/>
      <c r="B10" s="669"/>
      <c r="C10" s="187" t="s">
        <v>2</v>
      </c>
      <c r="D10" s="187" t="s">
        <v>3</v>
      </c>
      <c r="E10" s="187" t="s">
        <v>25</v>
      </c>
      <c r="F10" s="188" t="s">
        <v>67</v>
      </c>
      <c r="G10" s="188" t="s">
        <v>119</v>
      </c>
      <c r="H10" s="672"/>
      <c r="I10" s="674"/>
      <c r="J10" s="662"/>
      <c r="K10" s="663"/>
      <c r="L10" s="677"/>
      <c r="N10" s="653"/>
    </row>
    <row r="11" spans="1:17" ht="19.5" customHeight="1">
      <c r="A11" s="189" t="s">
        <v>197</v>
      </c>
      <c r="B11" s="190" t="s">
        <v>198</v>
      </c>
      <c r="C11" s="191">
        <f>SUM(C12+C16+C20+C21+C22+C27+C29)</f>
        <v>125299729</v>
      </c>
      <c r="D11" s="191">
        <f>+D12+D16+D20+D21+D22+D29</f>
        <v>122980084</v>
      </c>
      <c r="E11" s="191">
        <f>SUM(E12+E16+E20+E21+E22+E27+E29)</f>
        <v>91027312</v>
      </c>
      <c r="F11" s="191">
        <f>+F12+F16+F20+F22+F29+F21</f>
        <v>8606889.75</v>
      </c>
      <c r="G11" s="191">
        <f>+G12+G16+G20+G21+G22+G29</f>
        <v>79528977.139999986</v>
      </c>
      <c r="H11" s="191">
        <f>+H12+H16+H20+H21+H22+H29</f>
        <v>69117102.290000007</v>
      </c>
      <c r="I11" s="191">
        <f>SUM(I12+I16+I20+I21+I22+I27+I29)</f>
        <v>76248810.170000002</v>
      </c>
      <c r="J11" s="191">
        <f>+E11-G11</f>
        <v>11498334.860000014</v>
      </c>
      <c r="K11" s="191">
        <f t="shared" ref="K11:K26" si="0">+D11-G11</f>
        <v>43451106.860000014</v>
      </c>
      <c r="L11" s="209">
        <f t="shared" ref="L11:L20" si="1">+G11*100/E11</f>
        <v>87.368258375024823</v>
      </c>
      <c r="M11" s="9" t="s">
        <v>12</v>
      </c>
      <c r="N11" s="9">
        <v>70922087.390000001</v>
      </c>
      <c r="O11" t="s">
        <v>12</v>
      </c>
      <c r="P11" s="1">
        <v>0</v>
      </c>
      <c r="Q11" s="1" t="s">
        <v>12</v>
      </c>
    </row>
    <row r="12" spans="1:17" ht="17.25" customHeight="1">
      <c r="A12" s="192" t="s">
        <v>199</v>
      </c>
      <c r="B12" s="193" t="s">
        <v>200</v>
      </c>
      <c r="C12" s="194">
        <f>SUM(C13:C15)</f>
        <v>83395405</v>
      </c>
      <c r="D12" s="194">
        <f>+D13+D14+D15</f>
        <v>81773320</v>
      </c>
      <c r="E12" s="194">
        <f>SUM(E13:E15)</f>
        <v>61166612</v>
      </c>
      <c r="F12" s="194">
        <f>SUM(F13:F15)</f>
        <v>5961299.4000000004</v>
      </c>
      <c r="G12" s="194">
        <f>+G13+G14+G15</f>
        <v>53427304.899999999</v>
      </c>
      <c r="H12" s="194">
        <f>SUM(H13:H15)</f>
        <v>53427304.899999999</v>
      </c>
      <c r="I12" s="194">
        <f>SUM(I13:I15)</f>
        <v>53427304.899999999</v>
      </c>
      <c r="J12" s="194">
        <f t="shared" ref="J12:J33" si="2">+E12-G12</f>
        <v>7739307.1000000015</v>
      </c>
      <c r="K12" s="194">
        <f t="shared" si="0"/>
        <v>28346015.100000001</v>
      </c>
      <c r="L12" s="210">
        <f t="shared" si="1"/>
        <v>87.347170544610194</v>
      </c>
      <c r="N12" s="131">
        <f>SUM(N13:N15)</f>
        <v>47466005.5</v>
      </c>
      <c r="Q12" t="s">
        <v>12</v>
      </c>
    </row>
    <row r="13" spans="1:17">
      <c r="A13" s="195" t="s">
        <v>201</v>
      </c>
      <c r="B13" s="196" t="s">
        <v>200</v>
      </c>
      <c r="C13" s="197">
        <v>71073045</v>
      </c>
      <c r="D13" s="197">
        <v>69124045</v>
      </c>
      <c r="E13" s="197">
        <v>51241363</v>
      </c>
      <c r="F13" s="197">
        <v>5246738.47</v>
      </c>
      <c r="G13" s="197">
        <f t="shared" ref="G13:G15" si="3">+N13+F13</f>
        <v>45956509.390000001</v>
      </c>
      <c r="H13" s="197">
        <v>45956509.390000001</v>
      </c>
      <c r="I13" s="197">
        <v>45956509.390000001</v>
      </c>
      <c r="J13" s="197">
        <f t="shared" si="2"/>
        <v>5284853.6099999994</v>
      </c>
      <c r="K13" s="197">
        <f t="shared" si="0"/>
        <v>23167535.609999999</v>
      </c>
      <c r="L13" s="211">
        <f t="shared" si="1"/>
        <v>89.686352390743394</v>
      </c>
      <c r="N13" s="9">
        <v>40709770.920000002</v>
      </c>
      <c r="O13" t="s">
        <v>12</v>
      </c>
    </row>
    <row r="14" spans="1:17">
      <c r="A14" s="195" t="s">
        <v>202</v>
      </c>
      <c r="B14" s="196" t="s">
        <v>203</v>
      </c>
      <c r="C14" s="197">
        <v>3944236</v>
      </c>
      <c r="D14" s="197">
        <v>3844236</v>
      </c>
      <c r="E14" s="197">
        <v>2842218</v>
      </c>
      <c r="F14" s="197">
        <v>273889.65000000002</v>
      </c>
      <c r="G14" s="197">
        <f t="shared" si="3"/>
        <v>2250458.2600000002</v>
      </c>
      <c r="H14" s="198">
        <v>2250458.2599999998</v>
      </c>
      <c r="I14" s="197">
        <v>2250458.2599999998</v>
      </c>
      <c r="J14" s="197">
        <f t="shared" si="2"/>
        <v>591759.73999999976</v>
      </c>
      <c r="K14" s="197">
        <f t="shared" si="0"/>
        <v>1593777.7399999998</v>
      </c>
      <c r="L14" s="211">
        <f t="shared" si="1"/>
        <v>79.179649836852775</v>
      </c>
      <c r="N14" s="9">
        <v>1976568.61</v>
      </c>
    </row>
    <row r="15" spans="1:17">
      <c r="A15" s="195" t="s">
        <v>204</v>
      </c>
      <c r="B15" s="196" t="s">
        <v>205</v>
      </c>
      <c r="C15" s="197">
        <v>8378124</v>
      </c>
      <c r="D15" s="197">
        <v>8805039</v>
      </c>
      <c r="E15" s="197">
        <v>7083031</v>
      </c>
      <c r="F15" s="197">
        <v>440671.28</v>
      </c>
      <c r="G15" s="197">
        <f t="shared" si="3"/>
        <v>5220337.25</v>
      </c>
      <c r="H15" s="197">
        <v>5220337.25</v>
      </c>
      <c r="I15" s="197">
        <v>5220337.25</v>
      </c>
      <c r="J15" s="197">
        <f t="shared" si="2"/>
        <v>1862693.75</v>
      </c>
      <c r="K15" s="197">
        <f t="shared" si="0"/>
        <v>3584701.75</v>
      </c>
      <c r="L15" s="211">
        <f t="shared" si="1"/>
        <v>73.702024599355838</v>
      </c>
      <c r="N15" s="9">
        <v>4779665.97</v>
      </c>
    </row>
    <row r="16" spans="1:17" ht="15" customHeight="1">
      <c r="A16" s="199" t="s">
        <v>206</v>
      </c>
      <c r="B16" s="193" t="s">
        <v>207</v>
      </c>
      <c r="C16" s="194">
        <f t="shared" ref="C16:I16" si="4">SUM(C17:C19)</f>
        <v>17439165</v>
      </c>
      <c r="D16" s="194">
        <f t="shared" si="4"/>
        <v>16946165</v>
      </c>
      <c r="E16" s="194">
        <f t="shared" si="4"/>
        <v>12248769</v>
      </c>
      <c r="F16" s="194">
        <f t="shared" si="4"/>
        <v>1375362.24</v>
      </c>
      <c r="G16" s="194">
        <f t="shared" si="4"/>
        <v>11063581.620000001</v>
      </c>
      <c r="H16" s="194">
        <f t="shared" ref="H16" si="5">SUM(H17:H19)</f>
        <v>11063582.02</v>
      </c>
      <c r="I16" s="194">
        <f t="shared" si="4"/>
        <v>11063582.02</v>
      </c>
      <c r="J16" s="194">
        <f t="shared" si="2"/>
        <v>1185187.379999999</v>
      </c>
      <c r="K16" s="194">
        <f t="shared" si="0"/>
        <v>5882583.379999999</v>
      </c>
      <c r="L16" s="210">
        <f t="shared" si="1"/>
        <v>90.324028643204883</v>
      </c>
      <c r="N16" s="131">
        <f>SUM(N17:N19)</f>
        <v>9688219.3800000008</v>
      </c>
    </row>
    <row r="17" spans="1:14" ht="13.9" customHeight="1">
      <c r="A17" s="195" t="s">
        <v>208</v>
      </c>
      <c r="B17" s="196" t="s">
        <v>209</v>
      </c>
      <c r="C17" s="197">
        <v>223154</v>
      </c>
      <c r="D17" s="197">
        <v>223154</v>
      </c>
      <c r="E17" s="197">
        <v>145148</v>
      </c>
      <c r="F17" s="197">
        <v>21755.82</v>
      </c>
      <c r="G17" s="197">
        <f>+F17+N17</f>
        <v>120076.84</v>
      </c>
      <c r="H17" s="197">
        <v>120076.84</v>
      </c>
      <c r="I17" s="197">
        <v>120076.84</v>
      </c>
      <c r="J17" s="197">
        <f t="shared" si="2"/>
        <v>25071.160000000003</v>
      </c>
      <c r="K17" s="197">
        <f t="shared" si="0"/>
        <v>103077.16</v>
      </c>
      <c r="L17" s="211">
        <f t="shared" si="1"/>
        <v>82.72717502135751</v>
      </c>
      <c r="N17" s="9">
        <v>98321.02</v>
      </c>
    </row>
    <row r="18" spans="1:14" ht="13.9" customHeight="1">
      <c r="A18" s="200" t="s">
        <v>210</v>
      </c>
      <c r="B18" s="196" t="s">
        <v>211</v>
      </c>
      <c r="C18" s="197">
        <v>1488300</v>
      </c>
      <c r="D18" s="197">
        <v>1443300</v>
      </c>
      <c r="E18" s="197">
        <v>1071225</v>
      </c>
      <c r="F18" s="198">
        <v>98663.42</v>
      </c>
      <c r="G18" s="197">
        <f>+F18+N18</f>
        <v>863476.12</v>
      </c>
      <c r="H18" s="197">
        <v>863476.12</v>
      </c>
      <c r="I18" s="197">
        <v>863476.12</v>
      </c>
      <c r="J18" s="197">
        <f t="shared" si="2"/>
        <v>207748.88</v>
      </c>
      <c r="K18" s="197">
        <f t="shared" si="0"/>
        <v>579823.88</v>
      </c>
      <c r="L18" s="211">
        <f t="shared" si="1"/>
        <v>80.606419753086413</v>
      </c>
      <c r="N18" s="9">
        <v>764812.7</v>
      </c>
    </row>
    <row r="19" spans="1:14" ht="15.6" customHeight="1">
      <c r="A19" s="195" t="s">
        <v>212</v>
      </c>
      <c r="B19" s="196" t="s">
        <v>213</v>
      </c>
      <c r="C19" s="197">
        <v>15727711</v>
      </c>
      <c r="D19" s="197">
        <v>15279711</v>
      </c>
      <c r="E19" s="197">
        <v>11032396</v>
      </c>
      <c r="F19" s="198">
        <v>1254943</v>
      </c>
      <c r="G19" s="197">
        <f>+F19+N19</f>
        <v>10080028.66</v>
      </c>
      <c r="H19" s="197">
        <v>10080029.060000001</v>
      </c>
      <c r="I19" s="197">
        <v>10080029.060000001</v>
      </c>
      <c r="J19" s="197">
        <f t="shared" si="2"/>
        <v>952367.33999999985</v>
      </c>
      <c r="K19" s="197">
        <f t="shared" si="0"/>
        <v>5199682.34</v>
      </c>
      <c r="L19" s="211">
        <f t="shared" si="1"/>
        <v>91.367538474869832</v>
      </c>
      <c r="N19" s="9">
        <v>8825085.6600000001</v>
      </c>
    </row>
    <row r="20" spans="1:14">
      <c r="A20" s="199" t="s">
        <v>214</v>
      </c>
      <c r="B20" s="193" t="s">
        <v>215</v>
      </c>
      <c r="C20" s="194">
        <v>228000</v>
      </c>
      <c r="D20" s="194">
        <f>228000+19000</f>
        <v>247000</v>
      </c>
      <c r="E20" s="194">
        <v>190000</v>
      </c>
      <c r="F20" s="194">
        <v>18600</v>
      </c>
      <c r="G20" s="194">
        <f>+F20+N20</f>
        <v>168916.67</v>
      </c>
      <c r="H20" s="194">
        <v>171866.67</v>
      </c>
      <c r="I20" s="194">
        <v>168916.67</v>
      </c>
      <c r="J20" s="194">
        <f t="shared" si="2"/>
        <v>21083.329999999987</v>
      </c>
      <c r="K20" s="194">
        <f t="shared" si="0"/>
        <v>78083.329999999987</v>
      </c>
      <c r="L20" s="210">
        <f t="shared" si="1"/>
        <v>88.903510526315785</v>
      </c>
      <c r="N20" s="131">
        <v>150316.67000000001</v>
      </c>
    </row>
    <row r="21" spans="1:14">
      <c r="A21" s="199" t="s">
        <v>216</v>
      </c>
      <c r="B21" s="193" t="s">
        <v>217</v>
      </c>
      <c r="C21" s="194">
        <v>8407425</v>
      </c>
      <c r="D21" s="194">
        <v>7820865</v>
      </c>
      <c r="E21" s="194">
        <v>5018406</v>
      </c>
      <c r="F21" s="194">
        <v>47110.38</v>
      </c>
      <c r="G21" s="194">
        <f>+F21+N21</f>
        <v>4238452.8899999997</v>
      </c>
      <c r="H21" s="194">
        <v>4238504.97</v>
      </c>
      <c r="I21" s="194">
        <v>4238452.8899999997</v>
      </c>
      <c r="J21" s="194">
        <f t="shared" si="2"/>
        <v>779953.11000000034</v>
      </c>
      <c r="K21" s="194">
        <f t="shared" si="0"/>
        <v>3582412.1100000003</v>
      </c>
      <c r="L21" s="210">
        <f t="shared" ref="L21:L26" si="6">+G21*100/E21</f>
        <v>84.458150456539371</v>
      </c>
      <c r="N21" s="131">
        <v>4191342.51</v>
      </c>
    </row>
    <row r="22" spans="1:14" ht="14.25" customHeight="1">
      <c r="A22" s="192" t="s">
        <v>218</v>
      </c>
      <c r="B22" s="193" t="s">
        <v>219</v>
      </c>
      <c r="C22" s="194">
        <f t="shared" ref="C22:I22" si="7">SUM(C23:C26)</f>
        <v>15829734</v>
      </c>
      <c r="D22" s="194">
        <f t="shared" si="7"/>
        <v>15779734</v>
      </c>
      <c r="E22" s="194">
        <f t="shared" si="7"/>
        <v>11990525</v>
      </c>
      <c r="F22" s="194">
        <f t="shared" si="7"/>
        <v>1158326.94</v>
      </c>
      <c r="G22" s="194">
        <f t="shared" si="7"/>
        <v>10380812.68</v>
      </c>
      <c r="H22" s="194"/>
      <c r="I22" s="194">
        <f t="shared" si="7"/>
        <v>7115870.6099999994</v>
      </c>
      <c r="J22" s="194">
        <f t="shared" si="2"/>
        <v>1609712.3200000003</v>
      </c>
      <c r="K22" s="194">
        <f t="shared" si="0"/>
        <v>5398921.3200000003</v>
      </c>
      <c r="L22" s="210">
        <f t="shared" si="6"/>
        <v>86.575130613546946</v>
      </c>
      <c r="M22" s="6"/>
      <c r="N22" s="131">
        <f>SUM(N23:N26)</f>
        <v>9222485.7400000002</v>
      </c>
    </row>
    <row r="23" spans="1:14" ht="15" customHeight="1">
      <c r="A23" s="195" t="s">
        <v>220</v>
      </c>
      <c r="B23" s="197" t="s">
        <v>221</v>
      </c>
      <c r="C23" s="197">
        <v>13304646</v>
      </c>
      <c r="D23" s="197">
        <v>13254646</v>
      </c>
      <c r="E23" s="197">
        <v>10079634</v>
      </c>
      <c r="F23" s="197">
        <v>982313.68</v>
      </c>
      <c r="G23" s="197">
        <f>+N23+F23</f>
        <v>8833620.7699999996</v>
      </c>
      <c r="H23" s="197">
        <v>0</v>
      </c>
      <c r="I23" s="197">
        <v>6055677.8700000001</v>
      </c>
      <c r="J23" s="197">
        <f t="shared" si="2"/>
        <v>1246013.2300000004</v>
      </c>
      <c r="K23" s="197">
        <f t="shared" si="0"/>
        <v>4421025.2300000004</v>
      </c>
      <c r="L23" s="211">
        <f t="shared" si="6"/>
        <v>87.638308791767642</v>
      </c>
      <c r="N23" s="9">
        <v>7851307.0899999999</v>
      </c>
    </row>
    <row r="24" spans="1:14" ht="13.5" customHeight="1">
      <c r="A24" s="195" t="s">
        <v>222</v>
      </c>
      <c r="B24" s="196" t="s">
        <v>223</v>
      </c>
      <c r="C24" s="197">
        <v>1515055</v>
      </c>
      <c r="D24" s="197">
        <v>1515055</v>
      </c>
      <c r="E24" s="197">
        <v>1147102</v>
      </c>
      <c r="F24" s="197">
        <v>110052.41</v>
      </c>
      <c r="G24" s="197">
        <f t="shared" ref="G24:G33" si="8">+N24+F24</f>
        <v>967652.55</v>
      </c>
      <c r="H24" s="197">
        <v>0</v>
      </c>
      <c r="I24" s="197">
        <v>646752.73</v>
      </c>
      <c r="J24" s="197">
        <f t="shared" si="2"/>
        <v>179449.44999999995</v>
      </c>
      <c r="K24" s="197">
        <f t="shared" si="0"/>
        <v>547402.44999999995</v>
      </c>
      <c r="L24" s="211">
        <f t="shared" si="6"/>
        <v>84.356277820106669</v>
      </c>
      <c r="N24" s="9">
        <v>857600.14</v>
      </c>
    </row>
    <row r="25" spans="1:14" ht="13.5" customHeight="1">
      <c r="A25" s="195" t="s">
        <v>224</v>
      </c>
      <c r="B25" s="196" t="s">
        <v>225</v>
      </c>
      <c r="C25" s="197">
        <v>707023</v>
      </c>
      <c r="D25" s="197">
        <v>707023</v>
      </c>
      <c r="E25" s="197">
        <v>534757</v>
      </c>
      <c r="F25" s="197">
        <v>51497.94</v>
      </c>
      <c r="G25" s="197">
        <f t="shared" si="8"/>
        <v>452812.1</v>
      </c>
      <c r="H25" s="197">
        <v>0</v>
      </c>
      <c r="I25" s="197">
        <v>301088.67</v>
      </c>
      <c r="J25" s="197">
        <v>42469.75</v>
      </c>
      <c r="K25" s="197">
        <f t="shared" si="0"/>
        <v>254210.90000000002</v>
      </c>
      <c r="L25" s="211">
        <f t="shared" si="6"/>
        <v>84.676236122201303</v>
      </c>
      <c r="N25" s="9">
        <v>401314.16</v>
      </c>
    </row>
    <row r="26" spans="1:14" ht="13.5" customHeight="1">
      <c r="A26" s="195" t="s">
        <v>226</v>
      </c>
      <c r="B26" s="196" t="s">
        <v>227</v>
      </c>
      <c r="C26" s="197">
        <v>303010</v>
      </c>
      <c r="D26" s="197">
        <v>303010</v>
      </c>
      <c r="E26" s="197">
        <v>229032</v>
      </c>
      <c r="F26" s="197">
        <v>14462.91</v>
      </c>
      <c r="G26" s="197">
        <f t="shared" si="8"/>
        <v>126727.26000000001</v>
      </c>
      <c r="H26" s="197">
        <v>0</v>
      </c>
      <c r="I26" s="197">
        <v>112351.34</v>
      </c>
      <c r="J26" s="197">
        <f t="shared" si="2"/>
        <v>102304.73999999999</v>
      </c>
      <c r="K26" s="197">
        <f t="shared" si="0"/>
        <v>176282.74</v>
      </c>
      <c r="L26" s="211">
        <f t="shared" si="6"/>
        <v>55.33168290893849</v>
      </c>
      <c r="N26" s="9">
        <v>112264.35</v>
      </c>
    </row>
    <row r="27" spans="1:14" ht="1.5" hidden="1" customHeight="1">
      <c r="A27" s="192" t="s">
        <v>228</v>
      </c>
      <c r="B27" s="193" t="s">
        <v>229</v>
      </c>
      <c r="C27" s="194">
        <f>SUM(C28:C28)</f>
        <v>0</v>
      </c>
      <c r="D27" s="194" t="e">
        <f>SUM(D28:D28)</f>
        <v>#REF!</v>
      </c>
      <c r="E27" s="194">
        <v>0</v>
      </c>
      <c r="F27" s="194">
        <v>0</v>
      </c>
      <c r="G27" s="194">
        <f t="shared" si="8"/>
        <v>0</v>
      </c>
      <c r="H27" s="194"/>
      <c r="I27" s="194">
        <f>SUM(I28)</f>
        <v>0</v>
      </c>
      <c r="J27" s="194">
        <f t="shared" si="2"/>
        <v>0</v>
      </c>
      <c r="K27" s="194" t="e">
        <f>SUM(K28:K28)</f>
        <v>#REF!</v>
      </c>
      <c r="L27" s="211"/>
      <c r="N27" s="9">
        <v>0</v>
      </c>
    </row>
    <row r="28" spans="1:14" ht="9.75" hidden="1" customHeight="1">
      <c r="A28" s="195" t="s">
        <v>230</v>
      </c>
      <c r="B28" s="196" t="s">
        <v>231</v>
      </c>
      <c r="C28" s="197">
        <v>0</v>
      </c>
      <c r="D28" s="197" t="e">
        <f>+C28+#REF!</f>
        <v>#REF!</v>
      </c>
      <c r="E28" s="197">
        <v>0</v>
      </c>
      <c r="F28" s="197">
        <v>0</v>
      </c>
      <c r="G28" s="197">
        <f t="shared" si="8"/>
        <v>0</v>
      </c>
      <c r="H28" s="197"/>
      <c r="I28" s="197">
        <v>0</v>
      </c>
      <c r="J28" s="197">
        <f t="shared" si="2"/>
        <v>0</v>
      </c>
      <c r="K28" s="197" t="e">
        <f t="shared" ref="K28:K33" si="9">+D28-G28</f>
        <v>#REF!</v>
      </c>
      <c r="L28" s="211"/>
      <c r="N28" s="9">
        <v>0</v>
      </c>
    </row>
    <row r="29" spans="1:14" ht="13.5" customHeight="1">
      <c r="A29" s="192" t="s">
        <v>232</v>
      </c>
      <c r="B29" s="193" t="s">
        <v>233</v>
      </c>
      <c r="C29" s="197">
        <v>0</v>
      </c>
      <c r="D29" s="194">
        <f>SUM(D30:D35)</f>
        <v>413000</v>
      </c>
      <c r="E29" s="194">
        <f>SUM(E30:E35)</f>
        <v>413000</v>
      </c>
      <c r="F29" s="194">
        <f>SUM(F30:F35)</f>
        <v>46190.79</v>
      </c>
      <c r="G29" s="194">
        <f t="shared" si="8"/>
        <v>249908.38</v>
      </c>
      <c r="H29" s="194">
        <f>+H30+H31+H32+H33</f>
        <v>215843.73</v>
      </c>
      <c r="I29" s="194">
        <f>SUM(I30:I35)</f>
        <v>234683.08000000002</v>
      </c>
      <c r="J29" s="194">
        <f t="shared" si="2"/>
        <v>163091.62</v>
      </c>
      <c r="K29" s="194">
        <f t="shared" si="9"/>
        <v>163091.62</v>
      </c>
      <c r="L29" s="210">
        <f t="shared" ref="L29" si="10">+G29*100/E29</f>
        <v>60.510503631961257</v>
      </c>
      <c r="N29" s="131">
        <f>SUM(N30:N35)</f>
        <v>203717.59</v>
      </c>
    </row>
    <row r="30" spans="1:14" ht="14.1" customHeight="1">
      <c r="A30" s="195" t="s">
        <v>234</v>
      </c>
      <c r="B30" s="196" t="s">
        <v>235</v>
      </c>
      <c r="C30" s="197">
        <v>0</v>
      </c>
      <c r="D30" s="197">
        <v>266000</v>
      </c>
      <c r="E30" s="197">
        <v>266000</v>
      </c>
      <c r="F30" s="197">
        <v>26742.880000000001</v>
      </c>
      <c r="G30" s="197">
        <f t="shared" si="8"/>
        <v>188200.4</v>
      </c>
      <c r="H30" s="197">
        <v>188200.4</v>
      </c>
      <c r="I30" s="197">
        <v>188200.4</v>
      </c>
      <c r="J30" s="197">
        <f t="shared" si="2"/>
        <v>77799.600000000006</v>
      </c>
      <c r="K30" s="197">
        <f t="shared" si="9"/>
        <v>77799.600000000006</v>
      </c>
      <c r="L30" s="211">
        <f t="shared" ref="L30:L35" si="11">+G30*100/E30</f>
        <v>70.752030075187974</v>
      </c>
      <c r="N30" s="9">
        <v>161457.51999999999</v>
      </c>
    </row>
    <row r="31" spans="1:14" ht="14.1" customHeight="1">
      <c r="A31" s="195" t="s">
        <v>236</v>
      </c>
      <c r="B31" s="196" t="s">
        <v>237</v>
      </c>
      <c r="C31" s="197">
        <v>0</v>
      </c>
      <c r="D31" s="197">
        <v>12000</v>
      </c>
      <c r="E31" s="197">
        <v>12000</v>
      </c>
      <c r="F31" s="197"/>
      <c r="G31" s="197">
        <f t="shared" si="8"/>
        <v>10478.280000000001</v>
      </c>
      <c r="H31" s="197">
        <v>10478.280000000001</v>
      </c>
      <c r="I31" s="197">
        <v>10478.280000000001</v>
      </c>
      <c r="J31" s="197">
        <f t="shared" si="2"/>
        <v>1521.7199999999993</v>
      </c>
      <c r="K31" s="197">
        <f t="shared" si="9"/>
        <v>1521.7199999999993</v>
      </c>
      <c r="L31" s="211">
        <f t="shared" si="11"/>
        <v>87.319000000000003</v>
      </c>
      <c r="N31" s="9">
        <v>10478.280000000001</v>
      </c>
    </row>
    <row r="32" spans="1:14" ht="14.1" customHeight="1">
      <c r="A32" s="195" t="s">
        <v>238</v>
      </c>
      <c r="B32" s="196" t="s">
        <v>239</v>
      </c>
      <c r="C32" s="197">
        <v>0</v>
      </c>
      <c r="D32" s="197">
        <v>5000</v>
      </c>
      <c r="E32" s="197">
        <v>5000</v>
      </c>
      <c r="F32" s="197"/>
      <c r="G32" s="197">
        <f t="shared" si="8"/>
        <v>3356.67</v>
      </c>
      <c r="H32" s="197">
        <v>3356.67</v>
      </c>
      <c r="I32" s="197">
        <v>3356.67</v>
      </c>
      <c r="J32" s="197">
        <f t="shared" si="2"/>
        <v>1643.33</v>
      </c>
      <c r="K32" s="197">
        <f t="shared" si="9"/>
        <v>1643.33</v>
      </c>
      <c r="L32" s="211">
        <f t="shared" si="11"/>
        <v>67.133399999999995</v>
      </c>
      <c r="N32" s="9">
        <v>3356.67</v>
      </c>
    </row>
    <row r="33" spans="1:18" ht="12.75" customHeight="1">
      <c r="A33" s="195" t="s">
        <v>240</v>
      </c>
      <c r="B33" s="196" t="s">
        <v>241</v>
      </c>
      <c r="C33" s="197">
        <v>0</v>
      </c>
      <c r="D33" s="197">
        <v>55000</v>
      </c>
      <c r="E33" s="197">
        <v>55000</v>
      </c>
      <c r="F33" s="197">
        <v>13808.38</v>
      </c>
      <c r="G33" s="197">
        <f t="shared" si="8"/>
        <v>13808.38</v>
      </c>
      <c r="H33" s="197">
        <v>13808.38</v>
      </c>
      <c r="I33" s="197">
        <v>13808.38</v>
      </c>
      <c r="J33" s="197">
        <f t="shared" si="2"/>
        <v>41191.620000000003</v>
      </c>
      <c r="K33" s="197">
        <f t="shared" si="9"/>
        <v>41191.620000000003</v>
      </c>
      <c r="L33" s="211">
        <f t="shared" si="11"/>
        <v>25.106145454545455</v>
      </c>
      <c r="N33" s="9">
        <v>0</v>
      </c>
    </row>
    <row r="34" spans="1:18" ht="13.5" hidden="1" customHeight="1">
      <c r="A34" s="195" t="s">
        <v>242</v>
      </c>
      <c r="B34" s="196" t="s">
        <v>243</v>
      </c>
      <c r="C34" s="197">
        <v>0</v>
      </c>
      <c r="D34" s="197"/>
      <c r="E34" s="197"/>
      <c r="F34" s="197"/>
      <c r="G34" s="197"/>
      <c r="H34" s="197"/>
      <c r="I34" s="197"/>
      <c r="J34" s="197"/>
      <c r="K34" s="197"/>
      <c r="L34" s="211" t="e">
        <f t="shared" si="11"/>
        <v>#DIV/0!</v>
      </c>
      <c r="N34" s="9"/>
    </row>
    <row r="35" spans="1:18" ht="14.1" customHeight="1">
      <c r="A35" s="195" t="s">
        <v>244</v>
      </c>
      <c r="B35" s="196" t="s">
        <v>245</v>
      </c>
      <c r="C35" s="197">
        <v>0</v>
      </c>
      <c r="D35" s="197">
        <v>75000</v>
      </c>
      <c r="E35" s="197">
        <v>75000</v>
      </c>
      <c r="F35" s="197">
        <v>5639.53</v>
      </c>
      <c r="G35" s="197">
        <f>+N35+F35</f>
        <v>34064.65</v>
      </c>
      <c r="H35" s="197">
        <v>0</v>
      </c>
      <c r="I35" s="198">
        <v>18839.349999999999</v>
      </c>
      <c r="J35" s="197">
        <f>+E35-G35</f>
        <v>40935.35</v>
      </c>
      <c r="K35" s="197">
        <f>+D35-G35</f>
        <v>40935.35</v>
      </c>
      <c r="L35" s="211">
        <f t="shared" si="11"/>
        <v>45.419533333333334</v>
      </c>
      <c r="N35" s="9">
        <v>28425.119999999999</v>
      </c>
    </row>
    <row r="36" spans="1:18" ht="5.25" customHeight="1">
      <c r="A36" s="195"/>
      <c r="B36" s="196"/>
      <c r="C36" s="197"/>
      <c r="D36" s="197"/>
      <c r="E36" s="197"/>
      <c r="F36" s="197">
        <v>0</v>
      </c>
      <c r="G36" s="197"/>
      <c r="H36" s="197"/>
      <c r="I36" s="197"/>
      <c r="J36" s="197"/>
      <c r="K36" s="197"/>
      <c r="L36" s="211"/>
      <c r="N36" s="9"/>
    </row>
    <row r="37" spans="1:18" ht="20.25" customHeight="1">
      <c r="A37" s="201" t="s">
        <v>246</v>
      </c>
      <c r="B37" s="202" t="s">
        <v>247</v>
      </c>
      <c r="C37" s="203">
        <f>C38+C45+C54++C55+C58+C67+C73+C76+C62+C83</f>
        <v>7293008</v>
      </c>
      <c r="D37" s="203">
        <f>D38+D45+D54++D55+D58+D67+D73+D76+D62+D83</f>
        <v>7180373</v>
      </c>
      <c r="E37" s="203">
        <f>E38+E45+E54++E55+E58+E67+E73+E76+E62+E83</f>
        <v>6730217</v>
      </c>
      <c r="F37" s="203">
        <f>F38+F45+F54++F55+F58+F67+F73+F76+F62+F83</f>
        <v>377920.61999999994</v>
      </c>
      <c r="G37" s="203">
        <f>N37+F37</f>
        <v>4875741.3599999994</v>
      </c>
      <c r="H37" s="203">
        <f>H38+H45+H54++H55+H58+H67+H73+H76+H62+H83</f>
        <v>4052580.39</v>
      </c>
      <c r="I37" s="203">
        <f>I38+I45+I54++I55+I58+I67+I73+I76+I62+I83</f>
        <v>3545271.7399999998</v>
      </c>
      <c r="J37" s="203">
        <f>J38+J45+J54++J55+J58+J67+J73+J76+J62+J83</f>
        <v>1854475.6399999997</v>
      </c>
      <c r="K37" s="203">
        <f>K38+K45+K54++K55+K58+K67+K73+K76+K62+K83</f>
        <v>2304631.6399999992</v>
      </c>
      <c r="L37" s="212">
        <f>+G37*100/E37</f>
        <v>72.445529765236387</v>
      </c>
      <c r="M37" s="9" t="s">
        <v>12</v>
      </c>
      <c r="N37" s="9">
        <f>N38+N45+N54+N55+N58+N62+N67+N73+N76+N83</f>
        <v>4497820.7399999993</v>
      </c>
      <c r="O37" s="9"/>
      <c r="P37" s="9"/>
      <c r="Q37" s="1"/>
      <c r="R37" s="9"/>
    </row>
    <row r="38" spans="1:18" ht="15.75" customHeight="1">
      <c r="A38" s="192">
        <v>100</v>
      </c>
      <c r="B38" s="193" t="s">
        <v>248</v>
      </c>
      <c r="C38" s="194">
        <f>SUM(C39:C44)</f>
        <v>151437</v>
      </c>
      <c r="D38" s="194">
        <f>SUM(D39:D44)</f>
        <v>107787</v>
      </c>
      <c r="E38" s="194">
        <f>SUM(E39:E44)</f>
        <v>107787</v>
      </c>
      <c r="F38" s="194">
        <v>7084.13</v>
      </c>
      <c r="G38" s="194">
        <f>+N38+F38</f>
        <v>66676.11</v>
      </c>
      <c r="H38" s="194">
        <f>SUM(H39:H44)</f>
        <v>49135.11</v>
      </c>
      <c r="I38" s="194">
        <f>SUM(I39:I44)</f>
        <v>46160.380000000005</v>
      </c>
      <c r="J38" s="194">
        <f t="shared" ref="J38:J52" si="12">+E38-G38</f>
        <v>41110.89</v>
      </c>
      <c r="K38" s="194">
        <f t="shared" ref="K38:K51" si="13">+D38-G38</f>
        <v>41110.89</v>
      </c>
      <c r="L38" s="211">
        <f>+G38*100/E38</f>
        <v>61.859138857190572</v>
      </c>
      <c r="N38" s="131">
        <f>SUM(N39:N44)</f>
        <v>59591.979999999996</v>
      </c>
      <c r="Q38" s="1"/>
    </row>
    <row r="39" spans="1:18" ht="15" customHeight="1">
      <c r="A39" s="204" t="s">
        <v>249</v>
      </c>
      <c r="B39" s="197" t="s">
        <v>250</v>
      </c>
      <c r="C39" s="197">
        <v>3000</v>
      </c>
      <c r="D39" s="197">
        <v>12500</v>
      </c>
      <c r="E39" s="197">
        <v>12500</v>
      </c>
      <c r="F39" s="197"/>
      <c r="G39" s="197">
        <f t="shared" ref="G39:G44" si="14">+N39+F39</f>
        <v>8153.53</v>
      </c>
      <c r="H39" s="197">
        <v>8153.53</v>
      </c>
      <c r="I39" s="197">
        <v>5178.8</v>
      </c>
      <c r="J39" s="197">
        <f t="shared" si="12"/>
        <v>4346.47</v>
      </c>
      <c r="K39" s="197">
        <f t="shared" si="13"/>
        <v>4346.47</v>
      </c>
      <c r="L39" s="211">
        <f>+G39*100/E39</f>
        <v>65.22824</v>
      </c>
      <c r="N39" s="9">
        <v>8153.53</v>
      </c>
    </row>
    <row r="40" spans="1:18" ht="13.5" customHeight="1">
      <c r="A40" s="195" t="s">
        <v>251</v>
      </c>
      <c r="B40" s="196" t="s">
        <v>252</v>
      </c>
      <c r="C40" s="197">
        <v>2000</v>
      </c>
      <c r="D40" s="197">
        <f>15600+2000</f>
        <v>17600</v>
      </c>
      <c r="E40" s="197">
        <v>17600</v>
      </c>
      <c r="F40" s="197"/>
      <c r="G40" s="197">
        <f t="shared" si="14"/>
        <v>7183.98</v>
      </c>
      <c r="H40" s="197">
        <v>2728.5</v>
      </c>
      <c r="I40" s="197">
        <v>2728.5</v>
      </c>
      <c r="J40" s="197">
        <f t="shared" si="12"/>
        <v>10416.02</v>
      </c>
      <c r="K40" s="197">
        <f t="shared" si="13"/>
        <v>10416.02</v>
      </c>
      <c r="L40" s="211">
        <f>+G40*100/E40</f>
        <v>40.818068181818184</v>
      </c>
      <c r="N40" s="9">
        <v>7183.98</v>
      </c>
      <c r="P40" s="9"/>
    </row>
    <row r="41" spans="1:18" ht="11.25" customHeight="1">
      <c r="A41" s="195" t="s">
        <v>253</v>
      </c>
      <c r="B41" s="196" t="s">
        <v>254</v>
      </c>
      <c r="C41" s="197">
        <v>79362</v>
      </c>
      <c r="D41" s="197">
        <f>16762+3000+10000+1300-10000</f>
        <v>21062</v>
      </c>
      <c r="E41" s="197">
        <v>21062</v>
      </c>
      <c r="F41" s="197">
        <v>7084.13</v>
      </c>
      <c r="G41" s="197">
        <f t="shared" si="14"/>
        <v>10984.130000000001</v>
      </c>
      <c r="H41" s="197">
        <v>9484.11</v>
      </c>
      <c r="I41" s="197">
        <v>9484.11</v>
      </c>
      <c r="J41" s="197">
        <f t="shared" si="12"/>
        <v>10077.869999999999</v>
      </c>
      <c r="K41" s="197">
        <f t="shared" si="13"/>
        <v>10077.869999999999</v>
      </c>
      <c r="L41" s="211">
        <f>+G41*100/E41</f>
        <v>52.151410122495491</v>
      </c>
      <c r="N41" s="9">
        <v>3900</v>
      </c>
    </row>
    <row r="42" spans="1:18" ht="15" customHeight="1">
      <c r="A42" s="195" t="s">
        <v>255</v>
      </c>
      <c r="B42" s="196" t="s">
        <v>256</v>
      </c>
      <c r="C42" s="197">
        <v>7450</v>
      </c>
      <c r="D42" s="197">
        <v>0</v>
      </c>
      <c r="E42" s="197">
        <v>0</v>
      </c>
      <c r="F42" s="197"/>
      <c r="G42" s="197">
        <f t="shared" si="14"/>
        <v>0</v>
      </c>
      <c r="H42" s="197"/>
      <c r="I42" s="197">
        <v>0</v>
      </c>
      <c r="J42" s="197">
        <f t="shared" si="12"/>
        <v>0</v>
      </c>
      <c r="K42" s="197">
        <f t="shared" si="13"/>
        <v>0</v>
      </c>
      <c r="L42" s="211"/>
      <c r="N42" s="9">
        <v>0</v>
      </c>
    </row>
    <row r="43" spans="1:18" ht="15" customHeight="1">
      <c r="A43" s="195" t="s">
        <v>257</v>
      </c>
      <c r="B43" s="196" t="s">
        <v>258</v>
      </c>
      <c r="C43" s="197">
        <v>12400</v>
      </c>
      <c r="D43" s="197">
        <v>1000</v>
      </c>
      <c r="E43" s="197">
        <v>1000</v>
      </c>
      <c r="F43" s="197"/>
      <c r="G43" s="197">
        <v>0</v>
      </c>
      <c r="H43" s="197">
        <v>0</v>
      </c>
      <c r="I43" s="197">
        <v>0</v>
      </c>
      <c r="J43" s="197">
        <f t="shared" si="12"/>
        <v>1000</v>
      </c>
      <c r="K43" s="197">
        <f t="shared" si="13"/>
        <v>1000</v>
      </c>
      <c r="L43" s="211"/>
      <c r="N43" s="9">
        <v>0</v>
      </c>
    </row>
    <row r="44" spans="1:18" ht="15.6" customHeight="1">
      <c r="A44" s="195" t="s">
        <v>259</v>
      </c>
      <c r="B44" s="196" t="s">
        <v>260</v>
      </c>
      <c r="C44" s="197">
        <v>47225</v>
      </c>
      <c r="D44" s="197">
        <v>55625</v>
      </c>
      <c r="E44" s="197">
        <v>55625</v>
      </c>
      <c r="F44" s="197"/>
      <c r="G44" s="197">
        <f t="shared" si="14"/>
        <v>40354.47</v>
      </c>
      <c r="H44" s="197">
        <v>28768.97</v>
      </c>
      <c r="I44" s="197">
        <v>28768.97</v>
      </c>
      <c r="J44" s="197">
        <f t="shared" si="12"/>
        <v>15270.529999999999</v>
      </c>
      <c r="K44" s="197">
        <f t="shared" si="13"/>
        <v>15270.529999999999</v>
      </c>
      <c r="L44" s="211">
        <f t="shared" ref="L44:L52" si="15">+G44*100/E44</f>
        <v>72.547361797752814</v>
      </c>
      <c r="N44" s="9">
        <v>40354.47</v>
      </c>
    </row>
    <row r="45" spans="1:18">
      <c r="A45" s="205" t="s">
        <v>261</v>
      </c>
      <c r="B45" s="194" t="s">
        <v>262</v>
      </c>
      <c r="C45" s="194">
        <f>SUM(C46:C53)</f>
        <v>2652943</v>
      </c>
      <c r="D45" s="194">
        <f>SUM(D46:D53)</f>
        <v>3837443</v>
      </c>
      <c r="E45" s="194">
        <f>SUM(E46:E53)</f>
        <v>3398931</v>
      </c>
      <c r="F45" s="194">
        <f>SUM(F46:F53)</f>
        <v>307657.01999999996</v>
      </c>
      <c r="G45" s="194">
        <f>N45+F45</f>
        <v>3042529.6300000004</v>
      </c>
      <c r="H45" s="194">
        <f>SUM(H46:H53)</f>
        <v>2852787.1699999995</v>
      </c>
      <c r="I45" s="194">
        <f>SUM(I46:I53)</f>
        <v>2499162.11</v>
      </c>
      <c r="J45" s="194">
        <f t="shared" si="12"/>
        <v>356401.36999999965</v>
      </c>
      <c r="K45" s="194">
        <f t="shared" si="13"/>
        <v>794913.36999999965</v>
      </c>
      <c r="L45" s="210">
        <f t="shared" si="15"/>
        <v>89.514309940390092</v>
      </c>
      <c r="M45" s="9" t="s">
        <v>12</v>
      </c>
      <c r="N45" s="131">
        <f>SUM(N46:N52)</f>
        <v>2734872.6100000003</v>
      </c>
      <c r="O45" s="9"/>
      <c r="P45" s="9"/>
      <c r="Q45" s="9"/>
    </row>
    <row r="46" spans="1:18" ht="12" customHeight="1">
      <c r="A46" s="204" t="s">
        <v>263</v>
      </c>
      <c r="B46" s="197" t="s">
        <v>264</v>
      </c>
      <c r="C46" s="197">
        <v>109200</v>
      </c>
      <c r="D46" s="197">
        <v>109200</v>
      </c>
      <c r="E46" s="197">
        <v>89400</v>
      </c>
      <c r="F46" s="197">
        <v>9440.7900000000009</v>
      </c>
      <c r="G46" s="206">
        <f>+F46+N46</f>
        <v>76435.510000000009</v>
      </c>
      <c r="H46" s="197">
        <v>76435.509999999995</v>
      </c>
      <c r="I46" s="197">
        <v>48073.440000000002</v>
      </c>
      <c r="J46" s="197">
        <f t="shared" si="12"/>
        <v>12964.489999999991</v>
      </c>
      <c r="K46" s="197">
        <f t="shared" si="13"/>
        <v>32764.489999999991</v>
      </c>
      <c r="L46" s="211">
        <f t="shared" si="15"/>
        <v>85.498333333333349</v>
      </c>
      <c r="N46" s="9">
        <v>66994.720000000001</v>
      </c>
    </row>
    <row r="47" spans="1:18" ht="14.25" customHeight="1">
      <c r="A47" s="195" t="s">
        <v>265</v>
      </c>
      <c r="B47" s="196" t="s">
        <v>266</v>
      </c>
      <c r="C47" s="197">
        <v>43100</v>
      </c>
      <c r="D47" s="197">
        <v>54600</v>
      </c>
      <c r="E47" s="197">
        <v>47000</v>
      </c>
      <c r="F47" s="197">
        <v>2251.39</v>
      </c>
      <c r="G47" s="197">
        <f t="shared" ref="G47:G52" si="16">+N47+F47</f>
        <v>14875.039999999999</v>
      </c>
      <c r="H47" s="197">
        <v>11443.04</v>
      </c>
      <c r="I47" s="197">
        <v>6621.27</v>
      </c>
      <c r="J47" s="197">
        <f t="shared" si="12"/>
        <v>32124.959999999999</v>
      </c>
      <c r="K47" s="197">
        <f t="shared" si="13"/>
        <v>39724.959999999999</v>
      </c>
      <c r="L47" s="211">
        <f t="shared" si="15"/>
        <v>31.649021276595743</v>
      </c>
      <c r="N47" s="9">
        <v>12623.65</v>
      </c>
    </row>
    <row r="48" spans="1:18" ht="13.5" customHeight="1">
      <c r="A48" s="195" t="s">
        <v>267</v>
      </c>
      <c r="B48" s="196" t="s">
        <v>268</v>
      </c>
      <c r="C48" s="197">
        <v>4500</v>
      </c>
      <c r="D48" s="197">
        <v>4500</v>
      </c>
      <c r="E48" s="197">
        <v>4500</v>
      </c>
      <c r="F48" s="197"/>
      <c r="G48" s="197">
        <f t="shared" si="16"/>
        <v>50</v>
      </c>
      <c r="H48" s="197">
        <v>50</v>
      </c>
      <c r="I48" s="197">
        <v>50</v>
      </c>
      <c r="J48" s="197">
        <f t="shared" si="12"/>
        <v>4450</v>
      </c>
      <c r="K48" s="197">
        <f t="shared" si="13"/>
        <v>4450</v>
      </c>
      <c r="L48" s="211">
        <f t="shared" si="15"/>
        <v>1.1111111111111112</v>
      </c>
      <c r="N48" s="9">
        <v>50</v>
      </c>
    </row>
    <row r="49" spans="1:21" ht="13.5" customHeight="1">
      <c r="A49" s="195" t="s">
        <v>269</v>
      </c>
      <c r="B49" s="196" t="s">
        <v>270</v>
      </c>
      <c r="C49" s="197">
        <f>2717526-700000</f>
        <v>2017526</v>
      </c>
      <c r="D49" s="197">
        <f>2717526-700000+250000+100000+299000</f>
        <v>2666526</v>
      </c>
      <c r="E49" s="197">
        <v>2299704</v>
      </c>
      <c r="F49" s="197">
        <v>272441.61</v>
      </c>
      <c r="G49" s="197">
        <f t="shared" si="16"/>
        <v>2154542.29</v>
      </c>
      <c r="H49" s="197">
        <v>2154542.29</v>
      </c>
      <c r="I49" s="197">
        <v>2029364.02</v>
      </c>
      <c r="J49" s="197">
        <f t="shared" si="12"/>
        <v>145161.70999999996</v>
      </c>
      <c r="K49" s="197">
        <f t="shared" si="13"/>
        <v>511983.70999999996</v>
      </c>
      <c r="L49" s="211">
        <f t="shared" si="15"/>
        <v>93.68780895280436</v>
      </c>
      <c r="N49" s="9">
        <v>1882100.68</v>
      </c>
    </row>
    <row r="50" spans="1:21" ht="15" customHeight="1">
      <c r="A50" s="195" t="s">
        <v>271</v>
      </c>
      <c r="B50" s="196" t="s">
        <v>272</v>
      </c>
      <c r="C50" s="197">
        <v>243600</v>
      </c>
      <c r="D50" s="197">
        <v>313600</v>
      </c>
      <c r="E50" s="197">
        <v>269310</v>
      </c>
      <c r="F50" s="197">
        <v>23523.23</v>
      </c>
      <c r="G50" s="207">
        <f t="shared" si="16"/>
        <v>177231.91</v>
      </c>
      <c r="H50" s="197">
        <v>177231.9</v>
      </c>
      <c r="I50" s="197">
        <v>177231.9</v>
      </c>
      <c r="J50" s="197">
        <f t="shared" si="12"/>
        <v>92078.09</v>
      </c>
      <c r="K50" s="197">
        <f t="shared" si="13"/>
        <v>136368.09</v>
      </c>
      <c r="L50" s="211">
        <f t="shared" si="15"/>
        <v>65.809628309383243</v>
      </c>
      <c r="N50" s="9">
        <v>153708.68</v>
      </c>
    </row>
    <row r="51" spans="1:21" ht="13.15" customHeight="1">
      <c r="A51" s="195">
        <v>116</v>
      </c>
      <c r="B51" s="196" t="s">
        <v>273</v>
      </c>
      <c r="C51" s="197">
        <v>204417</v>
      </c>
      <c r="D51" s="197">
        <v>658417</v>
      </c>
      <c r="E51" s="197">
        <v>658417</v>
      </c>
      <c r="F51" s="197">
        <v>0</v>
      </c>
      <c r="G51" s="197">
        <f t="shared" si="16"/>
        <v>612796.72</v>
      </c>
      <c r="H51" s="197">
        <v>432506.63</v>
      </c>
      <c r="I51" s="197">
        <v>237243.68</v>
      </c>
      <c r="J51" s="197">
        <f t="shared" si="12"/>
        <v>45620.280000000028</v>
      </c>
      <c r="K51" s="197">
        <f t="shared" si="13"/>
        <v>45620.280000000028</v>
      </c>
      <c r="L51" s="211">
        <f t="shared" si="15"/>
        <v>93.071217784473973</v>
      </c>
      <c r="N51" s="9">
        <v>612796.72</v>
      </c>
    </row>
    <row r="52" spans="1:21" ht="13.5" customHeight="1">
      <c r="A52" s="195">
        <v>117</v>
      </c>
      <c r="B52" s="196" t="s">
        <v>274</v>
      </c>
      <c r="C52" s="197">
        <v>30000</v>
      </c>
      <c r="D52" s="197">
        <v>30000</v>
      </c>
      <c r="E52" s="197">
        <v>30000</v>
      </c>
      <c r="F52" s="197"/>
      <c r="G52" s="197">
        <f t="shared" si="16"/>
        <v>6598.16</v>
      </c>
      <c r="H52" s="197">
        <v>577.79999999999995</v>
      </c>
      <c r="I52" s="197">
        <v>577.79999999999995</v>
      </c>
      <c r="J52" s="197">
        <f t="shared" si="12"/>
        <v>23401.84</v>
      </c>
      <c r="K52" s="197"/>
      <c r="L52" s="211">
        <f t="shared" si="15"/>
        <v>21.993866666666666</v>
      </c>
      <c r="N52" s="9">
        <v>6598.16</v>
      </c>
    </row>
    <row r="53" spans="1:21" ht="13.5" customHeight="1">
      <c r="A53" s="195">
        <v>119</v>
      </c>
      <c r="B53" s="196" t="s">
        <v>275</v>
      </c>
      <c r="C53" s="197">
        <v>600</v>
      </c>
      <c r="D53" s="197">
        <v>600</v>
      </c>
      <c r="E53" s="197">
        <v>600</v>
      </c>
      <c r="F53" s="197"/>
      <c r="G53" s="197"/>
      <c r="H53" s="197"/>
      <c r="I53" s="197"/>
      <c r="J53" s="197"/>
      <c r="K53" s="197"/>
      <c r="L53" s="211"/>
      <c r="N53" s="9"/>
    </row>
    <row r="54" spans="1:21" ht="12.75" customHeight="1">
      <c r="A54" s="192">
        <v>120</v>
      </c>
      <c r="B54" s="194" t="s">
        <v>276</v>
      </c>
      <c r="C54" s="194">
        <v>87500</v>
      </c>
      <c r="D54" s="194">
        <f>13000+1100+2000+700</f>
        <v>16800</v>
      </c>
      <c r="E54" s="194">
        <v>16800</v>
      </c>
      <c r="F54" s="194">
        <v>90</v>
      </c>
      <c r="G54" s="194">
        <f>+N54+F54</f>
        <v>9850.3799999999992</v>
      </c>
      <c r="H54" s="194">
        <v>9697.73</v>
      </c>
      <c r="I54" s="194">
        <v>9194.1299999999992</v>
      </c>
      <c r="J54" s="194">
        <f t="shared" ref="J54:J64" si="17">+E54-G54</f>
        <v>6949.6200000000008</v>
      </c>
      <c r="K54" s="194">
        <f t="shared" ref="K54:K67" si="18">+D54-G54</f>
        <v>6949.6200000000008</v>
      </c>
      <c r="L54" s="210">
        <f t="shared" ref="L54:L67" si="19">+G54*100/E54</f>
        <v>58.633214285714281</v>
      </c>
      <c r="M54" s="6"/>
      <c r="N54" s="131">
        <v>9760.3799999999992</v>
      </c>
      <c r="U54">
        <f ca="1">U54</f>
        <v>0</v>
      </c>
    </row>
    <row r="55" spans="1:21" ht="13.5" customHeight="1">
      <c r="A55" s="205" t="s">
        <v>277</v>
      </c>
      <c r="B55" s="194" t="s">
        <v>278</v>
      </c>
      <c r="C55" s="194">
        <f>SUM(C56:C57)</f>
        <v>163284</v>
      </c>
      <c r="D55" s="194">
        <f>SUM(D56:D57)</f>
        <v>36189</v>
      </c>
      <c r="E55" s="194">
        <f>SUM(E56:E57)</f>
        <v>36189</v>
      </c>
      <c r="F55" s="194"/>
      <c r="G55" s="194">
        <f t="shared" ref="G55:G67" si="20">+N55+F55</f>
        <v>12607.779999999999</v>
      </c>
      <c r="H55" s="194">
        <f>+H56+H57</f>
        <v>11726.08</v>
      </c>
      <c r="I55" s="194">
        <f>SUM(I56:I57)</f>
        <v>10075.280000000001</v>
      </c>
      <c r="J55" s="194">
        <f t="shared" si="17"/>
        <v>23581.22</v>
      </c>
      <c r="K55" s="194">
        <f t="shared" si="18"/>
        <v>23581.22</v>
      </c>
      <c r="L55" s="210">
        <f t="shared" si="19"/>
        <v>34.838707894664125</v>
      </c>
      <c r="M55" s="6"/>
      <c r="N55" s="131">
        <f>SUM(N56:N57)</f>
        <v>12607.779999999999</v>
      </c>
    </row>
    <row r="56" spans="1:21" ht="14.25" customHeight="1">
      <c r="A56" s="195" t="s">
        <v>279</v>
      </c>
      <c r="B56" s="197" t="s">
        <v>280</v>
      </c>
      <c r="C56" s="197">
        <v>81769</v>
      </c>
      <c r="D56" s="197">
        <f>16074+2300+200</f>
        <v>18574</v>
      </c>
      <c r="E56" s="197">
        <v>18574</v>
      </c>
      <c r="F56" s="197"/>
      <c r="G56" s="197">
        <f t="shared" si="20"/>
        <v>8060.28</v>
      </c>
      <c r="H56" s="197">
        <v>7178.58</v>
      </c>
      <c r="I56" s="197">
        <v>6565.68</v>
      </c>
      <c r="J56" s="197">
        <f t="shared" si="17"/>
        <v>10513.720000000001</v>
      </c>
      <c r="K56" s="197">
        <f t="shared" si="18"/>
        <v>10513.720000000001</v>
      </c>
      <c r="L56" s="211">
        <f t="shared" si="19"/>
        <v>43.395499084742113</v>
      </c>
      <c r="M56" s="6"/>
      <c r="N56" s="9">
        <v>8060.28</v>
      </c>
    </row>
    <row r="57" spans="1:21" ht="15" customHeight="1">
      <c r="A57" s="195" t="s">
        <v>281</v>
      </c>
      <c r="B57" s="197" t="s">
        <v>282</v>
      </c>
      <c r="C57" s="197">
        <v>81515</v>
      </c>
      <c r="D57" s="197">
        <f>34915+1600+300-19200</f>
        <v>17615</v>
      </c>
      <c r="E57" s="197">
        <v>17615</v>
      </c>
      <c r="F57" s="197"/>
      <c r="G57" s="197">
        <f t="shared" si="20"/>
        <v>4547.5</v>
      </c>
      <c r="H57" s="197">
        <v>4547.5</v>
      </c>
      <c r="I57" s="197">
        <v>3509.6</v>
      </c>
      <c r="J57" s="197">
        <f t="shared" si="17"/>
        <v>13067.5</v>
      </c>
      <c r="K57" s="197">
        <f t="shared" si="18"/>
        <v>13067.5</v>
      </c>
      <c r="L57" s="211">
        <f t="shared" si="19"/>
        <v>25.816065852966222</v>
      </c>
      <c r="M57" s="6"/>
      <c r="N57" s="9">
        <v>4547.5</v>
      </c>
      <c r="P57" s="9" t="s">
        <v>12</v>
      </c>
    </row>
    <row r="58" spans="1:21">
      <c r="A58" s="205" t="s">
        <v>283</v>
      </c>
      <c r="B58" s="194" t="s">
        <v>284</v>
      </c>
      <c r="C58" s="194">
        <f>SUM(C59:C61)</f>
        <v>981486</v>
      </c>
      <c r="D58" s="194">
        <f>SUM(D59:D61)</f>
        <v>366905</v>
      </c>
      <c r="E58" s="194">
        <f>SUM(E59:E61)</f>
        <v>366905</v>
      </c>
      <c r="F58" s="194">
        <f>SUM(F59:F61)</f>
        <v>11926</v>
      </c>
      <c r="G58" s="194">
        <f>N58+F58</f>
        <v>200559.5</v>
      </c>
      <c r="H58" s="194">
        <f>SUM(H59:H61)</f>
        <v>200559.5</v>
      </c>
      <c r="I58" s="194">
        <f>SUM(I59:I61)</f>
        <v>200385.5</v>
      </c>
      <c r="J58" s="194">
        <f t="shared" si="17"/>
        <v>166345.5</v>
      </c>
      <c r="K58" s="194">
        <f t="shared" si="18"/>
        <v>166345.5</v>
      </c>
      <c r="L58" s="210">
        <f t="shared" si="19"/>
        <v>54.662514819912509</v>
      </c>
      <c r="M58" s="6"/>
      <c r="N58" s="131">
        <f>SUM(N59:N61)</f>
        <v>188633.5</v>
      </c>
      <c r="O58" s="9"/>
      <c r="P58" s="9" t="s">
        <v>12</v>
      </c>
      <c r="Q58" s="2" t="s">
        <v>12</v>
      </c>
    </row>
    <row r="59" spans="1:21" ht="15.75" customHeight="1">
      <c r="A59" s="204" t="s">
        <v>285</v>
      </c>
      <c r="B59" s="197" t="s">
        <v>286</v>
      </c>
      <c r="C59" s="197">
        <v>621226</v>
      </c>
      <c r="D59" s="197">
        <v>277576</v>
      </c>
      <c r="E59" s="197">
        <v>277576</v>
      </c>
      <c r="F59" s="197">
        <v>8378</v>
      </c>
      <c r="G59" s="208">
        <f>N59+F59</f>
        <v>165655.5</v>
      </c>
      <c r="H59" s="197">
        <v>165655.5</v>
      </c>
      <c r="I59" s="197">
        <v>165481.5</v>
      </c>
      <c r="J59" s="197">
        <f t="shared" si="17"/>
        <v>111920.5</v>
      </c>
      <c r="K59" s="197">
        <f t="shared" si="18"/>
        <v>111920.5</v>
      </c>
      <c r="L59" s="211">
        <f t="shared" si="19"/>
        <v>59.679331066086405</v>
      </c>
      <c r="N59" s="9">
        <f>156959.5+318</f>
        <v>157277.5</v>
      </c>
      <c r="O59" s="213"/>
    </row>
    <row r="60" spans="1:21" ht="13.5" customHeight="1">
      <c r="A60" s="195" t="s">
        <v>287</v>
      </c>
      <c r="B60" s="196" t="s">
        <v>288</v>
      </c>
      <c r="C60" s="197">
        <v>227583</v>
      </c>
      <c r="D60" s="197">
        <v>61783</v>
      </c>
      <c r="E60" s="197">
        <v>61783</v>
      </c>
      <c r="F60" s="197">
        <v>3500</v>
      </c>
      <c r="G60" s="197">
        <f>N60+F60</f>
        <v>23300</v>
      </c>
      <c r="H60" s="197">
        <v>23300</v>
      </c>
      <c r="I60" s="197">
        <v>23300</v>
      </c>
      <c r="J60" s="197">
        <f t="shared" si="17"/>
        <v>38483</v>
      </c>
      <c r="K60" s="197">
        <f t="shared" si="18"/>
        <v>38483</v>
      </c>
      <c r="L60" s="211">
        <f t="shared" si="19"/>
        <v>37.712639399187481</v>
      </c>
      <c r="N60" s="9">
        <v>19800</v>
      </c>
    </row>
    <row r="61" spans="1:21" ht="12" customHeight="1">
      <c r="A61" s="195">
        <v>143</v>
      </c>
      <c r="B61" s="196" t="s">
        <v>289</v>
      </c>
      <c r="C61" s="197">
        <v>132677</v>
      </c>
      <c r="D61" s="197">
        <f>13675+3402+3900+2500+5000+1500+5000-7431</f>
        <v>27546</v>
      </c>
      <c r="E61" s="197">
        <v>27546</v>
      </c>
      <c r="F61" s="197">
        <v>48</v>
      </c>
      <c r="G61" s="197">
        <f>N61+F61</f>
        <v>11604</v>
      </c>
      <c r="H61" s="197">
        <v>11604</v>
      </c>
      <c r="I61" s="197">
        <v>11604</v>
      </c>
      <c r="J61" s="197">
        <f t="shared" si="17"/>
        <v>15942</v>
      </c>
      <c r="K61" s="197">
        <f t="shared" si="18"/>
        <v>15942</v>
      </c>
      <c r="L61" s="211">
        <f t="shared" si="19"/>
        <v>42.125898497059467</v>
      </c>
      <c r="N61" s="9">
        <v>11556</v>
      </c>
      <c r="Q61" s="2" t="s">
        <v>12</v>
      </c>
    </row>
    <row r="62" spans="1:21">
      <c r="A62" s="205" t="s">
        <v>290</v>
      </c>
      <c r="B62" s="194" t="s">
        <v>291</v>
      </c>
      <c r="C62" s="194">
        <f>SUM(C63:C65)</f>
        <v>448811</v>
      </c>
      <c r="D62" s="194">
        <f>SUM(D63:D66)</f>
        <v>189048</v>
      </c>
      <c r="E62" s="194">
        <f>+E63+E64+E65+E66</f>
        <v>189048</v>
      </c>
      <c r="F62" s="194">
        <f>+F63+F64+F65+F66</f>
        <v>10631.98</v>
      </c>
      <c r="G62" s="194">
        <f>N62+F62</f>
        <v>64566.709999999992</v>
      </c>
      <c r="H62" s="194">
        <f>+H63+H64+H65+H66</f>
        <v>37670.080000000002</v>
      </c>
      <c r="I62" s="194">
        <f>SUM(I63:I66)</f>
        <v>35910.720000000001</v>
      </c>
      <c r="J62" s="194">
        <f t="shared" si="17"/>
        <v>124481.29000000001</v>
      </c>
      <c r="K62" s="194">
        <f t="shared" si="18"/>
        <v>124481.29000000001</v>
      </c>
      <c r="L62" s="210">
        <f t="shared" si="19"/>
        <v>34.153606491473063</v>
      </c>
      <c r="M62" s="6"/>
      <c r="N62" s="131">
        <f>SUM(N63:N66)</f>
        <v>53934.729999999996</v>
      </c>
      <c r="O62" s="9"/>
      <c r="P62" s="9" t="s">
        <v>12</v>
      </c>
      <c r="Q62" s="2" t="s">
        <v>12</v>
      </c>
    </row>
    <row r="63" spans="1:21" ht="15" customHeight="1">
      <c r="A63" s="204" t="s">
        <v>292</v>
      </c>
      <c r="B63" s="197" t="s">
        <v>286</v>
      </c>
      <c r="C63" s="197">
        <v>251809</v>
      </c>
      <c r="D63" s="197">
        <f>67809+31000-5000</f>
        <v>93809</v>
      </c>
      <c r="E63" s="197">
        <v>93809</v>
      </c>
      <c r="F63" s="197">
        <v>3422.01</v>
      </c>
      <c r="G63" s="197">
        <f>+N63+F63</f>
        <v>38612.15</v>
      </c>
      <c r="H63" s="197">
        <v>34710.910000000003</v>
      </c>
      <c r="I63" s="197">
        <v>34261.760000000002</v>
      </c>
      <c r="J63" s="197">
        <f t="shared" si="17"/>
        <v>55196.85</v>
      </c>
      <c r="K63" s="204">
        <f t="shared" si="18"/>
        <v>55196.85</v>
      </c>
      <c r="L63" s="211">
        <f t="shared" si="19"/>
        <v>41.160389728064473</v>
      </c>
      <c r="N63" s="9">
        <f>35163+27.14</f>
        <v>35190.14</v>
      </c>
      <c r="O63" s="213"/>
      <c r="P63" s="9"/>
    </row>
    <row r="64" spans="1:21" ht="12.75" customHeight="1">
      <c r="A64" s="195" t="s">
        <v>293</v>
      </c>
      <c r="B64" s="196" t="s">
        <v>288</v>
      </c>
      <c r="C64" s="197">
        <v>158402</v>
      </c>
      <c r="D64" s="197">
        <f>31402+14100+4600+20000-6000+4000+5000-15763</f>
        <v>57339</v>
      </c>
      <c r="E64" s="197">
        <v>57339</v>
      </c>
      <c r="F64" s="197">
        <v>1380.36</v>
      </c>
      <c r="G64" s="197">
        <f t="shared" si="20"/>
        <v>18038.810000000001</v>
      </c>
      <c r="H64" s="197">
        <v>1141.56</v>
      </c>
      <c r="I64" s="197">
        <v>0</v>
      </c>
      <c r="J64" s="197">
        <f t="shared" si="17"/>
        <v>39300.19</v>
      </c>
      <c r="K64" s="204">
        <f t="shared" si="18"/>
        <v>39300.19</v>
      </c>
      <c r="L64" s="211">
        <f t="shared" si="19"/>
        <v>31.459931285861284</v>
      </c>
      <c r="N64" s="9">
        <v>16658.45</v>
      </c>
    </row>
    <row r="65" spans="1:17" ht="12.75" customHeight="1">
      <c r="A65" s="195">
        <v>153</v>
      </c>
      <c r="B65" s="196" t="s">
        <v>294</v>
      </c>
      <c r="C65" s="197">
        <v>38600</v>
      </c>
      <c r="D65" s="197">
        <f>28600-480-14780-1500+3680+6380+6700+2000+3000</f>
        <v>33600</v>
      </c>
      <c r="E65" s="197">
        <v>33600</v>
      </c>
      <c r="F65" s="197">
        <v>5773.32</v>
      </c>
      <c r="G65" s="197">
        <f t="shared" si="20"/>
        <v>6506.5999999999995</v>
      </c>
      <c r="H65" s="214">
        <v>408.46</v>
      </c>
      <c r="I65" s="197">
        <v>408.46</v>
      </c>
      <c r="J65" s="245" t="s">
        <v>295</v>
      </c>
      <c r="K65" s="246">
        <f t="shared" si="18"/>
        <v>27093.4</v>
      </c>
      <c r="L65" s="211">
        <f t="shared" si="19"/>
        <v>19.364880952380954</v>
      </c>
      <c r="N65" s="9">
        <v>733.28</v>
      </c>
    </row>
    <row r="66" spans="1:17" ht="14.1" customHeight="1">
      <c r="A66" s="195">
        <v>154</v>
      </c>
      <c r="B66" s="196" t="s">
        <v>296</v>
      </c>
      <c r="C66" s="197"/>
      <c r="D66" s="197">
        <f>5500-1200</f>
        <v>4300</v>
      </c>
      <c r="E66" s="197">
        <v>4300</v>
      </c>
      <c r="F66" s="197">
        <v>56.29</v>
      </c>
      <c r="G66" s="197">
        <f t="shared" si="20"/>
        <v>1409.1499999999999</v>
      </c>
      <c r="H66" s="197">
        <v>1409.15</v>
      </c>
      <c r="I66" s="197">
        <v>1240.5</v>
      </c>
      <c r="J66" s="197">
        <f>+E66-G66</f>
        <v>2890.8500000000004</v>
      </c>
      <c r="K66" s="204">
        <f t="shared" si="18"/>
        <v>2890.8500000000004</v>
      </c>
      <c r="L66" s="211">
        <f t="shared" si="19"/>
        <v>32.770930232558136</v>
      </c>
      <c r="N66" s="9">
        <v>1352.86</v>
      </c>
    </row>
    <row r="67" spans="1:17" ht="15.75" customHeight="1">
      <c r="A67" s="205" t="s">
        <v>297</v>
      </c>
      <c r="B67" s="194" t="s">
        <v>298</v>
      </c>
      <c r="C67" s="194">
        <f>SUM(C68:C72)</f>
        <v>1492093</v>
      </c>
      <c r="D67" s="194">
        <f>SUM(D68:D72)</f>
        <v>1667951</v>
      </c>
      <c r="E67" s="194">
        <f>SUM(E68:E72)</f>
        <v>1667951</v>
      </c>
      <c r="F67" s="194">
        <f>SUM(F68:F72)</f>
        <v>1585.45</v>
      </c>
      <c r="G67" s="194">
        <f t="shared" si="20"/>
        <v>891906.28</v>
      </c>
      <c r="H67" s="194">
        <f>+H68+H69+H70+H72+H71</f>
        <v>523506.51</v>
      </c>
      <c r="I67" s="194">
        <f>+I68+I69+I70+I72+I71</f>
        <v>468466.65</v>
      </c>
      <c r="J67" s="194">
        <f>+E67-G67</f>
        <v>776044.72</v>
      </c>
      <c r="K67" s="205">
        <f t="shared" si="18"/>
        <v>776044.72</v>
      </c>
      <c r="L67" s="210">
        <f t="shared" si="19"/>
        <v>53.473170374909095</v>
      </c>
      <c r="N67" s="131">
        <f>N70+N71+N72</f>
        <v>890320.83000000007</v>
      </c>
      <c r="O67" s="9"/>
      <c r="P67" s="9"/>
    </row>
    <row r="68" spans="1:17" ht="0.75" customHeight="1">
      <c r="A68" s="195">
        <v>162</v>
      </c>
      <c r="B68" s="197" t="s">
        <v>299</v>
      </c>
      <c r="C68" s="197">
        <v>0</v>
      </c>
      <c r="D68" s="197">
        <v>0</v>
      </c>
      <c r="E68" s="197">
        <v>0</v>
      </c>
      <c r="F68" s="197"/>
      <c r="G68" s="197"/>
      <c r="H68" s="197"/>
      <c r="I68" s="197"/>
      <c r="J68" s="197"/>
      <c r="K68" s="205"/>
      <c r="L68" s="210"/>
      <c r="N68" s="9"/>
    </row>
    <row r="69" spans="1:17" ht="13.5" customHeight="1">
      <c r="A69" s="204" t="s">
        <v>300</v>
      </c>
      <c r="B69" s="197" t="s">
        <v>301</v>
      </c>
      <c r="C69" s="197">
        <v>3400</v>
      </c>
      <c r="D69" s="197">
        <v>0</v>
      </c>
      <c r="E69" s="197">
        <v>0</v>
      </c>
      <c r="F69" s="197"/>
      <c r="G69" s="197">
        <f>+N69+F69</f>
        <v>0</v>
      </c>
      <c r="H69" s="197"/>
      <c r="I69" s="197"/>
      <c r="J69" s="197">
        <f>+E69-G69</f>
        <v>0</v>
      </c>
      <c r="K69" s="204">
        <f>+D69-G69</f>
        <v>0</v>
      </c>
      <c r="L69" s="211" t="s">
        <v>12</v>
      </c>
      <c r="N69" s="9">
        <v>0</v>
      </c>
    </row>
    <row r="70" spans="1:17" ht="13.5" customHeight="1">
      <c r="A70" s="204" t="s">
        <v>302</v>
      </c>
      <c r="B70" s="197" t="s">
        <v>303</v>
      </c>
      <c r="C70" s="197">
        <v>106950</v>
      </c>
      <c r="D70" s="197">
        <v>308150</v>
      </c>
      <c r="E70" s="197">
        <v>308150</v>
      </c>
      <c r="F70" s="197">
        <v>226.82</v>
      </c>
      <c r="G70" s="197">
        <f>+N70+F70</f>
        <v>168609.88</v>
      </c>
      <c r="H70" s="197">
        <v>20251.34</v>
      </c>
      <c r="I70" s="197">
        <v>16238.1</v>
      </c>
      <c r="J70" s="197">
        <f>+E70-G70</f>
        <v>139540.12</v>
      </c>
      <c r="K70" s="204">
        <f>+D70-G70</f>
        <v>139540.12</v>
      </c>
      <c r="L70" s="211">
        <f>+G70*100/E70</f>
        <v>54.716819730650656</v>
      </c>
      <c r="N70" s="9">
        <v>168383.06</v>
      </c>
    </row>
    <row r="71" spans="1:17" ht="15" customHeight="1">
      <c r="A71" s="195">
        <v>165</v>
      </c>
      <c r="B71" s="197" t="s">
        <v>304</v>
      </c>
      <c r="C71" s="197">
        <v>737884</v>
      </c>
      <c r="D71" s="197">
        <v>843455</v>
      </c>
      <c r="E71" s="197">
        <v>843455</v>
      </c>
      <c r="F71" s="197"/>
      <c r="G71" s="197">
        <f>N71+F71</f>
        <v>468114.97</v>
      </c>
      <c r="H71" s="197">
        <v>404693.08</v>
      </c>
      <c r="I71" s="197">
        <v>377194.15</v>
      </c>
      <c r="J71" s="197">
        <f>+E71-G71</f>
        <v>375340.03</v>
      </c>
      <c r="K71" s="204">
        <f>+D71-G71</f>
        <v>375340.03</v>
      </c>
      <c r="L71" s="211">
        <f>+G71*100/E71</f>
        <v>55.499697079275123</v>
      </c>
      <c r="N71" s="9">
        <f>482679.97-14565</f>
        <v>468114.97</v>
      </c>
      <c r="Q71" s="9"/>
    </row>
    <row r="72" spans="1:17" ht="12.75" customHeight="1">
      <c r="A72" s="195" t="s">
        <v>305</v>
      </c>
      <c r="B72" s="196" t="s">
        <v>306</v>
      </c>
      <c r="C72" s="197">
        <v>643859</v>
      </c>
      <c r="D72" s="197">
        <v>516346</v>
      </c>
      <c r="E72" s="197">
        <v>516346</v>
      </c>
      <c r="F72" s="197">
        <v>1358.63</v>
      </c>
      <c r="G72" s="197">
        <f>+F72+N72</f>
        <v>255181.43</v>
      </c>
      <c r="H72" s="197">
        <v>98562.09</v>
      </c>
      <c r="I72" s="197">
        <v>75034.399999999994</v>
      </c>
      <c r="J72" s="197">
        <f>+E72-G72</f>
        <v>261164.57</v>
      </c>
      <c r="K72" s="197">
        <f>+D72-G72</f>
        <v>261164.57</v>
      </c>
      <c r="L72" s="211">
        <f>+G72*100/E72</f>
        <v>49.420626866481001</v>
      </c>
      <c r="N72" s="9">
        <v>253822.8</v>
      </c>
    </row>
    <row r="73" spans="1:17">
      <c r="A73" s="215">
        <v>170</v>
      </c>
      <c r="B73" s="216" t="s">
        <v>307</v>
      </c>
      <c r="C73" s="194">
        <f>SUM(C74:C75)</f>
        <v>305833</v>
      </c>
      <c r="D73" s="194">
        <f>+D74+D75</f>
        <v>114855</v>
      </c>
      <c r="E73" s="194">
        <f>SUM(E74:E75)</f>
        <v>103211</v>
      </c>
      <c r="F73" s="194">
        <f>SUM(F74:F75)</f>
        <v>5355.88</v>
      </c>
      <c r="G73" s="194">
        <f>+N73+F73</f>
        <v>47637.86</v>
      </c>
      <c r="H73" s="194">
        <f>+H75</f>
        <v>45272.56</v>
      </c>
      <c r="I73" s="194">
        <f>+I75</f>
        <v>11324.72</v>
      </c>
      <c r="J73" s="194">
        <f>+E73-G73</f>
        <v>55573.14</v>
      </c>
      <c r="K73" s="194">
        <f>+D73-G73</f>
        <v>67217.14</v>
      </c>
      <c r="L73" s="210">
        <f>+G73*100/E73</f>
        <v>46.155797347181988</v>
      </c>
      <c r="N73" s="131">
        <v>42281.98</v>
      </c>
    </row>
    <row r="74" spans="1:17">
      <c r="A74" s="217">
        <v>171</v>
      </c>
      <c r="B74" s="218" t="s">
        <v>308</v>
      </c>
      <c r="C74" s="197">
        <v>137125</v>
      </c>
      <c r="D74" s="197">
        <v>17425</v>
      </c>
      <c r="E74" s="197">
        <v>17425</v>
      </c>
      <c r="F74" s="194"/>
      <c r="G74" s="194"/>
      <c r="H74" s="194"/>
      <c r="I74" s="194"/>
      <c r="J74" s="194"/>
      <c r="K74" s="194"/>
      <c r="L74" s="210"/>
      <c r="N74" s="9"/>
    </row>
    <row r="75" spans="1:17" ht="15" customHeight="1">
      <c r="A75" s="195" t="s">
        <v>309</v>
      </c>
      <c r="B75" s="196" t="s">
        <v>310</v>
      </c>
      <c r="C75" s="197">
        <v>168708</v>
      </c>
      <c r="D75" s="197">
        <v>97430</v>
      </c>
      <c r="E75" s="197">
        <v>85786</v>
      </c>
      <c r="F75" s="197">
        <v>5355.88</v>
      </c>
      <c r="G75" s="197">
        <f t="shared" ref="G75:G78" si="21">+N75+F75</f>
        <v>47637.86</v>
      </c>
      <c r="H75" s="197">
        <v>45272.56</v>
      </c>
      <c r="I75" s="197">
        <v>11324.72</v>
      </c>
      <c r="J75" s="197">
        <f t="shared" ref="J75:J83" si="22">+E75-G75</f>
        <v>38148.14</v>
      </c>
      <c r="K75" s="197">
        <f t="shared" ref="K75:K83" si="23">+D75-G75</f>
        <v>49792.14</v>
      </c>
      <c r="L75" s="211">
        <f>+G75*100/E75</f>
        <v>55.531042361224443</v>
      </c>
      <c r="N75" s="9">
        <v>42281.98</v>
      </c>
    </row>
    <row r="76" spans="1:17">
      <c r="A76" s="205" t="s">
        <v>311</v>
      </c>
      <c r="B76" s="194" t="s">
        <v>312</v>
      </c>
      <c r="C76" s="194">
        <f>SUM(C77:C82)</f>
        <v>1009621</v>
      </c>
      <c r="D76" s="194">
        <f>SUM(D77:D82)</f>
        <v>693915</v>
      </c>
      <c r="E76" s="194">
        <f>SUM(E77:E82)</f>
        <v>693915</v>
      </c>
      <c r="F76" s="194">
        <f>SUM(F77:F82)</f>
        <v>3851.75</v>
      </c>
      <c r="G76" s="194">
        <f t="shared" si="21"/>
        <v>403093.93</v>
      </c>
      <c r="H76" s="194">
        <f t="shared" ref="H76" si="24">SUM(H77:H82)</f>
        <v>245766.2</v>
      </c>
      <c r="I76" s="194">
        <f t="shared" ref="I76" si="25">SUM(I77:I82)</f>
        <v>170774.93</v>
      </c>
      <c r="J76" s="194">
        <f t="shared" si="22"/>
        <v>290821.07</v>
      </c>
      <c r="K76" s="194">
        <f t="shared" si="23"/>
        <v>290821.07</v>
      </c>
      <c r="L76" s="210">
        <f>+G76*100/E76</f>
        <v>58.089813593883974</v>
      </c>
      <c r="M76" s="6"/>
      <c r="N76" s="131">
        <v>399242.18</v>
      </c>
      <c r="P76" s="9"/>
    </row>
    <row r="77" spans="1:17" ht="14.25" customHeight="1">
      <c r="A77" s="195">
        <v>181</v>
      </c>
      <c r="B77" s="197" t="s">
        <v>313</v>
      </c>
      <c r="C77" s="197">
        <v>150000</v>
      </c>
      <c r="D77" s="197">
        <f>22700-3900+3900+2000</f>
        <v>24700</v>
      </c>
      <c r="E77" s="197">
        <v>24700</v>
      </c>
      <c r="F77" s="197"/>
      <c r="G77" s="197">
        <f t="shared" si="21"/>
        <v>1444.5</v>
      </c>
      <c r="H77" s="197"/>
      <c r="I77" s="197">
        <v>0</v>
      </c>
      <c r="J77" s="197">
        <f t="shared" si="22"/>
        <v>23255.5</v>
      </c>
      <c r="K77" s="197">
        <f t="shared" si="23"/>
        <v>23255.5</v>
      </c>
      <c r="L77" s="211" t="s">
        <v>12</v>
      </c>
      <c r="N77" s="9">
        <v>1444.5</v>
      </c>
    </row>
    <row r="78" spans="1:17" ht="14.25" customHeight="1">
      <c r="A78" s="204" t="s">
        <v>314</v>
      </c>
      <c r="B78" s="197" t="s">
        <v>315</v>
      </c>
      <c r="C78" s="197">
        <v>370682</v>
      </c>
      <c r="D78" s="197">
        <f>175582+17100+3200-16500+3000-5141</f>
        <v>177241</v>
      </c>
      <c r="E78" s="197">
        <v>177241</v>
      </c>
      <c r="F78" s="197">
        <v>1408.54</v>
      </c>
      <c r="G78" s="197">
        <f t="shared" si="21"/>
        <v>136218.80000000002</v>
      </c>
      <c r="H78" s="197">
        <v>76599.88</v>
      </c>
      <c r="I78" s="197">
        <v>58891.15</v>
      </c>
      <c r="J78" s="197">
        <f t="shared" si="22"/>
        <v>41022.199999999983</v>
      </c>
      <c r="K78" s="197">
        <f t="shared" si="23"/>
        <v>41022.199999999983</v>
      </c>
      <c r="L78" s="211">
        <f>+G78*100/E78</f>
        <v>76.855129456502738</v>
      </c>
      <c r="N78" s="9">
        <v>134810.26</v>
      </c>
    </row>
    <row r="79" spans="1:17" ht="12.75" customHeight="1">
      <c r="A79" s="195">
        <v>183</v>
      </c>
      <c r="B79" s="197" t="s">
        <v>316</v>
      </c>
      <c r="C79" s="197">
        <v>25883</v>
      </c>
      <c r="D79" s="197">
        <f>2883</f>
        <v>2883</v>
      </c>
      <c r="E79" s="197">
        <v>2883</v>
      </c>
      <c r="F79" s="197"/>
      <c r="G79" s="197">
        <f t="shared" ref="G79:G81" si="26">+N79+F79</f>
        <v>0</v>
      </c>
      <c r="H79" s="197"/>
      <c r="I79" s="197">
        <v>0</v>
      </c>
      <c r="J79" s="197">
        <f t="shared" si="22"/>
        <v>2883</v>
      </c>
      <c r="K79" s="197">
        <f t="shared" si="23"/>
        <v>2883</v>
      </c>
      <c r="L79" s="211">
        <f t="shared" ref="L79:L83" si="27">+G79*100/E79</f>
        <v>0</v>
      </c>
      <c r="N79" s="9">
        <v>0</v>
      </c>
    </row>
    <row r="80" spans="1:17" ht="12" customHeight="1">
      <c r="A80" s="195">
        <v>184</v>
      </c>
      <c r="B80" s="197" t="s">
        <v>317</v>
      </c>
      <c r="C80" s="197">
        <v>58665</v>
      </c>
      <c r="D80" s="197">
        <f>865+7000-6800</f>
        <v>1065</v>
      </c>
      <c r="E80" s="197">
        <v>1065</v>
      </c>
      <c r="F80" s="197"/>
      <c r="G80" s="197">
        <f t="shared" si="26"/>
        <v>0</v>
      </c>
      <c r="H80" s="197"/>
      <c r="I80" s="197">
        <v>0</v>
      </c>
      <c r="J80" s="197">
        <f t="shared" si="22"/>
        <v>1065</v>
      </c>
      <c r="K80" s="197">
        <f t="shared" si="23"/>
        <v>1065</v>
      </c>
      <c r="L80" s="211">
        <f t="shared" si="27"/>
        <v>0</v>
      </c>
      <c r="N80" s="9">
        <v>0</v>
      </c>
    </row>
    <row r="81" spans="1:18" ht="12.75" customHeight="1">
      <c r="A81" s="195">
        <v>185</v>
      </c>
      <c r="B81" s="197" t="s">
        <v>318</v>
      </c>
      <c r="C81" s="197">
        <v>24831</v>
      </c>
      <c r="D81" s="197">
        <f>38430+4701</f>
        <v>43131</v>
      </c>
      <c r="E81" s="197">
        <f>38430+4701</f>
        <v>43131</v>
      </c>
      <c r="F81" s="197">
        <v>0</v>
      </c>
      <c r="G81" s="197">
        <f t="shared" si="26"/>
        <v>32620.86</v>
      </c>
      <c r="H81" s="197">
        <v>20576.439999999999</v>
      </c>
      <c r="I81" s="197">
        <v>15651.19</v>
      </c>
      <c r="J81" s="197">
        <f t="shared" si="22"/>
        <v>10510.14</v>
      </c>
      <c r="K81" s="197">
        <f t="shared" si="23"/>
        <v>10510.14</v>
      </c>
      <c r="L81" s="211">
        <f t="shared" si="27"/>
        <v>75.632051192877512</v>
      </c>
      <c r="N81" s="9">
        <v>32620.86</v>
      </c>
    </row>
    <row r="82" spans="1:18" ht="15.75" customHeight="1">
      <c r="A82" s="195">
        <v>189</v>
      </c>
      <c r="B82" s="196" t="s">
        <v>319</v>
      </c>
      <c r="C82" s="197">
        <v>379560</v>
      </c>
      <c r="D82" s="197">
        <f>587275+53408+1120-881-200+6173-150000-50000-70000-32000-50000+150000</f>
        <v>444895</v>
      </c>
      <c r="E82" s="197">
        <f>294895+150000</f>
        <v>444895</v>
      </c>
      <c r="F82" s="197">
        <v>2443.21</v>
      </c>
      <c r="G82" s="206">
        <f>+F82+N82</f>
        <v>232809.77</v>
      </c>
      <c r="H82" s="197">
        <v>148589.88</v>
      </c>
      <c r="I82" s="197">
        <v>96232.59</v>
      </c>
      <c r="J82" s="197">
        <f t="shared" si="22"/>
        <v>212085.23</v>
      </c>
      <c r="K82" s="197">
        <f t="shared" si="23"/>
        <v>212085.23</v>
      </c>
      <c r="L82" s="211">
        <f t="shared" si="27"/>
        <v>52.329149574618732</v>
      </c>
      <c r="N82" s="9">
        <v>230366.56</v>
      </c>
    </row>
    <row r="83" spans="1:18" ht="12" customHeight="1">
      <c r="A83" s="219">
        <v>190</v>
      </c>
      <c r="B83" s="193" t="s">
        <v>320</v>
      </c>
      <c r="C83" s="194">
        <f>+C85+C89</f>
        <v>0</v>
      </c>
      <c r="D83" s="194">
        <f>SUM(D84:D92)</f>
        <v>149480</v>
      </c>
      <c r="E83" s="194">
        <f>SUM(E84:E92)</f>
        <v>149480</v>
      </c>
      <c r="F83" s="194">
        <f>SUM(F84:F92)</f>
        <v>29738.41</v>
      </c>
      <c r="G83" s="194">
        <f>N83+F83</f>
        <v>136313.18</v>
      </c>
      <c r="H83" s="194">
        <f>SUM(H85:H92)</f>
        <v>76459.450000000012</v>
      </c>
      <c r="I83" s="194">
        <f>SUM(I84:I92)</f>
        <v>93817.319999999992</v>
      </c>
      <c r="J83" s="194">
        <f t="shared" si="22"/>
        <v>13166.820000000007</v>
      </c>
      <c r="K83" s="194">
        <f t="shared" si="23"/>
        <v>13166.820000000007</v>
      </c>
      <c r="L83" s="210">
        <f t="shared" si="27"/>
        <v>91.191584158415836</v>
      </c>
      <c r="N83" s="131">
        <v>106574.77</v>
      </c>
    </row>
    <row r="84" spans="1:18" ht="0.75" customHeight="1">
      <c r="A84" s="220">
        <v>191</v>
      </c>
      <c r="B84" s="196" t="s">
        <v>321</v>
      </c>
      <c r="C84" s="194"/>
      <c r="D84" s="197">
        <f>SUM(C84:C84)</f>
        <v>0</v>
      </c>
      <c r="E84" s="197">
        <v>0</v>
      </c>
      <c r="F84" s="194">
        <v>0</v>
      </c>
      <c r="G84" s="197">
        <f>+N84+F84</f>
        <v>0</v>
      </c>
      <c r="H84" s="197"/>
      <c r="I84" s="197"/>
      <c r="J84" s="194"/>
      <c r="K84" s="194"/>
      <c r="L84" s="211"/>
      <c r="N84" s="9">
        <v>0</v>
      </c>
    </row>
    <row r="85" spans="1:18" ht="12" customHeight="1">
      <c r="A85" s="220">
        <v>192</v>
      </c>
      <c r="B85" s="196" t="s">
        <v>322</v>
      </c>
      <c r="C85" s="197"/>
      <c r="D85" s="197">
        <v>10950</v>
      </c>
      <c r="E85" s="197">
        <v>10950</v>
      </c>
      <c r="F85" s="197">
        <v>5224.6899999999996</v>
      </c>
      <c r="G85" s="197">
        <f>+N85+F85</f>
        <v>10230.169999999998</v>
      </c>
      <c r="H85" s="197">
        <v>3221.24</v>
      </c>
      <c r="I85" s="197">
        <v>4421.24</v>
      </c>
      <c r="J85" s="197">
        <f>+E85-G85</f>
        <v>719.83000000000175</v>
      </c>
      <c r="K85" s="197">
        <f>+D85-G85</f>
        <v>719.83000000000175</v>
      </c>
      <c r="L85" s="211">
        <f>+G85*100/E85</f>
        <v>93.426210045662074</v>
      </c>
      <c r="N85" s="9">
        <v>5005.4799999999996</v>
      </c>
    </row>
    <row r="86" spans="1:18" ht="17.25" hidden="1" customHeight="1">
      <c r="A86" s="220">
        <v>193</v>
      </c>
      <c r="B86" s="196" t="s">
        <v>323</v>
      </c>
      <c r="C86" s="197"/>
      <c r="D86" s="197"/>
      <c r="E86" s="197">
        <v>0</v>
      </c>
      <c r="F86" s="197"/>
      <c r="G86" s="197"/>
      <c r="H86" s="197"/>
      <c r="I86" s="197"/>
      <c r="J86" s="197">
        <f>+E86-G86</f>
        <v>0</v>
      </c>
      <c r="K86" s="197">
        <f>+D86-G86</f>
        <v>0</v>
      </c>
      <c r="L86" s="211" t="s">
        <v>12</v>
      </c>
      <c r="N86" s="9"/>
    </row>
    <row r="87" spans="1:18" ht="13.5" customHeight="1">
      <c r="A87" s="220">
        <v>194</v>
      </c>
      <c r="B87" s="196" t="s">
        <v>324</v>
      </c>
      <c r="C87" s="197"/>
      <c r="D87" s="197">
        <v>100</v>
      </c>
      <c r="E87" s="197">
        <v>100</v>
      </c>
      <c r="F87" s="197">
        <v>0</v>
      </c>
      <c r="G87" s="197">
        <f>+F87+N87</f>
        <v>64.2</v>
      </c>
      <c r="H87" s="197"/>
      <c r="I87" s="197">
        <v>64.2</v>
      </c>
      <c r="J87" s="197">
        <f>+E87-G87</f>
        <v>35.799999999999997</v>
      </c>
      <c r="K87" s="197"/>
      <c r="L87" s="211">
        <f>+G87*100/E87</f>
        <v>64.2</v>
      </c>
      <c r="N87" s="9">
        <v>64.2</v>
      </c>
    </row>
    <row r="88" spans="1:18" ht="13.5" customHeight="1">
      <c r="A88" s="220">
        <v>195</v>
      </c>
      <c r="B88" s="196" t="s">
        <v>325</v>
      </c>
      <c r="C88" s="197"/>
      <c r="D88" s="197">
        <f>4500-1000</f>
        <v>3500</v>
      </c>
      <c r="E88" s="197">
        <v>3500</v>
      </c>
      <c r="F88" s="197"/>
      <c r="G88" s="197">
        <f t="shared" ref="G88" si="28">N88+F88</f>
        <v>1382</v>
      </c>
      <c r="H88" s="197">
        <v>1382</v>
      </c>
      <c r="I88" s="197">
        <v>1382</v>
      </c>
      <c r="J88" s="197"/>
      <c r="K88" s="197"/>
      <c r="L88" s="211">
        <f>+G88*100/E88</f>
        <v>39.485714285714288</v>
      </c>
      <c r="N88" s="9">
        <v>1382</v>
      </c>
    </row>
    <row r="89" spans="1:18" ht="13.5" customHeight="1">
      <c r="A89" s="220">
        <v>196</v>
      </c>
      <c r="B89" s="196" t="s">
        <v>326</v>
      </c>
      <c r="C89" s="197"/>
      <c r="D89" s="197">
        <v>19800</v>
      </c>
      <c r="E89" s="197">
        <v>19800</v>
      </c>
      <c r="F89" s="197">
        <v>135</v>
      </c>
      <c r="G89" s="197">
        <f>+F89+N89</f>
        <v>17273.009999999998</v>
      </c>
      <c r="H89" s="197">
        <v>17273.009999999998</v>
      </c>
      <c r="I89" s="197">
        <v>14935.11</v>
      </c>
      <c r="J89" s="197">
        <f>+E89-G89</f>
        <v>2526.9900000000016</v>
      </c>
      <c r="K89" s="197">
        <f>+D89-G89</f>
        <v>2526.9900000000016</v>
      </c>
      <c r="L89" s="211">
        <f>+G89*100/E89</f>
        <v>87.237424242424225</v>
      </c>
      <c r="N89" s="9">
        <v>17138.009999999998</v>
      </c>
    </row>
    <row r="90" spans="1:18" ht="14.25" customHeight="1">
      <c r="A90" s="220">
        <v>197</v>
      </c>
      <c r="B90" s="196" t="s">
        <v>327</v>
      </c>
      <c r="C90" s="197"/>
      <c r="D90" s="197">
        <v>61640</v>
      </c>
      <c r="E90" s="197">
        <v>61640</v>
      </c>
      <c r="F90" s="197">
        <v>23016.07</v>
      </c>
      <c r="G90" s="197">
        <f>N90+F90</f>
        <v>54857.11</v>
      </c>
      <c r="H90" s="197">
        <v>14325.91</v>
      </c>
      <c r="I90" s="197">
        <v>28603.93</v>
      </c>
      <c r="J90" s="197">
        <f>+E90-G90</f>
        <v>6782.8899999999994</v>
      </c>
      <c r="K90" s="197">
        <f>+D90-G90</f>
        <v>6782.8899999999994</v>
      </c>
      <c r="L90" s="211">
        <f t="shared" ref="L90:L92" si="29">+G90*100/E90</f>
        <v>88.995960415314727</v>
      </c>
      <c r="N90" s="9">
        <v>31841.040000000001</v>
      </c>
    </row>
    <row r="91" spans="1:18" ht="17.25" hidden="1" customHeight="1">
      <c r="A91" s="220">
        <v>198</v>
      </c>
      <c r="B91" s="196" t="s">
        <v>323</v>
      </c>
      <c r="C91" s="221"/>
      <c r="D91" s="197"/>
      <c r="E91" s="197"/>
      <c r="F91" s="197"/>
      <c r="G91" s="197"/>
      <c r="H91" s="197"/>
      <c r="I91" s="197"/>
      <c r="J91" s="197">
        <f>+E91-G91</f>
        <v>0</v>
      </c>
      <c r="K91" s="197"/>
      <c r="L91" s="211" t="e">
        <f t="shared" si="29"/>
        <v>#DIV/0!</v>
      </c>
      <c r="N91" s="9"/>
    </row>
    <row r="92" spans="1:18" ht="13.5" customHeight="1">
      <c r="A92" s="222">
        <v>199</v>
      </c>
      <c r="B92" s="223" t="s">
        <v>328</v>
      </c>
      <c r="C92" s="224"/>
      <c r="D92" s="197">
        <f>52270+1220</f>
        <v>53490</v>
      </c>
      <c r="E92" s="197">
        <v>53490</v>
      </c>
      <c r="F92" s="197">
        <v>1362.65</v>
      </c>
      <c r="G92" s="197">
        <f>N92+F92</f>
        <v>52506.69</v>
      </c>
      <c r="H92" s="197">
        <v>40257.29</v>
      </c>
      <c r="I92" s="197">
        <v>44410.84</v>
      </c>
      <c r="J92" s="197">
        <f>+E92-G92</f>
        <v>983.30999999999767</v>
      </c>
      <c r="K92" s="197">
        <f>+D92-G92</f>
        <v>983.30999999999767</v>
      </c>
      <c r="L92" s="211">
        <f t="shared" si="29"/>
        <v>98.161693774537298</v>
      </c>
      <c r="N92" s="9">
        <v>51144.04</v>
      </c>
    </row>
    <row r="93" spans="1:18" ht="15" customHeight="1">
      <c r="A93" s="220"/>
      <c r="B93" s="225"/>
      <c r="C93" s="226"/>
      <c r="D93" s="226"/>
      <c r="E93" s="226"/>
      <c r="F93" s="226"/>
      <c r="G93" s="226"/>
      <c r="H93" s="226"/>
      <c r="I93" s="226"/>
      <c r="J93" s="226"/>
      <c r="K93" s="226"/>
      <c r="L93" s="211"/>
      <c r="N93" s="9"/>
    </row>
    <row r="94" spans="1:18" ht="15.75" customHeight="1">
      <c r="A94" s="227" t="s">
        <v>329</v>
      </c>
      <c r="B94" s="227" t="s">
        <v>330</v>
      </c>
      <c r="C94" s="228">
        <f t="shared" ref="C94:H94" si="30">+C95+C98+C104+C110+C114+C120+C128+C134+C143+C144</f>
        <v>3042561</v>
      </c>
      <c r="D94" s="228">
        <f t="shared" si="30"/>
        <v>3968755</v>
      </c>
      <c r="E94" s="228">
        <f t="shared" si="30"/>
        <v>3968755</v>
      </c>
      <c r="F94" s="228">
        <f t="shared" si="30"/>
        <v>97498.199999999983</v>
      </c>
      <c r="G94" s="229">
        <f>N94+F94</f>
        <v>2867424.3400000003</v>
      </c>
      <c r="H94" s="228">
        <f t="shared" si="30"/>
        <v>2124717.6300000004</v>
      </c>
      <c r="I94" s="228">
        <f>I95+I98+I104+I110+I114+I120+I128+I134+I143+I144</f>
        <v>1795090.1600000001</v>
      </c>
      <c r="J94" s="247">
        <f>+E94-G94+1</f>
        <v>1101331.6599999997</v>
      </c>
      <c r="K94" s="228">
        <f t="shared" ref="K94:K125" si="31">+D94-G94</f>
        <v>1101330.6599999997</v>
      </c>
      <c r="L94" s="248">
        <f t="shared" ref="L94:L118" si="32">+G94*100/E94</f>
        <v>72.249971086650618</v>
      </c>
      <c r="N94" s="131">
        <f>N95+N98+N104+N110+N114+N120+N128+N134+N143+N144</f>
        <v>2769926.14</v>
      </c>
      <c r="O94" s="9"/>
      <c r="P94" s="9"/>
      <c r="Q94" s="1"/>
    </row>
    <row r="95" spans="1:18" ht="16.5" customHeight="1">
      <c r="A95" s="230" t="s">
        <v>331</v>
      </c>
      <c r="B95" s="230" t="s">
        <v>332</v>
      </c>
      <c r="C95" s="231">
        <f>SUM(C96:C97)</f>
        <v>185018</v>
      </c>
      <c r="D95" s="231">
        <f>SUM(D96:D97)</f>
        <v>121226</v>
      </c>
      <c r="E95" s="232">
        <f>SUM(E96:E97)</f>
        <v>121226</v>
      </c>
      <c r="F95" s="233">
        <v>314.39999999999998</v>
      </c>
      <c r="G95" s="234">
        <f>N95+F95</f>
        <v>52157.88</v>
      </c>
      <c r="H95" s="231">
        <f t="shared" ref="H95:I95" si="33">SUM(H96:H97)</f>
        <v>42367.619999999995</v>
      </c>
      <c r="I95" s="231">
        <f t="shared" si="33"/>
        <v>39381.619999999995</v>
      </c>
      <c r="J95" s="234">
        <f t="shared" ref="J95:J102" si="34">+E95-G95</f>
        <v>69068.12</v>
      </c>
      <c r="K95" s="231">
        <f t="shared" si="31"/>
        <v>69068.12</v>
      </c>
      <c r="L95" s="249">
        <f t="shared" si="32"/>
        <v>43.025324600333263</v>
      </c>
      <c r="N95" s="131">
        <f>SUM(N96:N97)</f>
        <v>51843.479999999996</v>
      </c>
      <c r="O95" s="9"/>
      <c r="P95" s="250"/>
      <c r="R95" t="s">
        <v>12</v>
      </c>
    </row>
    <row r="96" spans="1:18" ht="13.5" customHeight="1">
      <c r="A96" s="221" t="s">
        <v>333</v>
      </c>
      <c r="B96" s="235" t="s">
        <v>334</v>
      </c>
      <c r="C96" s="235">
        <v>168849</v>
      </c>
      <c r="D96" s="235">
        <f>64555+14294+40000-15292</f>
        <v>103557</v>
      </c>
      <c r="E96" s="221">
        <v>103557</v>
      </c>
      <c r="F96" s="236">
        <v>294</v>
      </c>
      <c r="G96" s="197">
        <f>N96+F96</f>
        <v>42925.39</v>
      </c>
      <c r="H96" s="197">
        <v>33596.89</v>
      </c>
      <c r="I96" s="235">
        <v>32460.89</v>
      </c>
      <c r="J96" s="197">
        <f t="shared" si="34"/>
        <v>60631.61</v>
      </c>
      <c r="K96" s="235">
        <f t="shared" si="31"/>
        <v>60631.61</v>
      </c>
      <c r="L96" s="251">
        <f t="shared" si="32"/>
        <v>41.450978688065511</v>
      </c>
      <c r="N96" s="9">
        <f>42637.39-6</f>
        <v>42631.39</v>
      </c>
    </row>
    <row r="97" spans="1:17" ht="13.5" customHeight="1">
      <c r="A97" s="220" t="s">
        <v>335</v>
      </c>
      <c r="B97" s="237" t="s">
        <v>336</v>
      </c>
      <c r="C97" s="235">
        <v>16169</v>
      </c>
      <c r="D97" s="235">
        <f>14169+3500</f>
        <v>17669</v>
      </c>
      <c r="E97" s="221">
        <v>17669</v>
      </c>
      <c r="F97" s="236">
        <v>20.399999999999999</v>
      </c>
      <c r="G97" s="197">
        <f>N97+F97</f>
        <v>9232.49</v>
      </c>
      <c r="H97" s="197">
        <v>8770.73</v>
      </c>
      <c r="I97" s="235">
        <v>6920.73</v>
      </c>
      <c r="J97" s="197">
        <f t="shared" si="34"/>
        <v>8436.51</v>
      </c>
      <c r="K97" s="235">
        <f t="shared" si="31"/>
        <v>8436.51</v>
      </c>
      <c r="L97" s="251">
        <f t="shared" si="32"/>
        <v>52.252476088063844</v>
      </c>
      <c r="N97" s="9">
        <v>9212.09</v>
      </c>
      <c r="O97" s="9"/>
      <c r="P97" s="9"/>
    </row>
    <row r="98" spans="1:17">
      <c r="A98" s="8" t="s">
        <v>337</v>
      </c>
      <c r="B98" s="238" t="s">
        <v>338</v>
      </c>
      <c r="C98" s="238">
        <f>SUM(C99:C103)</f>
        <v>196410</v>
      </c>
      <c r="D98" s="238">
        <f>SUM(D99:D103)</f>
        <v>277060</v>
      </c>
      <c r="E98" s="239">
        <f>SUM(E99:E103)</f>
        <v>277060</v>
      </c>
      <c r="F98" s="240"/>
      <c r="G98" s="194">
        <f>+N98+F98</f>
        <v>213698.73</v>
      </c>
      <c r="H98" s="240">
        <f>SUM(H99:H103)</f>
        <v>162788.69</v>
      </c>
      <c r="I98" s="240">
        <f t="shared" ref="I98" si="35">SUM(I99:I103)</f>
        <v>149411.72999999998</v>
      </c>
      <c r="J98" s="194">
        <f t="shared" si="34"/>
        <v>63361.26999999999</v>
      </c>
      <c r="K98" s="238">
        <f t="shared" si="31"/>
        <v>63361.26999999999</v>
      </c>
      <c r="L98" s="251">
        <f t="shared" si="32"/>
        <v>77.130848913592729</v>
      </c>
      <c r="N98" s="131">
        <f>SUM(N99:N103)</f>
        <v>213698.73</v>
      </c>
    </row>
    <row r="99" spans="1:17" ht="12" customHeight="1">
      <c r="A99" s="221" t="s">
        <v>339</v>
      </c>
      <c r="B99" s="235" t="s">
        <v>340</v>
      </c>
      <c r="C99" s="235">
        <v>32960</v>
      </c>
      <c r="D99" s="235">
        <v>42660</v>
      </c>
      <c r="E99" s="221">
        <v>42660</v>
      </c>
      <c r="F99" s="236"/>
      <c r="G99" s="197">
        <f t="shared" ref="G99:G126" si="36">+N99+F99</f>
        <v>32292.78</v>
      </c>
      <c r="H99" s="197">
        <v>30943.65</v>
      </c>
      <c r="I99" s="235">
        <v>29732.84</v>
      </c>
      <c r="J99" s="197">
        <f t="shared" si="34"/>
        <v>10367.220000000001</v>
      </c>
      <c r="K99" s="235">
        <f t="shared" si="31"/>
        <v>10367.220000000001</v>
      </c>
      <c r="L99" s="251">
        <f t="shared" si="32"/>
        <v>75.698030942334739</v>
      </c>
      <c r="N99" s="9">
        <v>32292.78</v>
      </c>
    </row>
    <row r="100" spans="1:17" ht="12" customHeight="1">
      <c r="A100" s="220" t="s">
        <v>341</v>
      </c>
      <c r="B100" s="237" t="s">
        <v>342</v>
      </c>
      <c r="C100" s="235">
        <v>37749</v>
      </c>
      <c r="D100" s="235">
        <v>37149</v>
      </c>
      <c r="E100" s="221">
        <v>37149</v>
      </c>
      <c r="F100" s="236"/>
      <c r="G100" s="197">
        <f t="shared" si="36"/>
        <v>28374.48</v>
      </c>
      <c r="H100" s="197">
        <v>28374.48</v>
      </c>
      <c r="I100" s="235">
        <v>27172.07</v>
      </c>
      <c r="J100" s="197">
        <f t="shared" si="34"/>
        <v>8774.52</v>
      </c>
      <c r="K100" s="235">
        <f t="shared" si="31"/>
        <v>8774.52</v>
      </c>
      <c r="L100" s="251">
        <f t="shared" si="32"/>
        <v>76.380198659452475</v>
      </c>
      <c r="N100" s="9">
        <v>28374.48</v>
      </c>
    </row>
    <row r="101" spans="1:17" ht="12" customHeight="1">
      <c r="A101" s="220" t="s">
        <v>343</v>
      </c>
      <c r="B101" s="237" t="s">
        <v>344</v>
      </c>
      <c r="C101" s="235">
        <v>40776</v>
      </c>
      <c r="D101" s="235">
        <f>9776+4100</f>
        <v>13876</v>
      </c>
      <c r="E101" s="221">
        <v>13876</v>
      </c>
      <c r="F101" s="236"/>
      <c r="G101" s="197">
        <f t="shared" si="36"/>
        <v>8999.5499999999993</v>
      </c>
      <c r="H101" s="197">
        <v>8978.15</v>
      </c>
      <c r="I101" s="235">
        <v>8978.15</v>
      </c>
      <c r="J101" s="197">
        <f t="shared" si="34"/>
        <v>4876.4500000000007</v>
      </c>
      <c r="K101" s="235">
        <f t="shared" si="31"/>
        <v>4876.4500000000007</v>
      </c>
      <c r="L101" s="251">
        <f t="shared" si="32"/>
        <v>64.856947247045255</v>
      </c>
      <c r="N101" s="9">
        <v>8999.5499999999993</v>
      </c>
    </row>
    <row r="102" spans="1:17" ht="13.5" customHeight="1">
      <c r="A102" s="220" t="s">
        <v>345</v>
      </c>
      <c r="B102" s="237" t="s">
        <v>346</v>
      </c>
      <c r="C102" s="235">
        <v>81833</v>
      </c>
      <c r="D102" s="235">
        <v>169083</v>
      </c>
      <c r="E102" s="221">
        <v>169083</v>
      </c>
      <c r="F102" s="236"/>
      <c r="G102" s="197">
        <f t="shared" si="36"/>
        <v>132277.97</v>
      </c>
      <c r="H102" s="197">
        <v>82902.17</v>
      </c>
      <c r="I102" s="235">
        <v>74364.12</v>
      </c>
      <c r="J102" s="197">
        <f t="shared" si="34"/>
        <v>36805.03</v>
      </c>
      <c r="K102" s="235">
        <f t="shared" si="31"/>
        <v>36805.03</v>
      </c>
      <c r="L102" s="251">
        <f t="shared" si="32"/>
        <v>78.232566254443086</v>
      </c>
      <c r="N102" s="9">
        <v>132277.97</v>
      </c>
    </row>
    <row r="103" spans="1:17" ht="13.5" customHeight="1">
      <c r="A103" s="220" t="s">
        <v>347</v>
      </c>
      <c r="B103" s="237" t="s">
        <v>348</v>
      </c>
      <c r="C103" s="197">
        <v>3092</v>
      </c>
      <c r="D103" s="197">
        <f>13145+1147</f>
        <v>14292</v>
      </c>
      <c r="E103" s="204">
        <v>14292</v>
      </c>
      <c r="F103" s="236"/>
      <c r="G103" s="197">
        <f t="shared" si="36"/>
        <v>11753.95</v>
      </c>
      <c r="H103" s="197">
        <v>11590.24</v>
      </c>
      <c r="I103" s="235">
        <v>9164.5499999999993</v>
      </c>
      <c r="J103" s="197" t="s">
        <v>12</v>
      </c>
      <c r="K103" s="235">
        <f t="shared" si="31"/>
        <v>2538.0499999999993</v>
      </c>
      <c r="L103" s="251">
        <f t="shared" si="32"/>
        <v>82.241463755947379</v>
      </c>
      <c r="N103" s="9">
        <v>11753.95</v>
      </c>
    </row>
    <row r="104" spans="1:17" ht="20.25" customHeight="1">
      <c r="A104" s="241" t="s">
        <v>349</v>
      </c>
      <c r="B104" s="231" t="s">
        <v>350</v>
      </c>
      <c r="C104" s="231">
        <f>SUM(C105:C109)</f>
        <v>361282</v>
      </c>
      <c r="D104" s="231">
        <f>SUM(D105:D109)</f>
        <v>471432</v>
      </c>
      <c r="E104" s="232">
        <f>SUM(E105:E109)</f>
        <v>471432</v>
      </c>
      <c r="F104" s="232">
        <f>SUM(F105:F109)</f>
        <v>12115.830000000002</v>
      </c>
      <c r="G104" s="233">
        <f t="shared" si="36"/>
        <v>289931.83</v>
      </c>
      <c r="H104" s="233">
        <f t="shared" ref="H104" si="37">SUM(H105:H109)</f>
        <v>195576.64</v>
      </c>
      <c r="I104" s="233">
        <f t="shared" ref="I104" si="38">SUM(I105:I109)</f>
        <v>163116.03</v>
      </c>
      <c r="J104" s="234">
        <f>+E104-G104</f>
        <v>181500.16999999998</v>
      </c>
      <c r="K104" s="231">
        <f t="shared" si="31"/>
        <v>181500.16999999998</v>
      </c>
      <c r="L104" s="251">
        <f t="shared" si="32"/>
        <v>61.50024393761985</v>
      </c>
      <c r="M104" s="6"/>
      <c r="N104" s="131">
        <f>SUM(N105:N109)</f>
        <v>277816</v>
      </c>
      <c r="O104" s="9"/>
      <c r="P104" s="9"/>
      <c r="Q104" s="9"/>
    </row>
    <row r="105" spans="1:17" ht="12" customHeight="1">
      <c r="A105" s="221" t="s">
        <v>351</v>
      </c>
      <c r="B105" s="235" t="s">
        <v>352</v>
      </c>
      <c r="C105" s="235">
        <v>59850</v>
      </c>
      <c r="D105" s="235">
        <v>207850</v>
      </c>
      <c r="E105" s="242">
        <v>207850</v>
      </c>
      <c r="F105" s="236">
        <v>6500</v>
      </c>
      <c r="G105" s="197">
        <f t="shared" si="36"/>
        <v>158107.23000000001</v>
      </c>
      <c r="H105" s="197">
        <v>101709.03</v>
      </c>
      <c r="I105" s="235">
        <v>87062.04</v>
      </c>
      <c r="J105" s="197">
        <f>+E105-G105</f>
        <v>49742.76999999999</v>
      </c>
      <c r="K105" s="235">
        <f t="shared" si="31"/>
        <v>49742.76999999999</v>
      </c>
      <c r="L105" s="251">
        <f t="shared" si="32"/>
        <v>76.067948039451537</v>
      </c>
      <c r="N105" s="9">
        <v>151607.23000000001</v>
      </c>
    </row>
    <row r="106" spans="1:17" ht="12" customHeight="1">
      <c r="A106" s="220">
        <v>222</v>
      </c>
      <c r="B106" s="235" t="s">
        <v>353</v>
      </c>
      <c r="C106" s="235">
        <v>71432</v>
      </c>
      <c r="D106" s="235">
        <v>139582</v>
      </c>
      <c r="E106" s="221">
        <v>139582</v>
      </c>
      <c r="F106" s="236">
        <v>3500.36</v>
      </c>
      <c r="G106" s="197">
        <f t="shared" si="36"/>
        <v>81339.680000000008</v>
      </c>
      <c r="H106" s="197">
        <v>57002.17</v>
      </c>
      <c r="I106" s="235">
        <v>43910.26</v>
      </c>
      <c r="J106" s="197">
        <v>11127.96</v>
      </c>
      <c r="K106" s="235">
        <f t="shared" si="31"/>
        <v>58242.319999999992</v>
      </c>
      <c r="L106" s="251">
        <f t="shared" si="32"/>
        <v>58.273760226963368</v>
      </c>
      <c r="N106" s="9">
        <v>77839.320000000007</v>
      </c>
    </row>
    <row r="107" spans="1:17" ht="16.149999999999999" customHeight="1">
      <c r="A107" s="220" t="s">
        <v>354</v>
      </c>
      <c r="B107" s="237" t="s">
        <v>355</v>
      </c>
      <c r="C107" s="235">
        <v>150000</v>
      </c>
      <c r="D107" s="235">
        <v>92300</v>
      </c>
      <c r="E107" s="221">
        <v>92300</v>
      </c>
      <c r="F107" s="236">
        <v>1760</v>
      </c>
      <c r="G107" s="197">
        <f t="shared" si="36"/>
        <v>34087.33</v>
      </c>
      <c r="H107" s="197">
        <v>20717.759999999998</v>
      </c>
      <c r="I107" s="235">
        <v>18140.72</v>
      </c>
      <c r="J107" s="197">
        <f t="shared" ref="J107:J126" si="39">+E107-G107</f>
        <v>58212.67</v>
      </c>
      <c r="K107" s="235">
        <f t="shared" si="31"/>
        <v>58212.67</v>
      </c>
      <c r="L107" s="251">
        <f t="shared" si="32"/>
        <v>36.931018418201518</v>
      </c>
      <c r="N107" s="9">
        <v>32327.33</v>
      </c>
    </row>
    <row r="108" spans="1:17" ht="14.25" customHeight="1">
      <c r="A108" s="220" t="s">
        <v>356</v>
      </c>
      <c r="B108" s="237" t="s">
        <v>357</v>
      </c>
      <c r="C108" s="235">
        <v>50000</v>
      </c>
      <c r="D108" s="235">
        <f>13700+4000</f>
        <v>17700</v>
      </c>
      <c r="E108" s="221">
        <v>17700</v>
      </c>
      <c r="F108" s="236">
        <v>184.27</v>
      </c>
      <c r="G108" s="197">
        <f>N108+F108</f>
        <v>8155.6200000000008</v>
      </c>
      <c r="H108" s="197">
        <v>7905.71</v>
      </c>
      <c r="I108" s="235">
        <v>5761.04</v>
      </c>
      <c r="J108" s="197">
        <f t="shared" si="39"/>
        <v>9544.3799999999992</v>
      </c>
      <c r="K108" s="235">
        <f t="shared" si="31"/>
        <v>9544.3799999999992</v>
      </c>
      <c r="L108" s="251">
        <f t="shared" si="32"/>
        <v>46.076949152542376</v>
      </c>
      <c r="N108" s="9">
        <f>7994.83-23.48</f>
        <v>7971.35</v>
      </c>
    </row>
    <row r="109" spans="1:17" ht="14.45" customHeight="1">
      <c r="A109" s="220">
        <v>229</v>
      </c>
      <c r="B109" s="237" t="s">
        <v>358</v>
      </c>
      <c r="C109" s="235">
        <v>30000</v>
      </c>
      <c r="D109" s="235">
        <v>14000</v>
      </c>
      <c r="E109" s="221">
        <v>14000</v>
      </c>
      <c r="F109" s="236">
        <v>171.2</v>
      </c>
      <c r="G109" s="197">
        <f>+F109+N109</f>
        <v>8241.9700000000012</v>
      </c>
      <c r="H109" s="197">
        <v>8241.9699999999993</v>
      </c>
      <c r="I109" s="235">
        <v>8241.9699999999993</v>
      </c>
      <c r="J109" s="197">
        <f t="shared" si="39"/>
        <v>5758.0299999999988</v>
      </c>
      <c r="K109" s="235">
        <f t="shared" si="31"/>
        <v>5758.0299999999988</v>
      </c>
      <c r="L109" s="251">
        <f t="shared" si="32"/>
        <v>58.871214285714295</v>
      </c>
      <c r="N109" s="9">
        <v>8070.77</v>
      </c>
    </row>
    <row r="110" spans="1:17" ht="16.5" customHeight="1">
      <c r="A110" s="241" t="s">
        <v>359</v>
      </c>
      <c r="B110" s="231" t="s">
        <v>360</v>
      </c>
      <c r="C110" s="231">
        <f>SUM(C111:C113)</f>
        <v>249812</v>
      </c>
      <c r="D110" s="231">
        <f>SUM(D111:D113)</f>
        <v>133730</v>
      </c>
      <c r="E110" s="232">
        <f>SUM(E111:E113)</f>
        <v>133730</v>
      </c>
      <c r="F110" s="232">
        <f>SUM(F111:F113)</f>
        <v>544.64</v>
      </c>
      <c r="G110" s="194">
        <f>+N110+F110</f>
        <v>72901.09</v>
      </c>
      <c r="H110" s="233">
        <f t="shared" ref="H110" si="40">SUM(H111:H113)</f>
        <v>72264.28</v>
      </c>
      <c r="I110" s="233">
        <f t="shared" ref="I110" si="41">SUM(I111:I113)</f>
        <v>61738.15</v>
      </c>
      <c r="J110" s="234">
        <f t="shared" si="39"/>
        <v>60828.91</v>
      </c>
      <c r="K110" s="231">
        <f t="shared" si="31"/>
        <v>60828.91</v>
      </c>
      <c r="L110" s="249">
        <f t="shared" si="32"/>
        <v>54.513639422717418</v>
      </c>
      <c r="N110" s="131">
        <f>SUM(N111:N113)</f>
        <v>72356.45</v>
      </c>
    </row>
    <row r="111" spans="1:17" ht="12.75" customHeight="1">
      <c r="A111" s="221" t="s">
        <v>361</v>
      </c>
      <c r="B111" s="235" t="s">
        <v>362</v>
      </c>
      <c r="C111" s="235">
        <v>47890</v>
      </c>
      <c r="D111" s="235">
        <f>26140+3500</f>
        <v>29640</v>
      </c>
      <c r="E111" s="221">
        <v>29640</v>
      </c>
      <c r="F111" s="236">
        <v>235.4</v>
      </c>
      <c r="G111" s="197">
        <f t="shared" si="36"/>
        <v>15756.199999999999</v>
      </c>
      <c r="H111" s="197">
        <v>15756.2</v>
      </c>
      <c r="I111" s="235">
        <v>12482</v>
      </c>
      <c r="J111" s="197">
        <f t="shared" si="39"/>
        <v>13883.800000000001</v>
      </c>
      <c r="K111" s="235">
        <f t="shared" si="31"/>
        <v>13883.800000000001</v>
      </c>
      <c r="L111" s="251">
        <f t="shared" si="32"/>
        <v>53.158569500674766</v>
      </c>
      <c r="N111" s="9">
        <v>15520.8</v>
      </c>
    </row>
    <row r="112" spans="1:17" ht="12.75" customHeight="1">
      <c r="A112" s="220" t="s">
        <v>363</v>
      </c>
      <c r="B112" s="237" t="s">
        <v>364</v>
      </c>
      <c r="C112" s="235">
        <v>137050</v>
      </c>
      <c r="D112" s="235">
        <v>75676</v>
      </c>
      <c r="E112" s="221">
        <v>75676</v>
      </c>
      <c r="F112" s="236">
        <v>255.74</v>
      </c>
      <c r="G112" s="197">
        <f t="shared" si="36"/>
        <v>43449.869999999995</v>
      </c>
      <c r="H112" s="197">
        <v>43005.39</v>
      </c>
      <c r="I112" s="235">
        <v>37215.08</v>
      </c>
      <c r="J112" s="197">
        <f t="shared" si="39"/>
        <v>32226.130000000005</v>
      </c>
      <c r="K112" s="235">
        <f t="shared" si="31"/>
        <v>32226.130000000005</v>
      </c>
      <c r="L112" s="251">
        <f t="shared" si="32"/>
        <v>57.415653575770392</v>
      </c>
      <c r="N112" s="9">
        <v>43194.13</v>
      </c>
    </row>
    <row r="113" spans="1:19" ht="15" customHeight="1">
      <c r="A113" s="220" t="s">
        <v>365</v>
      </c>
      <c r="B113" s="237" t="s">
        <v>366</v>
      </c>
      <c r="C113" s="235">
        <v>64872</v>
      </c>
      <c r="D113" s="235">
        <f>34172-5758</f>
        <v>28414</v>
      </c>
      <c r="E113" s="221">
        <v>28414</v>
      </c>
      <c r="F113" s="236">
        <v>53.5</v>
      </c>
      <c r="G113" s="197">
        <f t="shared" si="36"/>
        <v>13695.02</v>
      </c>
      <c r="H113" s="197">
        <v>13502.69</v>
      </c>
      <c r="I113" s="235">
        <v>12041.07</v>
      </c>
      <c r="J113" s="197">
        <f t="shared" si="39"/>
        <v>14718.98</v>
      </c>
      <c r="K113" s="235">
        <f t="shared" si="31"/>
        <v>14718.98</v>
      </c>
      <c r="L113" s="251">
        <f t="shared" si="32"/>
        <v>48.198141761103685</v>
      </c>
      <c r="N113" s="9">
        <v>13641.52</v>
      </c>
      <c r="P113" t="s">
        <v>12</v>
      </c>
    </row>
    <row r="114" spans="1:19" ht="15" customHeight="1">
      <c r="A114" s="241" t="s">
        <v>367</v>
      </c>
      <c r="B114" s="231" t="s">
        <v>368</v>
      </c>
      <c r="C114" s="231">
        <f>SUM(C115:C119)</f>
        <v>258848</v>
      </c>
      <c r="D114" s="231">
        <f>SUM(D115:D119)</f>
        <v>216854</v>
      </c>
      <c r="E114" s="232">
        <f>SUM(E115:E119)</f>
        <v>216854</v>
      </c>
      <c r="F114" s="232">
        <f>SUM(F115:F119)</f>
        <v>231.75</v>
      </c>
      <c r="G114" s="234">
        <f t="shared" si="36"/>
        <v>153405.39000000001</v>
      </c>
      <c r="H114" s="231">
        <f t="shared" ref="H114:I114" si="42">SUM(H115:H119)</f>
        <v>143723.99</v>
      </c>
      <c r="I114" s="231">
        <f t="shared" si="42"/>
        <v>118132.4</v>
      </c>
      <c r="J114" s="234">
        <f t="shared" si="39"/>
        <v>63448.609999999986</v>
      </c>
      <c r="K114" s="231">
        <f t="shared" si="31"/>
        <v>63448.609999999986</v>
      </c>
      <c r="L114" s="249">
        <f t="shared" si="32"/>
        <v>70.741323655547063</v>
      </c>
      <c r="N114" s="131">
        <f>SUM(N115:N119)</f>
        <v>153173.64000000001</v>
      </c>
    </row>
    <row r="115" spans="1:19" ht="15.75" customHeight="1">
      <c r="A115" s="220" t="s">
        <v>369</v>
      </c>
      <c r="B115" s="235" t="s">
        <v>370</v>
      </c>
      <c r="C115" s="235">
        <v>3167</v>
      </c>
      <c r="D115" s="235">
        <f>3517</f>
        <v>3517</v>
      </c>
      <c r="E115" s="221">
        <v>3517</v>
      </c>
      <c r="F115" s="236"/>
      <c r="G115" s="197">
        <f t="shared" si="36"/>
        <v>1980.87</v>
      </c>
      <c r="H115" s="197">
        <v>1980.87</v>
      </c>
      <c r="I115" s="235">
        <v>1980.87</v>
      </c>
      <c r="J115" s="197">
        <f t="shared" si="39"/>
        <v>1536.13</v>
      </c>
      <c r="K115" s="235">
        <f t="shared" si="31"/>
        <v>1536.13</v>
      </c>
      <c r="L115" s="211">
        <f t="shared" si="32"/>
        <v>56.322718225760589</v>
      </c>
      <c r="N115" s="9">
        <v>1980.87</v>
      </c>
    </row>
    <row r="116" spans="1:19" ht="14.25" customHeight="1">
      <c r="A116" s="220" t="s">
        <v>371</v>
      </c>
      <c r="B116" s="237" t="s">
        <v>372</v>
      </c>
      <c r="C116" s="235">
        <v>15000</v>
      </c>
      <c r="D116" s="235">
        <f>41056+3400-10000</f>
        <v>34456</v>
      </c>
      <c r="E116" s="221">
        <v>34456</v>
      </c>
      <c r="F116" s="236">
        <v>22.92</v>
      </c>
      <c r="G116" s="197">
        <f t="shared" si="36"/>
        <v>23462.39</v>
      </c>
      <c r="H116" s="197">
        <v>22985.99</v>
      </c>
      <c r="I116" s="235">
        <v>21654.07</v>
      </c>
      <c r="J116" s="197">
        <f t="shared" si="39"/>
        <v>10993.61</v>
      </c>
      <c r="K116" s="235">
        <f t="shared" si="31"/>
        <v>10993.61</v>
      </c>
      <c r="L116" s="211">
        <f t="shared" si="32"/>
        <v>68.093771766891109</v>
      </c>
      <c r="N116" s="9">
        <v>23439.47</v>
      </c>
    </row>
    <row r="117" spans="1:19" ht="17.25" customHeight="1">
      <c r="A117" s="220" t="s">
        <v>373</v>
      </c>
      <c r="B117" s="237" t="s">
        <v>374</v>
      </c>
      <c r="C117" s="235">
        <v>91798</v>
      </c>
      <c r="D117" s="235">
        <f>52928+6770+9300</f>
        <v>68998</v>
      </c>
      <c r="E117" s="221">
        <v>68998</v>
      </c>
      <c r="F117" s="236">
        <v>6.31</v>
      </c>
      <c r="G117" s="197">
        <f t="shared" si="36"/>
        <v>43029.189999999995</v>
      </c>
      <c r="H117" s="197">
        <v>38193.800000000003</v>
      </c>
      <c r="I117" s="235">
        <v>27717.56</v>
      </c>
      <c r="J117" s="197">
        <f t="shared" si="39"/>
        <v>25968.810000000005</v>
      </c>
      <c r="K117" s="235">
        <f t="shared" si="31"/>
        <v>25968.810000000005</v>
      </c>
      <c r="L117" s="251">
        <f t="shared" si="32"/>
        <v>62.362952549349245</v>
      </c>
      <c r="N117" s="9">
        <v>43022.879999999997</v>
      </c>
    </row>
    <row r="118" spans="1:19" ht="16.5" customHeight="1">
      <c r="A118" s="220" t="s">
        <v>375</v>
      </c>
      <c r="B118" s="237" t="s">
        <v>376</v>
      </c>
      <c r="C118" s="235">
        <v>27414</v>
      </c>
      <c r="D118" s="235">
        <f>11842+10572-700-5700</f>
        <v>16014</v>
      </c>
      <c r="E118" s="221">
        <v>16014</v>
      </c>
      <c r="F118" s="236"/>
      <c r="G118" s="197">
        <f t="shared" si="36"/>
        <v>6547.07</v>
      </c>
      <c r="H118" s="197">
        <v>6547.07</v>
      </c>
      <c r="I118" s="235">
        <v>81.319999999999993</v>
      </c>
      <c r="J118" s="197">
        <f t="shared" si="39"/>
        <v>9466.93</v>
      </c>
      <c r="K118" s="235">
        <f t="shared" si="31"/>
        <v>9466.93</v>
      </c>
      <c r="L118" s="211">
        <f t="shared" si="32"/>
        <v>40.883414512301734</v>
      </c>
      <c r="N118" s="9">
        <v>6547.07</v>
      </c>
    </row>
    <row r="119" spans="1:19" ht="16.5" customHeight="1">
      <c r="A119" s="220" t="s">
        <v>377</v>
      </c>
      <c r="B119" s="237" t="s">
        <v>378</v>
      </c>
      <c r="C119" s="235">
        <v>121469</v>
      </c>
      <c r="D119" s="235">
        <f>97069-3200</f>
        <v>93869</v>
      </c>
      <c r="E119" s="221">
        <v>93869</v>
      </c>
      <c r="F119" s="236">
        <v>202.52</v>
      </c>
      <c r="G119" s="197">
        <f t="shared" si="36"/>
        <v>78385.87000000001</v>
      </c>
      <c r="H119" s="197">
        <v>74016.259999999995</v>
      </c>
      <c r="I119" s="235">
        <v>66698.58</v>
      </c>
      <c r="J119" s="197">
        <f t="shared" si="39"/>
        <v>15483.12999999999</v>
      </c>
      <c r="K119" s="235">
        <f t="shared" si="31"/>
        <v>15483.12999999999</v>
      </c>
      <c r="L119" s="251">
        <f t="shared" ref="L119:L129" si="43">+G119*100/E119</f>
        <v>83.505598227316796</v>
      </c>
      <c r="N119" s="9">
        <v>78183.350000000006</v>
      </c>
      <c r="P119" s="9" t="s">
        <v>12</v>
      </c>
    </row>
    <row r="120" spans="1:19" ht="20.25" customHeight="1">
      <c r="A120" s="241" t="s">
        <v>379</v>
      </c>
      <c r="B120" s="231" t="s">
        <v>380</v>
      </c>
      <c r="C120" s="231">
        <f>SUM(C121:C127)</f>
        <v>277892</v>
      </c>
      <c r="D120" s="231">
        <f>SUM(D121:D127)</f>
        <v>714382</v>
      </c>
      <c r="E120" s="232">
        <f>SUM(E121:E127)</f>
        <v>714382</v>
      </c>
      <c r="F120" s="232">
        <f>SUM(F121:F127)</f>
        <v>9339.4</v>
      </c>
      <c r="G120" s="231">
        <f t="shared" si="36"/>
        <v>556912.35</v>
      </c>
      <c r="H120" s="233">
        <f>SUM(H121:H127)</f>
        <v>457429.67000000004</v>
      </c>
      <c r="I120" s="233">
        <f>SUM(I121:I127)</f>
        <v>333112.11000000004</v>
      </c>
      <c r="J120" s="234">
        <f t="shared" si="39"/>
        <v>157469.65000000002</v>
      </c>
      <c r="K120" s="231">
        <f t="shared" si="31"/>
        <v>157469.65000000002</v>
      </c>
      <c r="L120" s="249">
        <f t="shared" si="43"/>
        <v>77.957220366694571</v>
      </c>
      <c r="N120" s="131">
        <f>SUM(N121:N127)</f>
        <v>547572.94999999995</v>
      </c>
      <c r="O120" s="9" t="s">
        <v>12</v>
      </c>
    </row>
    <row r="121" spans="1:19" ht="14.25" customHeight="1">
      <c r="A121" s="220" t="s">
        <v>381</v>
      </c>
      <c r="B121" s="237" t="s">
        <v>382</v>
      </c>
      <c r="C121" s="235">
        <v>23493</v>
      </c>
      <c r="D121" s="235">
        <f>24193+1250</f>
        <v>25443</v>
      </c>
      <c r="E121" s="221">
        <v>25443</v>
      </c>
      <c r="F121" s="236"/>
      <c r="G121" s="197">
        <f t="shared" si="36"/>
        <v>21094.75</v>
      </c>
      <c r="H121" s="197">
        <v>17140.009999999998</v>
      </c>
      <c r="I121" s="235">
        <v>7667.47</v>
      </c>
      <c r="J121" s="197">
        <f t="shared" si="39"/>
        <v>4348.25</v>
      </c>
      <c r="K121" s="235">
        <f t="shared" si="31"/>
        <v>4348.25</v>
      </c>
      <c r="L121" s="251">
        <f t="shared" si="43"/>
        <v>82.909837676374636</v>
      </c>
      <c r="N121" s="9">
        <v>21094.75</v>
      </c>
    </row>
    <row r="122" spans="1:19" ht="16.5" customHeight="1">
      <c r="A122" s="220" t="s">
        <v>383</v>
      </c>
      <c r="B122" s="237" t="s">
        <v>384</v>
      </c>
      <c r="C122" s="235">
        <v>31236</v>
      </c>
      <c r="D122" s="235">
        <v>23036</v>
      </c>
      <c r="E122" s="221">
        <v>23036</v>
      </c>
      <c r="F122" s="236"/>
      <c r="G122" s="197">
        <f>+F122+N122</f>
        <v>17179.080000000002</v>
      </c>
      <c r="H122" s="197">
        <v>12876.59</v>
      </c>
      <c r="I122" s="235">
        <v>11310.14</v>
      </c>
      <c r="J122" s="197">
        <f t="shared" si="39"/>
        <v>5856.9199999999983</v>
      </c>
      <c r="K122" s="235">
        <f t="shared" si="31"/>
        <v>5856.9199999999983</v>
      </c>
      <c r="L122" s="251">
        <f t="shared" si="43"/>
        <v>74.574926202465718</v>
      </c>
      <c r="N122" s="9">
        <v>17179.080000000002</v>
      </c>
    </row>
    <row r="123" spans="1:19" ht="12.75" customHeight="1">
      <c r="A123" s="220">
        <v>254</v>
      </c>
      <c r="B123" s="237" t="s">
        <v>385</v>
      </c>
      <c r="C123" s="235">
        <v>42838</v>
      </c>
      <c r="D123" s="235">
        <f>66201+9937-1000-8000</f>
        <v>67138</v>
      </c>
      <c r="E123" s="242">
        <v>67138</v>
      </c>
      <c r="F123" s="243">
        <v>118.26</v>
      </c>
      <c r="G123" s="197">
        <f>+N123+F123</f>
        <v>39130.76</v>
      </c>
      <c r="H123" s="197">
        <v>24102.54</v>
      </c>
      <c r="I123" s="235">
        <v>22814.03</v>
      </c>
      <c r="J123" s="197">
        <f t="shared" si="39"/>
        <v>28007.239999999998</v>
      </c>
      <c r="K123" s="235">
        <f t="shared" si="31"/>
        <v>28007.239999999998</v>
      </c>
      <c r="L123" s="251">
        <f t="shared" si="43"/>
        <v>58.284071613691204</v>
      </c>
      <c r="N123" s="9">
        <v>39012.5</v>
      </c>
      <c r="S123" t="s">
        <v>12</v>
      </c>
    </row>
    <row r="124" spans="1:19" ht="18" customHeight="1">
      <c r="A124" s="220" t="s">
        <v>386</v>
      </c>
      <c r="B124" s="237" t="s">
        <v>387</v>
      </c>
      <c r="C124" s="235">
        <v>60539</v>
      </c>
      <c r="D124" s="235">
        <f>229244+13100-11000</f>
        <v>231344</v>
      </c>
      <c r="E124" s="235">
        <v>231344</v>
      </c>
      <c r="F124" s="221">
        <v>415.92</v>
      </c>
      <c r="G124" s="197">
        <f>+F124+N124</f>
        <v>183462.63</v>
      </c>
      <c r="H124" s="197">
        <v>165745.24</v>
      </c>
      <c r="I124" s="235">
        <v>113475.07</v>
      </c>
      <c r="J124" s="197">
        <f t="shared" si="39"/>
        <v>47881.369999999995</v>
      </c>
      <c r="K124" s="235">
        <f t="shared" si="31"/>
        <v>47881.369999999995</v>
      </c>
      <c r="L124" s="251">
        <f t="shared" si="43"/>
        <v>79.30295577149181</v>
      </c>
      <c r="N124" s="9">
        <v>183046.71</v>
      </c>
    </row>
    <row r="125" spans="1:19" ht="17.25" customHeight="1">
      <c r="A125" s="220" t="s">
        <v>388</v>
      </c>
      <c r="B125" s="237" t="s">
        <v>389</v>
      </c>
      <c r="C125" s="235">
        <v>63786</v>
      </c>
      <c r="D125" s="235">
        <v>131706</v>
      </c>
      <c r="E125" s="235">
        <v>131706</v>
      </c>
      <c r="F125" s="221">
        <v>445.75</v>
      </c>
      <c r="G125" s="197">
        <f>+N125+F125</f>
        <v>113147.27</v>
      </c>
      <c r="H125" s="197">
        <v>88126.32</v>
      </c>
      <c r="I125" s="235">
        <v>63300.08</v>
      </c>
      <c r="J125" s="197">
        <f t="shared" si="39"/>
        <v>18558.729999999996</v>
      </c>
      <c r="K125" s="235">
        <f t="shared" si="31"/>
        <v>18558.729999999996</v>
      </c>
      <c r="L125" s="251">
        <f t="shared" si="43"/>
        <v>85.90897149712238</v>
      </c>
      <c r="N125" s="9">
        <v>112701.52</v>
      </c>
    </row>
    <row r="126" spans="1:19" ht="17.25" customHeight="1">
      <c r="A126" s="220">
        <v>257</v>
      </c>
      <c r="B126" s="237" t="s">
        <v>390</v>
      </c>
      <c r="C126" s="235">
        <v>50835</v>
      </c>
      <c r="D126" s="235">
        <f>19557+18528+250-16000</f>
        <v>22335</v>
      </c>
      <c r="E126" s="235">
        <v>22335</v>
      </c>
      <c r="F126" s="221">
        <v>131.08000000000001</v>
      </c>
      <c r="G126" s="197">
        <f t="shared" si="36"/>
        <v>16779.27</v>
      </c>
      <c r="H126" s="197">
        <v>14432.68</v>
      </c>
      <c r="I126" s="235">
        <v>8053.33</v>
      </c>
      <c r="J126" s="197">
        <f t="shared" si="39"/>
        <v>5555.73</v>
      </c>
      <c r="K126" s="235">
        <f t="shared" ref="K126:K157" si="44">+D126-G126</f>
        <v>5555.73</v>
      </c>
      <c r="L126" s="251">
        <f t="shared" si="43"/>
        <v>75.125453324378782</v>
      </c>
      <c r="N126" s="9">
        <v>16648.189999999999</v>
      </c>
    </row>
    <row r="127" spans="1:19" ht="17.25" customHeight="1">
      <c r="A127" s="220" t="s">
        <v>391</v>
      </c>
      <c r="B127" s="237" t="s">
        <v>392</v>
      </c>
      <c r="C127" s="235">
        <v>5165</v>
      </c>
      <c r="D127" s="235">
        <v>213380</v>
      </c>
      <c r="E127" s="235">
        <v>213380</v>
      </c>
      <c r="F127" s="235">
        <v>8228.39</v>
      </c>
      <c r="G127" s="197">
        <f>+F127+N127</f>
        <v>166118.59000000003</v>
      </c>
      <c r="H127" s="197">
        <v>135006.29</v>
      </c>
      <c r="I127" s="235">
        <v>106491.99</v>
      </c>
      <c r="J127" s="197">
        <f t="shared" ref="J127:J153" si="45">+E127-G127</f>
        <v>47261.409999999974</v>
      </c>
      <c r="K127" s="235">
        <f t="shared" si="44"/>
        <v>47261.409999999974</v>
      </c>
      <c r="L127" s="251">
        <f t="shared" si="43"/>
        <v>77.851059143312412</v>
      </c>
      <c r="N127" s="9">
        <v>157890.20000000001</v>
      </c>
      <c r="O127" t="s">
        <v>12</v>
      </c>
      <c r="P127" t="s">
        <v>12</v>
      </c>
    </row>
    <row r="128" spans="1:19" ht="15" customHeight="1">
      <c r="A128" s="241" t="s">
        <v>393</v>
      </c>
      <c r="B128" s="231" t="s">
        <v>394</v>
      </c>
      <c r="C128" s="231">
        <f>SUM(C129:C133)</f>
        <v>475695</v>
      </c>
      <c r="D128" s="231">
        <f>SUM(D129:D133)</f>
        <v>576692</v>
      </c>
      <c r="E128" s="244">
        <f>SUM(E129:E133)</f>
        <v>576692</v>
      </c>
      <c r="F128" s="244">
        <f>SUM(F129:F133)</f>
        <v>24649.73</v>
      </c>
      <c r="G128" s="194">
        <f t="shared" ref="G128:G144" si="46">+N128+F128</f>
        <v>459799.57</v>
      </c>
      <c r="H128" s="244">
        <f>SUM(H129:H133)</f>
        <v>322980.99</v>
      </c>
      <c r="I128" s="244">
        <f t="shared" ref="I128" si="47">SUM(I129:I133)</f>
        <v>267239.24</v>
      </c>
      <c r="J128" s="234">
        <f t="shared" si="45"/>
        <v>116892.43</v>
      </c>
      <c r="K128" s="231">
        <f t="shared" si="44"/>
        <v>116892.43</v>
      </c>
      <c r="L128" s="249">
        <f t="shared" si="43"/>
        <v>79.730526867027805</v>
      </c>
      <c r="N128" s="131">
        <f>SUM(N129:N133)</f>
        <v>435149.84</v>
      </c>
      <c r="O128" t="s">
        <v>395</v>
      </c>
    </row>
    <row r="129" spans="1:15" ht="13.5" customHeight="1">
      <c r="A129" s="220">
        <v>261</v>
      </c>
      <c r="B129" s="235" t="s">
        <v>396</v>
      </c>
      <c r="C129" s="235">
        <v>21865</v>
      </c>
      <c r="D129" s="235">
        <f>69965-40000</f>
        <v>29965</v>
      </c>
      <c r="E129" s="252">
        <v>29965</v>
      </c>
      <c r="F129" s="253">
        <v>0</v>
      </c>
      <c r="G129" s="197">
        <f t="shared" si="46"/>
        <v>26766.560000000001</v>
      </c>
      <c r="H129" s="197">
        <v>7699.16</v>
      </c>
      <c r="I129" s="235">
        <v>7699.16</v>
      </c>
      <c r="J129" s="197">
        <f t="shared" si="45"/>
        <v>3198.4399999999987</v>
      </c>
      <c r="K129" s="235">
        <f t="shared" si="44"/>
        <v>3198.4399999999987</v>
      </c>
      <c r="L129" s="211">
        <f t="shared" si="43"/>
        <v>89.326080427165024</v>
      </c>
      <c r="N129" s="9">
        <v>26766.560000000001</v>
      </c>
    </row>
    <row r="130" spans="1:15" ht="13.5" customHeight="1">
      <c r="A130" s="220" t="s">
        <v>397</v>
      </c>
      <c r="B130" s="237" t="s">
        <v>398</v>
      </c>
      <c r="C130" s="235">
        <v>169987</v>
      </c>
      <c r="D130" s="235">
        <v>148087</v>
      </c>
      <c r="E130" s="235">
        <v>148087</v>
      </c>
      <c r="F130" s="253">
        <v>117.54</v>
      </c>
      <c r="G130" s="197">
        <f t="shared" si="46"/>
        <v>120450.95999999999</v>
      </c>
      <c r="H130" s="197">
        <v>76894.600000000006</v>
      </c>
      <c r="I130" s="235">
        <v>63767.72</v>
      </c>
      <c r="J130" s="197">
        <f t="shared" si="45"/>
        <v>27636.040000000008</v>
      </c>
      <c r="K130" s="235">
        <f t="shared" si="44"/>
        <v>27636.040000000008</v>
      </c>
      <c r="L130" s="251">
        <f t="shared" ref="L130:L140" si="48">+G130*100/E130</f>
        <v>81.337970247219545</v>
      </c>
      <c r="N130" s="9">
        <v>120333.42</v>
      </c>
    </row>
    <row r="131" spans="1:15" ht="17.25" customHeight="1">
      <c r="A131" s="220">
        <v>263</v>
      </c>
      <c r="B131" s="237" t="s">
        <v>399</v>
      </c>
      <c r="C131" s="235">
        <v>28862</v>
      </c>
      <c r="D131" s="235">
        <f>23562+800</f>
        <v>24362</v>
      </c>
      <c r="E131" s="235">
        <v>24362</v>
      </c>
      <c r="F131" s="253"/>
      <c r="G131" s="197">
        <f t="shared" si="46"/>
        <v>16971.2</v>
      </c>
      <c r="H131" s="197">
        <v>16852.82</v>
      </c>
      <c r="I131" s="235">
        <v>13723.6</v>
      </c>
      <c r="J131" s="197">
        <f t="shared" si="45"/>
        <v>7390.7999999999993</v>
      </c>
      <c r="K131" s="235">
        <f t="shared" si="44"/>
        <v>7390.7999999999993</v>
      </c>
      <c r="L131" s="251">
        <f t="shared" si="48"/>
        <v>69.662589278384374</v>
      </c>
      <c r="N131" s="9">
        <v>16971.2</v>
      </c>
    </row>
    <row r="132" spans="1:15" ht="17.25" customHeight="1">
      <c r="A132" s="220" t="s">
        <v>400</v>
      </c>
      <c r="B132" s="254" t="s">
        <v>401</v>
      </c>
      <c r="C132" s="242">
        <v>156163</v>
      </c>
      <c r="D132" s="242">
        <v>235727</v>
      </c>
      <c r="E132" s="252">
        <v>235727</v>
      </c>
      <c r="F132" s="253">
        <v>2.94</v>
      </c>
      <c r="G132" s="197">
        <f t="shared" si="46"/>
        <v>183361.35</v>
      </c>
      <c r="H132" s="197">
        <v>158115.37</v>
      </c>
      <c r="I132" s="235">
        <v>131389.07</v>
      </c>
      <c r="J132" s="197">
        <f t="shared" si="45"/>
        <v>52365.649999999994</v>
      </c>
      <c r="K132" s="235">
        <f t="shared" si="44"/>
        <v>52365.649999999994</v>
      </c>
      <c r="L132" s="251">
        <f t="shared" si="48"/>
        <v>77.785467935365915</v>
      </c>
      <c r="N132" s="9">
        <v>183358.41</v>
      </c>
      <c r="O132" t="s">
        <v>12</v>
      </c>
    </row>
    <row r="133" spans="1:15" ht="15.75" customHeight="1">
      <c r="A133" s="220" t="s">
        <v>402</v>
      </c>
      <c r="B133" s="254" t="s">
        <v>403</v>
      </c>
      <c r="C133" s="242">
        <v>98818</v>
      </c>
      <c r="D133" s="242">
        <v>138551</v>
      </c>
      <c r="E133" s="252">
        <v>138551</v>
      </c>
      <c r="F133" s="253">
        <v>24529.25</v>
      </c>
      <c r="G133" s="197">
        <f>+F133+N133</f>
        <v>112249.5</v>
      </c>
      <c r="H133" s="197">
        <v>63419.040000000001</v>
      </c>
      <c r="I133" s="235">
        <v>50659.69</v>
      </c>
      <c r="J133" s="197">
        <f t="shared" si="45"/>
        <v>26301.5</v>
      </c>
      <c r="K133" s="235">
        <f t="shared" si="44"/>
        <v>26301.5</v>
      </c>
      <c r="L133" s="251">
        <f t="shared" si="48"/>
        <v>81.016737519036312</v>
      </c>
      <c r="N133" s="9">
        <v>87720.25</v>
      </c>
    </row>
    <row r="134" spans="1:15" ht="20.25" customHeight="1">
      <c r="A134" s="241" t="s">
        <v>404</v>
      </c>
      <c r="B134" s="255" t="s">
        <v>405</v>
      </c>
      <c r="C134" s="232">
        <f>SUM(C135:C142)</f>
        <v>829295</v>
      </c>
      <c r="D134" s="232">
        <f>SUM(D135:D142)</f>
        <v>711815</v>
      </c>
      <c r="E134" s="244">
        <f>SUM(E135:E142)</f>
        <v>711815</v>
      </c>
      <c r="F134" s="244">
        <f>SUM(F135:F142)</f>
        <v>43813.799999999996</v>
      </c>
      <c r="G134" s="234">
        <f t="shared" si="46"/>
        <v>503665.77999999997</v>
      </c>
      <c r="H134" s="244">
        <f>SUM(H135:H142)</f>
        <v>454130.56</v>
      </c>
      <c r="I134" s="244">
        <f>SUM(I135:I142)</f>
        <v>261247.81</v>
      </c>
      <c r="J134" s="234">
        <f t="shared" si="45"/>
        <v>208149.22000000003</v>
      </c>
      <c r="K134" s="231">
        <f t="shared" si="44"/>
        <v>208149.22000000003</v>
      </c>
      <c r="L134" s="249">
        <f t="shared" si="48"/>
        <v>70.757960987054219</v>
      </c>
      <c r="M134" s="6"/>
      <c r="N134" s="131">
        <f>SUM(N135:N142)</f>
        <v>459851.98</v>
      </c>
    </row>
    <row r="135" spans="1:15" ht="12.75" customHeight="1">
      <c r="A135" s="220" t="s">
        <v>406</v>
      </c>
      <c r="B135" s="254" t="s">
        <v>407</v>
      </c>
      <c r="C135" s="242">
        <v>24712</v>
      </c>
      <c r="D135" s="242">
        <v>76212</v>
      </c>
      <c r="E135" s="242">
        <v>76212</v>
      </c>
      <c r="F135" s="253">
        <v>590.16</v>
      </c>
      <c r="G135" s="197">
        <f t="shared" si="46"/>
        <v>35553.730000000003</v>
      </c>
      <c r="H135" s="197">
        <v>35553.93</v>
      </c>
      <c r="I135" s="235">
        <v>12132.82</v>
      </c>
      <c r="J135" s="197">
        <f t="shared" si="45"/>
        <v>40658.269999999997</v>
      </c>
      <c r="K135" s="235">
        <f t="shared" si="44"/>
        <v>40658.269999999997</v>
      </c>
      <c r="L135" s="251">
        <f t="shared" si="48"/>
        <v>46.651091691597131</v>
      </c>
      <c r="N135" s="9">
        <v>34963.57</v>
      </c>
    </row>
    <row r="136" spans="1:15" ht="16.5" customHeight="1">
      <c r="A136" s="220" t="s">
        <v>408</v>
      </c>
      <c r="B136" s="237" t="s">
        <v>409</v>
      </c>
      <c r="C136" s="235">
        <v>88222</v>
      </c>
      <c r="D136" s="235">
        <v>22322</v>
      </c>
      <c r="E136" s="252">
        <v>22322</v>
      </c>
      <c r="F136" s="253">
        <v>304.42</v>
      </c>
      <c r="G136" s="197">
        <f t="shared" si="46"/>
        <v>10676.09</v>
      </c>
      <c r="H136" s="197">
        <v>10676.09</v>
      </c>
      <c r="I136" s="235">
        <v>5416.81</v>
      </c>
      <c r="J136" s="197">
        <f t="shared" si="45"/>
        <v>11645.91</v>
      </c>
      <c r="K136" s="235">
        <f t="shared" si="44"/>
        <v>11645.91</v>
      </c>
      <c r="L136" s="251">
        <f t="shared" si="48"/>
        <v>47.827658811934413</v>
      </c>
      <c r="N136" s="9">
        <v>10371.67</v>
      </c>
    </row>
    <row r="137" spans="1:15" ht="13.5" customHeight="1">
      <c r="A137" s="220" t="s">
        <v>410</v>
      </c>
      <c r="B137" s="237" t="s">
        <v>411</v>
      </c>
      <c r="C137" s="235">
        <v>79068</v>
      </c>
      <c r="D137" s="235">
        <v>86718</v>
      </c>
      <c r="E137" s="252">
        <v>86718</v>
      </c>
      <c r="F137" s="253">
        <v>41210.699999999997</v>
      </c>
      <c r="G137" s="197">
        <f t="shared" si="46"/>
        <v>64546.64</v>
      </c>
      <c r="H137" s="197">
        <v>62930.83</v>
      </c>
      <c r="I137" s="235">
        <v>12967.42</v>
      </c>
      <c r="J137" s="197">
        <f t="shared" si="45"/>
        <v>22171.360000000001</v>
      </c>
      <c r="K137" s="235">
        <f t="shared" si="44"/>
        <v>22171.360000000001</v>
      </c>
      <c r="L137" s="251">
        <f t="shared" si="48"/>
        <v>74.432805184621415</v>
      </c>
      <c r="N137" s="9">
        <v>23335.94</v>
      </c>
    </row>
    <row r="138" spans="1:15" ht="16.5" customHeight="1">
      <c r="A138" s="220" t="s">
        <v>412</v>
      </c>
      <c r="B138" s="237" t="s">
        <v>413</v>
      </c>
      <c r="C138" s="235">
        <v>180216</v>
      </c>
      <c r="D138" s="235">
        <v>101316</v>
      </c>
      <c r="E138" s="252">
        <v>101316</v>
      </c>
      <c r="F138" s="253"/>
      <c r="G138" s="197">
        <f t="shared" si="46"/>
        <v>80924.14</v>
      </c>
      <c r="H138" s="197">
        <v>40627.21</v>
      </c>
      <c r="I138" s="235">
        <v>36452.949999999997</v>
      </c>
      <c r="J138" s="197">
        <f t="shared" si="45"/>
        <v>20391.86</v>
      </c>
      <c r="K138" s="235">
        <f t="shared" si="44"/>
        <v>20391.86</v>
      </c>
      <c r="L138" s="251">
        <f t="shared" si="48"/>
        <v>79.8730111729638</v>
      </c>
      <c r="N138" s="9">
        <v>80924.14</v>
      </c>
    </row>
    <row r="139" spans="1:15" ht="12.75" customHeight="1">
      <c r="A139" s="220" t="s">
        <v>414</v>
      </c>
      <c r="B139" s="237" t="s">
        <v>415</v>
      </c>
      <c r="C139" s="235">
        <v>320615</v>
      </c>
      <c r="D139" s="235">
        <v>253415</v>
      </c>
      <c r="E139" s="252">
        <v>253415</v>
      </c>
      <c r="F139" s="253">
        <v>791.81</v>
      </c>
      <c r="G139" s="197">
        <f t="shared" si="46"/>
        <v>166673.84</v>
      </c>
      <c r="H139" s="197">
        <v>165114.32999999999</v>
      </c>
      <c r="I139" s="235">
        <v>135309.14000000001</v>
      </c>
      <c r="J139" s="197">
        <f t="shared" si="45"/>
        <v>86741.16</v>
      </c>
      <c r="K139" s="235">
        <f t="shared" si="44"/>
        <v>86741.16</v>
      </c>
      <c r="L139" s="251">
        <f t="shared" si="48"/>
        <v>65.771102736617806</v>
      </c>
      <c r="N139" s="9">
        <v>165882.03</v>
      </c>
    </row>
    <row r="140" spans="1:15" ht="15" customHeight="1">
      <c r="A140" s="220">
        <v>277</v>
      </c>
      <c r="B140" s="237" t="s">
        <v>416</v>
      </c>
      <c r="C140" s="235">
        <v>13843</v>
      </c>
      <c r="D140" s="235">
        <f>4843+150</f>
        <v>4993</v>
      </c>
      <c r="E140" s="252">
        <v>4993</v>
      </c>
      <c r="F140" s="253"/>
      <c r="G140" s="197">
        <f t="shared" si="46"/>
        <v>4166.43</v>
      </c>
      <c r="H140" s="197">
        <v>4166.43</v>
      </c>
      <c r="I140" s="235">
        <v>3779.96</v>
      </c>
      <c r="J140" s="197">
        <f t="shared" si="45"/>
        <v>826.56999999999971</v>
      </c>
      <c r="K140" s="235">
        <f t="shared" si="44"/>
        <v>826.56999999999971</v>
      </c>
      <c r="L140" s="211">
        <f t="shared" si="48"/>
        <v>83.445423593030242</v>
      </c>
      <c r="N140" s="9">
        <v>4166.43</v>
      </c>
    </row>
    <row r="141" spans="1:15" ht="15" customHeight="1">
      <c r="A141" s="220">
        <v>278</v>
      </c>
      <c r="B141" s="237" t="s">
        <v>417</v>
      </c>
      <c r="C141" s="235">
        <v>14300</v>
      </c>
      <c r="D141" s="235">
        <v>1800</v>
      </c>
      <c r="E141" s="252">
        <v>1800</v>
      </c>
      <c r="F141" s="253"/>
      <c r="G141" s="197">
        <f t="shared" si="46"/>
        <v>0</v>
      </c>
      <c r="H141" s="197"/>
      <c r="I141" s="235">
        <v>0</v>
      </c>
      <c r="J141" s="197">
        <f t="shared" si="45"/>
        <v>1800</v>
      </c>
      <c r="K141" s="235">
        <f t="shared" si="44"/>
        <v>1800</v>
      </c>
      <c r="L141" s="251"/>
      <c r="N141" s="9">
        <v>0</v>
      </c>
    </row>
    <row r="142" spans="1:15" ht="15" customHeight="1">
      <c r="A142" s="220" t="s">
        <v>418</v>
      </c>
      <c r="B142" s="237" t="s">
        <v>419</v>
      </c>
      <c r="C142" s="235">
        <v>108319</v>
      </c>
      <c r="D142" s="235">
        <f>158298+3671+3070</f>
        <v>165039</v>
      </c>
      <c r="E142" s="252">
        <v>165039</v>
      </c>
      <c r="F142" s="253">
        <v>916.71</v>
      </c>
      <c r="G142" s="197">
        <f t="shared" si="46"/>
        <v>141124.91</v>
      </c>
      <c r="H142" s="197">
        <v>135061.74</v>
      </c>
      <c r="I142" s="235">
        <v>55188.71</v>
      </c>
      <c r="J142" s="197">
        <f t="shared" si="45"/>
        <v>23914.089999999997</v>
      </c>
      <c r="K142" s="235">
        <f t="shared" si="44"/>
        <v>23914.089999999997</v>
      </c>
      <c r="L142" s="251">
        <f t="shared" ref="L142:L156" si="49">+G142*100/E142</f>
        <v>85.510037021552478</v>
      </c>
      <c r="N142" s="9">
        <v>140208.20000000001</v>
      </c>
    </row>
    <row r="143" spans="1:15" ht="15" customHeight="1">
      <c r="A143" s="241" t="s">
        <v>420</v>
      </c>
      <c r="B143" s="231" t="s">
        <v>421</v>
      </c>
      <c r="C143" s="231">
        <v>208309</v>
      </c>
      <c r="D143" s="256">
        <v>346709</v>
      </c>
      <c r="E143" s="257">
        <v>346709</v>
      </c>
      <c r="F143" s="244">
        <v>1461.78</v>
      </c>
      <c r="G143" s="194">
        <v>262163.34999999998</v>
      </c>
      <c r="H143" s="234">
        <v>215256.1</v>
      </c>
      <c r="I143" s="231">
        <v>183257.04</v>
      </c>
      <c r="J143" s="234">
        <f t="shared" si="45"/>
        <v>84545.650000000023</v>
      </c>
      <c r="K143" s="231">
        <f t="shared" si="44"/>
        <v>84545.650000000023</v>
      </c>
      <c r="L143" s="249">
        <f t="shared" si="49"/>
        <v>75.614809537681452</v>
      </c>
      <c r="N143" s="131">
        <f>260738.11-36.54</f>
        <v>260701.56999999998</v>
      </c>
    </row>
    <row r="144" spans="1:15" ht="15" customHeight="1">
      <c r="A144" s="219">
        <v>290</v>
      </c>
      <c r="B144" s="258" t="s">
        <v>422</v>
      </c>
      <c r="C144" s="258">
        <f>SUM(C145:C152)</f>
        <v>0</v>
      </c>
      <c r="D144" s="258">
        <f>SUM(D145:D153)</f>
        <v>398855</v>
      </c>
      <c r="E144" s="258">
        <f>SUM(E145:E153)</f>
        <v>398855</v>
      </c>
      <c r="F144" s="258">
        <f>SUM(F145:F153)</f>
        <v>5026.87</v>
      </c>
      <c r="G144" s="194">
        <f t="shared" si="46"/>
        <v>302788.37</v>
      </c>
      <c r="H144" s="234">
        <f>SUM(H145:H153)</f>
        <v>58199.090000000004</v>
      </c>
      <c r="I144" s="258">
        <f>SUM(I145:I153)</f>
        <v>218454.03</v>
      </c>
      <c r="J144" s="194">
        <f t="shared" si="45"/>
        <v>96066.63</v>
      </c>
      <c r="K144" s="258">
        <f t="shared" si="44"/>
        <v>96066.63</v>
      </c>
      <c r="L144" s="249">
        <f t="shared" si="49"/>
        <v>75.914397462737085</v>
      </c>
      <c r="M144">
        <v>0</v>
      </c>
      <c r="N144" s="131">
        <f>SUM(N145:N153)</f>
        <v>297761.5</v>
      </c>
      <c r="O144" s="9" t="s">
        <v>12</v>
      </c>
    </row>
    <row r="145" spans="1:16" ht="15" customHeight="1">
      <c r="A145" s="220">
        <v>291</v>
      </c>
      <c r="B145" s="259" t="s">
        <v>423</v>
      </c>
      <c r="C145" s="258"/>
      <c r="D145" s="260">
        <v>11000</v>
      </c>
      <c r="E145" s="260">
        <v>11000</v>
      </c>
      <c r="F145" s="260">
        <v>149</v>
      </c>
      <c r="G145" s="260">
        <f>+F145+N145</f>
        <v>7601</v>
      </c>
      <c r="H145" s="197">
        <v>7601</v>
      </c>
      <c r="I145" s="260">
        <v>7611</v>
      </c>
      <c r="J145" s="197">
        <f t="shared" si="45"/>
        <v>3399</v>
      </c>
      <c r="K145" s="260">
        <f t="shared" si="44"/>
        <v>3399</v>
      </c>
      <c r="L145" s="251">
        <f t="shared" si="49"/>
        <v>69.099999999999994</v>
      </c>
      <c r="N145" s="9">
        <v>7452</v>
      </c>
    </row>
    <row r="146" spans="1:16" ht="15" customHeight="1">
      <c r="A146" s="222">
        <v>292</v>
      </c>
      <c r="B146" s="259" t="s">
        <v>424</v>
      </c>
      <c r="C146" s="261"/>
      <c r="D146" s="260">
        <f>5410+480</f>
        <v>5890</v>
      </c>
      <c r="E146" s="260">
        <v>5890</v>
      </c>
      <c r="F146" s="260"/>
      <c r="G146" s="260">
        <f t="shared" ref="G146:G153" si="50">+N146+F146</f>
        <v>4513.1899999999996</v>
      </c>
      <c r="H146" s="197">
        <v>98.55</v>
      </c>
      <c r="I146" s="260">
        <v>4513.1899999999996</v>
      </c>
      <c r="J146" s="197">
        <f t="shared" si="45"/>
        <v>1376.8100000000004</v>
      </c>
      <c r="K146" s="260">
        <f t="shared" si="44"/>
        <v>1376.8100000000004</v>
      </c>
      <c r="L146" s="251">
        <f t="shared" si="49"/>
        <v>76.6246179966044</v>
      </c>
      <c r="N146" s="9">
        <v>4513.1899999999996</v>
      </c>
      <c r="O146" t="s">
        <v>12</v>
      </c>
    </row>
    <row r="147" spans="1:16" ht="15" customHeight="1">
      <c r="A147" s="220">
        <v>293</v>
      </c>
      <c r="B147" s="259" t="s">
        <v>425</v>
      </c>
      <c r="C147" s="260"/>
      <c r="D147" s="260">
        <v>114700</v>
      </c>
      <c r="E147" s="260">
        <v>114700</v>
      </c>
      <c r="F147" s="260"/>
      <c r="G147" s="260">
        <f t="shared" si="50"/>
        <v>45252.2</v>
      </c>
      <c r="H147" s="197">
        <v>23066.47</v>
      </c>
      <c r="I147" s="260">
        <v>45252.19</v>
      </c>
      <c r="J147" s="197">
        <f t="shared" si="45"/>
        <v>69447.8</v>
      </c>
      <c r="K147" s="260">
        <f t="shared" si="44"/>
        <v>69447.8</v>
      </c>
      <c r="L147" s="251">
        <f t="shared" si="49"/>
        <v>39.45265911072363</v>
      </c>
      <c r="N147" s="9">
        <v>45252.2</v>
      </c>
    </row>
    <row r="148" spans="1:16" ht="15" customHeight="1">
      <c r="A148" s="220">
        <v>294</v>
      </c>
      <c r="B148" s="259" t="s">
        <v>426</v>
      </c>
      <c r="C148" s="260"/>
      <c r="D148" s="260">
        <v>2800</v>
      </c>
      <c r="E148" s="260">
        <v>2800</v>
      </c>
      <c r="F148" s="260">
        <v>0</v>
      </c>
      <c r="G148" s="260">
        <f t="shared" si="50"/>
        <v>2457.87</v>
      </c>
      <c r="H148" s="197">
        <v>399.99</v>
      </c>
      <c r="I148" s="260">
        <v>2457.87</v>
      </c>
      <c r="J148" s="197">
        <f t="shared" si="45"/>
        <v>342.13000000000011</v>
      </c>
      <c r="K148" s="260">
        <f t="shared" si="44"/>
        <v>342.13000000000011</v>
      </c>
      <c r="L148" s="251">
        <f t="shared" si="49"/>
        <v>87.781071428571423</v>
      </c>
      <c r="N148" s="9">
        <v>2457.87</v>
      </c>
    </row>
    <row r="149" spans="1:16" ht="15" customHeight="1">
      <c r="A149" s="220">
        <v>295</v>
      </c>
      <c r="B149" s="260" t="s">
        <v>427</v>
      </c>
      <c r="C149" s="258"/>
      <c r="D149" s="260">
        <v>16050</v>
      </c>
      <c r="E149" s="260">
        <v>16050</v>
      </c>
      <c r="F149" s="260"/>
      <c r="G149" s="260">
        <f t="shared" si="50"/>
        <v>16032.88</v>
      </c>
      <c r="H149" s="197"/>
      <c r="I149" s="260">
        <v>0</v>
      </c>
      <c r="J149" s="197">
        <f t="shared" si="45"/>
        <v>17.1200000000008</v>
      </c>
      <c r="K149" s="260">
        <f t="shared" si="44"/>
        <v>17.1200000000008</v>
      </c>
      <c r="L149" s="251" t="s">
        <v>12</v>
      </c>
      <c r="N149" s="9">
        <v>16032.88</v>
      </c>
    </row>
    <row r="150" spans="1:16" ht="15" customHeight="1">
      <c r="A150" s="220">
        <v>296</v>
      </c>
      <c r="B150" s="259" t="s">
        <v>428</v>
      </c>
      <c r="C150" s="260"/>
      <c r="D150" s="260">
        <v>123550</v>
      </c>
      <c r="E150" s="260">
        <v>123550</v>
      </c>
      <c r="F150" s="260"/>
      <c r="G150" s="260">
        <f t="shared" si="50"/>
        <v>116636.65</v>
      </c>
      <c r="H150" s="197">
        <v>15552.72</v>
      </c>
      <c r="I150" s="260">
        <v>76796.14</v>
      </c>
      <c r="J150" s="197">
        <f t="shared" si="45"/>
        <v>6913.3500000000058</v>
      </c>
      <c r="K150" s="260">
        <f t="shared" si="44"/>
        <v>6913.3500000000058</v>
      </c>
      <c r="L150" s="251">
        <f t="shared" si="49"/>
        <v>94.40441116956697</v>
      </c>
      <c r="N150" s="9">
        <v>116636.65</v>
      </c>
    </row>
    <row r="151" spans="1:16" ht="15" customHeight="1">
      <c r="A151" s="220">
        <v>297</v>
      </c>
      <c r="B151" s="260" t="s">
        <v>429</v>
      </c>
      <c r="C151" s="258"/>
      <c r="D151" s="260">
        <v>50260</v>
      </c>
      <c r="E151" s="260">
        <v>50260</v>
      </c>
      <c r="F151" s="260">
        <v>4877.87</v>
      </c>
      <c r="G151" s="260">
        <f t="shared" si="50"/>
        <v>39607</v>
      </c>
      <c r="H151" s="197">
        <v>956.28</v>
      </c>
      <c r="I151" s="260">
        <v>15861</v>
      </c>
      <c r="J151" s="197">
        <f t="shared" si="45"/>
        <v>10653</v>
      </c>
      <c r="K151" s="260">
        <f t="shared" si="44"/>
        <v>10653</v>
      </c>
      <c r="L151" s="251">
        <f t="shared" si="49"/>
        <v>78.804218066056507</v>
      </c>
      <c r="N151" s="9">
        <v>34729.129999999997</v>
      </c>
    </row>
    <row r="152" spans="1:16" ht="15" customHeight="1">
      <c r="A152" s="220">
        <v>298</v>
      </c>
      <c r="B152" s="260" t="s">
        <v>430</v>
      </c>
      <c r="C152" s="258"/>
      <c r="D152" s="260">
        <v>57535</v>
      </c>
      <c r="E152" s="260">
        <v>57535</v>
      </c>
      <c r="F152" s="260"/>
      <c r="G152" s="260">
        <f t="shared" si="50"/>
        <v>54374.58</v>
      </c>
      <c r="H152" s="197">
        <v>9756.89</v>
      </c>
      <c r="I152" s="260">
        <v>53077.81</v>
      </c>
      <c r="J152" s="197">
        <f t="shared" si="45"/>
        <v>3160.4199999999983</v>
      </c>
      <c r="K152" s="260">
        <f t="shared" si="44"/>
        <v>3160.4199999999983</v>
      </c>
      <c r="L152" s="251">
        <f t="shared" si="49"/>
        <v>94.506960980272879</v>
      </c>
      <c r="N152" s="9">
        <v>54374.58</v>
      </c>
    </row>
    <row r="153" spans="1:16" ht="15" customHeight="1">
      <c r="A153" s="220">
        <v>299</v>
      </c>
      <c r="B153" s="260" t="s">
        <v>431</v>
      </c>
      <c r="C153" s="258"/>
      <c r="D153" s="260">
        <v>17070</v>
      </c>
      <c r="E153" s="260">
        <v>17070</v>
      </c>
      <c r="F153" s="260"/>
      <c r="G153" s="260">
        <f t="shared" si="50"/>
        <v>16313</v>
      </c>
      <c r="H153" s="197">
        <v>767.19</v>
      </c>
      <c r="I153" s="260">
        <v>12884.83</v>
      </c>
      <c r="J153" s="197">
        <f t="shared" si="45"/>
        <v>757</v>
      </c>
      <c r="K153" s="260">
        <f t="shared" si="44"/>
        <v>757</v>
      </c>
      <c r="L153" s="251">
        <f t="shared" si="49"/>
        <v>95.565319273579377</v>
      </c>
      <c r="N153" s="9">
        <v>16313</v>
      </c>
    </row>
    <row r="154" spans="1:16" ht="15" customHeight="1">
      <c r="A154" s="262">
        <v>4</v>
      </c>
      <c r="B154" s="263" t="s">
        <v>432</v>
      </c>
      <c r="C154" s="263">
        <f>SUM(C155)</f>
        <v>3207914</v>
      </c>
      <c r="D154" s="263">
        <f>+D155+D157</f>
        <v>2295040</v>
      </c>
      <c r="E154" s="264">
        <f>+E155+E157</f>
        <v>2295040</v>
      </c>
      <c r="F154" s="264">
        <f>+F155+F157</f>
        <v>32819.31</v>
      </c>
      <c r="G154" s="263">
        <f>N154+F154</f>
        <v>1380108.58</v>
      </c>
      <c r="H154" s="265">
        <f>+H155+H157</f>
        <v>1095225.2100000002</v>
      </c>
      <c r="I154" s="263">
        <f>+I155+I157</f>
        <v>793631.25</v>
      </c>
      <c r="J154" s="203">
        <f t="shared" ref="J154:J170" si="51">+E154-G154</f>
        <v>914931.41999999993</v>
      </c>
      <c r="K154" s="263">
        <f t="shared" si="44"/>
        <v>914931.41999999993</v>
      </c>
      <c r="L154" s="282">
        <f t="shared" si="49"/>
        <v>60.134402014779695</v>
      </c>
      <c r="N154" s="131">
        <v>1347289.27</v>
      </c>
      <c r="O154" t="s">
        <v>12</v>
      </c>
      <c r="P154" s="1" t="s">
        <v>12</v>
      </c>
    </row>
    <row r="155" spans="1:16" ht="15" customHeight="1">
      <c r="A155" s="219">
        <v>430</v>
      </c>
      <c r="B155" s="238" t="s">
        <v>433</v>
      </c>
      <c r="C155" s="238">
        <f>SUM(C156)</f>
        <v>3207914</v>
      </c>
      <c r="D155" s="238">
        <v>2200790</v>
      </c>
      <c r="E155" s="266">
        <f>+E156</f>
        <v>2200790</v>
      </c>
      <c r="F155" s="266">
        <f>+F156</f>
        <v>14334.73</v>
      </c>
      <c r="G155" s="194">
        <f>+N155+F155</f>
        <v>1309412.6599999999</v>
      </c>
      <c r="H155" s="194">
        <f>+H156</f>
        <v>1069418.3500000001</v>
      </c>
      <c r="I155" s="238">
        <f>SUM(I156)</f>
        <v>745241.24</v>
      </c>
      <c r="J155" s="194">
        <f t="shared" si="51"/>
        <v>891377.34000000008</v>
      </c>
      <c r="K155" s="238">
        <f t="shared" si="44"/>
        <v>891377.34000000008</v>
      </c>
      <c r="L155" s="283">
        <f t="shared" si="49"/>
        <v>59.49739230003771</v>
      </c>
      <c r="N155" s="131">
        <v>1295077.93</v>
      </c>
    </row>
    <row r="156" spans="1:16" ht="13.5" customHeight="1">
      <c r="A156" s="220">
        <v>439</v>
      </c>
      <c r="B156" s="235" t="s">
        <v>434</v>
      </c>
      <c r="C156" s="235">
        <v>3207914</v>
      </c>
      <c r="D156" s="235">
        <v>2200790</v>
      </c>
      <c r="E156" s="243">
        <v>2200790</v>
      </c>
      <c r="F156" s="267">
        <v>14334.73</v>
      </c>
      <c r="G156" s="197">
        <f>+N156+F156</f>
        <v>1309412.6599999999</v>
      </c>
      <c r="H156" s="197">
        <v>1069418.3500000001</v>
      </c>
      <c r="I156" s="235">
        <v>745241.24</v>
      </c>
      <c r="J156" s="197">
        <f t="shared" si="51"/>
        <v>891377.34000000008</v>
      </c>
      <c r="K156" s="235">
        <f t="shared" si="44"/>
        <v>891377.34000000008</v>
      </c>
      <c r="L156" s="251">
        <f t="shared" si="49"/>
        <v>59.49739230003771</v>
      </c>
      <c r="N156" s="9">
        <v>1295077.93</v>
      </c>
    </row>
    <row r="157" spans="1:16" ht="16.5" customHeight="1">
      <c r="A157" s="219">
        <v>490</v>
      </c>
      <c r="B157" s="238" t="s">
        <v>435</v>
      </c>
      <c r="C157" s="235">
        <f>SUM(C158)</f>
        <v>0</v>
      </c>
      <c r="D157" s="238">
        <f>+D158</f>
        <v>94250</v>
      </c>
      <c r="E157" s="266">
        <f>+E158</f>
        <v>94250</v>
      </c>
      <c r="F157" s="266">
        <f>+F158</f>
        <v>18484.580000000002</v>
      </c>
      <c r="G157" s="238">
        <f>+G158</f>
        <v>70695.92</v>
      </c>
      <c r="H157" s="194">
        <v>25806.86</v>
      </c>
      <c r="I157" s="238">
        <f>I158</f>
        <v>48390.01</v>
      </c>
      <c r="J157" s="194">
        <f t="shared" si="51"/>
        <v>23554.080000000002</v>
      </c>
      <c r="K157" s="238">
        <f t="shared" si="44"/>
        <v>23554.080000000002</v>
      </c>
      <c r="L157" s="283">
        <f t="shared" ref="L157:L162" si="52">+G157*100/E157</f>
        <v>75.008933687002653</v>
      </c>
      <c r="N157" s="131">
        <v>52211.34</v>
      </c>
    </row>
    <row r="158" spans="1:16" ht="13.5" customHeight="1">
      <c r="A158" s="220">
        <v>494</v>
      </c>
      <c r="B158" s="235" t="s">
        <v>436</v>
      </c>
      <c r="C158" s="235"/>
      <c r="D158" s="235">
        <v>94250</v>
      </c>
      <c r="E158" s="221">
        <v>94250</v>
      </c>
      <c r="F158" s="267">
        <v>18484.580000000002</v>
      </c>
      <c r="G158" s="235">
        <f>+N158+F158</f>
        <v>70695.92</v>
      </c>
      <c r="H158" s="197">
        <v>25806.86</v>
      </c>
      <c r="I158" s="235">
        <v>48390.01</v>
      </c>
      <c r="J158" s="197">
        <f t="shared" si="51"/>
        <v>23554.080000000002</v>
      </c>
      <c r="K158" s="235">
        <f t="shared" ref="K158:K170" si="53">+D158-G158</f>
        <v>23554.080000000002</v>
      </c>
      <c r="L158" s="251">
        <f t="shared" si="52"/>
        <v>75.008933687002653</v>
      </c>
      <c r="N158" s="9">
        <v>52211.34</v>
      </c>
    </row>
    <row r="159" spans="1:16" ht="15.75" customHeight="1">
      <c r="A159" s="262" t="s">
        <v>437</v>
      </c>
      <c r="B159" s="268" t="s">
        <v>438</v>
      </c>
      <c r="C159" s="263">
        <f>C160+C162+C168+C174+C178+C172</f>
        <v>2251594</v>
      </c>
      <c r="D159" s="263">
        <f>+D160+D162+D168+D172+D174+D178</f>
        <v>4033441</v>
      </c>
      <c r="E159" s="263">
        <f t="shared" ref="E159:I159" si="54">E160+E162+E168+E174+E178+E172</f>
        <v>4003900</v>
      </c>
      <c r="F159" s="263">
        <f t="shared" si="54"/>
        <v>198119.77</v>
      </c>
      <c r="G159" s="269">
        <f t="shared" si="54"/>
        <v>1889708.1400000001</v>
      </c>
      <c r="H159" s="263">
        <f t="shared" ref="H159" si="55">H160+H162+H168+H174+H178+H172</f>
        <v>1786273.4200000002</v>
      </c>
      <c r="I159" s="263">
        <f t="shared" si="54"/>
        <v>1770248.8400000003</v>
      </c>
      <c r="J159" s="203">
        <f t="shared" si="51"/>
        <v>2114191.86</v>
      </c>
      <c r="K159" s="263">
        <f t="shared" si="53"/>
        <v>2143732.86</v>
      </c>
      <c r="L159" s="282">
        <f t="shared" si="52"/>
        <v>47.196686730437825</v>
      </c>
      <c r="N159" s="284">
        <v>1691588.37</v>
      </c>
      <c r="O159" t="s">
        <v>12</v>
      </c>
      <c r="P159" s="1" t="s">
        <v>12</v>
      </c>
    </row>
    <row r="160" spans="1:16">
      <c r="A160" s="219" t="s">
        <v>439</v>
      </c>
      <c r="B160" s="270" t="s">
        <v>440</v>
      </c>
      <c r="C160" s="238">
        <f>SUM(C161)</f>
        <v>118164</v>
      </c>
      <c r="D160" s="238">
        <f>SUM(D161)</f>
        <v>118164</v>
      </c>
      <c r="E160" s="266">
        <v>88623</v>
      </c>
      <c r="F160" s="271">
        <v>3373.87</v>
      </c>
      <c r="G160" s="238">
        <f>SUM(G161)</f>
        <v>30364.829999999998</v>
      </c>
      <c r="H160" s="238">
        <f>+H161</f>
        <v>30364.83</v>
      </c>
      <c r="I160" s="238">
        <f>+I161</f>
        <v>30364.83</v>
      </c>
      <c r="J160" s="194">
        <f t="shared" si="51"/>
        <v>58258.17</v>
      </c>
      <c r="K160" s="238">
        <f t="shared" si="53"/>
        <v>87799.17</v>
      </c>
      <c r="L160" s="283">
        <f t="shared" si="52"/>
        <v>34.262922717578959</v>
      </c>
      <c r="N160" s="9">
        <v>26990.959999999999</v>
      </c>
    </row>
    <row r="161" spans="1:17" ht="13.5" customHeight="1">
      <c r="A161" s="220" t="s">
        <v>441</v>
      </c>
      <c r="B161" s="237" t="s">
        <v>442</v>
      </c>
      <c r="C161" s="235">
        <v>118164</v>
      </c>
      <c r="D161" s="235">
        <v>118164</v>
      </c>
      <c r="E161" s="221">
        <v>88623</v>
      </c>
      <c r="F161" s="267">
        <v>3373.87</v>
      </c>
      <c r="G161" s="197">
        <f>+N161+F161</f>
        <v>30364.829999999998</v>
      </c>
      <c r="H161" s="197">
        <v>30364.83</v>
      </c>
      <c r="I161" s="235">
        <v>30364.83</v>
      </c>
      <c r="J161" s="197">
        <f t="shared" si="51"/>
        <v>58258.17</v>
      </c>
      <c r="K161" s="235">
        <f t="shared" si="53"/>
        <v>87799.17</v>
      </c>
      <c r="L161" s="251">
        <f t="shared" si="52"/>
        <v>34.262922717578959</v>
      </c>
      <c r="N161" s="9">
        <v>26990.959999999999</v>
      </c>
      <c r="O161" t="s">
        <v>12</v>
      </c>
      <c r="P161" t="s">
        <v>12</v>
      </c>
    </row>
    <row r="162" spans="1:17">
      <c r="A162" s="8" t="s">
        <v>443</v>
      </c>
      <c r="B162" s="238" t="s">
        <v>289</v>
      </c>
      <c r="C162" s="238">
        <f>SUM(C163:C167)</f>
        <v>956224</v>
      </c>
      <c r="D162" s="238">
        <f>SUM(D163:D167)</f>
        <v>3468724</v>
      </c>
      <c r="E162" s="8">
        <f>+E163+E164+E166+E167</f>
        <v>3468724</v>
      </c>
      <c r="F162" s="8">
        <f>+F163+F164+F166+F167</f>
        <v>184476.27</v>
      </c>
      <c r="G162" s="194">
        <f>+N162+F162</f>
        <v>1682593.6400000001</v>
      </c>
      <c r="H162" s="194">
        <f>+O162+G162</f>
        <v>1682593.6400000001</v>
      </c>
      <c r="I162" s="238">
        <f>SUM(I163:I167)</f>
        <v>1682593.6400000001</v>
      </c>
      <c r="J162" s="194">
        <f t="shared" si="51"/>
        <v>1786130.3599999999</v>
      </c>
      <c r="K162" s="238">
        <f t="shared" si="53"/>
        <v>1786130.3599999999</v>
      </c>
      <c r="L162" s="283">
        <f t="shared" si="52"/>
        <v>48.507567624290658</v>
      </c>
      <c r="N162" s="9">
        <f>SUM(N164:N166)</f>
        <v>1498117.37</v>
      </c>
      <c r="Q162" s="1" t="s">
        <v>12</v>
      </c>
    </row>
    <row r="163" spans="1:17" ht="14.25" customHeight="1">
      <c r="A163" s="220">
        <v>611</v>
      </c>
      <c r="B163" s="235" t="s">
        <v>444</v>
      </c>
      <c r="C163" s="235">
        <v>1800</v>
      </c>
      <c r="D163" s="235">
        <f>4300</f>
        <v>4300</v>
      </c>
      <c r="E163" s="221">
        <v>4300</v>
      </c>
      <c r="F163" s="267">
        <v>0</v>
      </c>
      <c r="G163" s="197">
        <f>+N163+F163</f>
        <v>0</v>
      </c>
      <c r="H163" s="197"/>
      <c r="I163" s="235">
        <v>0</v>
      </c>
      <c r="J163" s="197">
        <f t="shared" si="51"/>
        <v>4300</v>
      </c>
      <c r="K163" s="235">
        <f t="shared" si="53"/>
        <v>4300</v>
      </c>
      <c r="L163" s="251"/>
      <c r="N163" s="9">
        <v>0</v>
      </c>
    </row>
    <row r="164" spans="1:17" ht="13.5" customHeight="1">
      <c r="A164" s="220">
        <v>612</v>
      </c>
      <c r="B164" s="235" t="s">
        <v>445</v>
      </c>
      <c r="C164" s="235">
        <v>172962</v>
      </c>
      <c r="D164" s="235">
        <v>1789962</v>
      </c>
      <c r="E164" s="221">
        <v>1789962</v>
      </c>
      <c r="F164" s="267">
        <v>172010.02</v>
      </c>
      <c r="G164" s="206">
        <f>+F164+N164</f>
        <v>1072540.31</v>
      </c>
      <c r="H164" s="197">
        <v>1072540.31</v>
      </c>
      <c r="I164" s="235">
        <v>1072540.31</v>
      </c>
      <c r="J164" s="197">
        <f t="shared" si="51"/>
        <v>717421.69</v>
      </c>
      <c r="K164" s="235">
        <f t="shared" si="53"/>
        <v>717421.69</v>
      </c>
      <c r="L164" s="251">
        <f>+G164*100/E164</f>
        <v>59.919725111482812</v>
      </c>
      <c r="N164" s="9">
        <v>900530.29</v>
      </c>
    </row>
    <row r="165" spans="1:17" ht="12" hidden="1" customHeight="1">
      <c r="A165" s="220">
        <v>613</v>
      </c>
      <c r="B165" s="235" t="s">
        <v>446</v>
      </c>
      <c r="C165" s="235">
        <v>0</v>
      </c>
      <c r="D165" s="235">
        <v>0</v>
      </c>
      <c r="E165" s="221"/>
      <c r="F165" s="267"/>
      <c r="G165" s="197">
        <f>+N165+F165</f>
        <v>0</v>
      </c>
      <c r="H165" s="197"/>
      <c r="I165" s="235"/>
      <c r="J165" s="197">
        <f t="shared" si="51"/>
        <v>0</v>
      </c>
      <c r="K165" s="235">
        <f t="shared" si="53"/>
        <v>0</v>
      </c>
      <c r="L165" s="251" t="e">
        <f>+G165*100/E165</f>
        <v>#DIV/0!</v>
      </c>
      <c r="N165" s="9">
        <v>0</v>
      </c>
    </row>
    <row r="166" spans="1:17" ht="12.75" customHeight="1">
      <c r="A166" s="220">
        <v>614</v>
      </c>
      <c r="B166" s="235" t="s">
        <v>447</v>
      </c>
      <c r="C166" s="235">
        <v>727916</v>
      </c>
      <c r="D166" s="235">
        <v>1620916</v>
      </c>
      <c r="E166" s="221">
        <v>1620916</v>
      </c>
      <c r="F166" s="267">
        <v>4846.25</v>
      </c>
      <c r="G166" s="197">
        <f>+N166+F166</f>
        <v>602433.32999999996</v>
      </c>
      <c r="H166" s="197">
        <v>602433.32999999996</v>
      </c>
      <c r="I166" s="235">
        <v>602433.32999999996</v>
      </c>
      <c r="J166" s="197">
        <f t="shared" si="51"/>
        <v>1018482.67</v>
      </c>
      <c r="K166" s="235">
        <f t="shared" si="53"/>
        <v>1018482.67</v>
      </c>
      <c r="L166" s="251">
        <f>+G166*100/E166</f>
        <v>37.166227614509324</v>
      </c>
      <c r="N166" s="9">
        <v>597587.07999999996</v>
      </c>
    </row>
    <row r="167" spans="1:17" ht="13.5" customHeight="1">
      <c r="A167" s="220">
        <v>619</v>
      </c>
      <c r="B167" s="235" t="s">
        <v>448</v>
      </c>
      <c r="C167" s="235">
        <v>53546</v>
      </c>
      <c r="D167" s="235">
        <v>53546</v>
      </c>
      <c r="E167" s="221">
        <v>53546</v>
      </c>
      <c r="F167" s="267">
        <v>7620</v>
      </c>
      <c r="G167" s="197">
        <f>+N167+F167</f>
        <v>7620</v>
      </c>
      <c r="H167" s="197">
        <v>7620</v>
      </c>
      <c r="I167" s="235">
        <v>7620</v>
      </c>
      <c r="J167" s="197">
        <f t="shared" si="51"/>
        <v>45926</v>
      </c>
      <c r="K167" s="235">
        <f t="shared" si="53"/>
        <v>45926</v>
      </c>
      <c r="L167" s="251" t="s">
        <v>12</v>
      </c>
      <c r="N167" s="9">
        <v>0</v>
      </c>
    </row>
    <row r="168" spans="1:17" ht="13.5" customHeight="1">
      <c r="A168" s="219">
        <v>620</v>
      </c>
      <c r="B168" s="238" t="s">
        <v>449</v>
      </c>
      <c r="C168" s="238">
        <f>+C169+C170+C171</f>
        <v>730940</v>
      </c>
      <c r="D168" s="238">
        <f>+D169+D170+D171</f>
        <v>152207</v>
      </c>
      <c r="E168" s="239">
        <f t="shared" ref="E168:I168" si="56">+E169+E170+E171</f>
        <v>152207</v>
      </c>
      <c r="F168" s="239">
        <f t="shared" si="56"/>
        <v>7269.63</v>
      </c>
      <c r="G168" s="238">
        <f t="shared" si="56"/>
        <v>127430.46</v>
      </c>
      <c r="H168" s="194">
        <f>+H170</f>
        <v>72414.95</v>
      </c>
      <c r="I168" s="238">
        <f t="shared" si="56"/>
        <v>56390.37</v>
      </c>
      <c r="J168" s="194">
        <f t="shared" si="51"/>
        <v>24776.539999999994</v>
      </c>
      <c r="K168" s="238">
        <f t="shared" si="53"/>
        <v>24776.539999999994</v>
      </c>
      <c r="L168" s="283">
        <f>+G168*100/E168</f>
        <v>83.721813057218128</v>
      </c>
      <c r="N168" s="131">
        <v>120160.83</v>
      </c>
    </row>
    <row r="169" spans="1:17" ht="13.5" customHeight="1">
      <c r="A169" s="220" t="s">
        <v>450</v>
      </c>
      <c r="B169" s="235" t="s">
        <v>451</v>
      </c>
      <c r="C169" s="235">
        <v>70000</v>
      </c>
      <c r="D169" s="235">
        <v>0</v>
      </c>
      <c r="E169" s="242">
        <v>0</v>
      </c>
      <c r="F169" s="267">
        <v>0</v>
      </c>
      <c r="G169" s="197">
        <f>+N169+F169</f>
        <v>0</v>
      </c>
      <c r="H169" s="197"/>
      <c r="I169" s="235">
        <v>0</v>
      </c>
      <c r="J169" s="197">
        <f t="shared" si="51"/>
        <v>0</v>
      </c>
      <c r="K169" s="235">
        <f t="shared" si="53"/>
        <v>0</v>
      </c>
      <c r="L169" s="251" t="s">
        <v>11</v>
      </c>
      <c r="N169" s="9">
        <v>0</v>
      </c>
    </row>
    <row r="170" spans="1:17" ht="12" customHeight="1">
      <c r="A170" s="220">
        <v>624</v>
      </c>
      <c r="B170" s="235" t="s">
        <v>452</v>
      </c>
      <c r="C170" s="235">
        <v>648440</v>
      </c>
      <c r="D170" s="235">
        <v>152207</v>
      </c>
      <c r="E170" s="242">
        <v>152207</v>
      </c>
      <c r="F170" s="267">
        <v>7269.63</v>
      </c>
      <c r="G170" s="197">
        <f>+N170+F170</f>
        <v>127430.46</v>
      </c>
      <c r="H170" s="197">
        <v>72414.95</v>
      </c>
      <c r="I170" s="235">
        <v>56390.37</v>
      </c>
      <c r="J170" s="197">
        <f t="shared" si="51"/>
        <v>24776.539999999994</v>
      </c>
      <c r="K170" s="235">
        <f t="shared" si="53"/>
        <v>24776.539999999994</v>
      </c>
      <c r="L170" s="251">
        <f>+G170*100/E170</f>
        <v>83.721813057218128</v>
      </c>
      <c r="N170" s="9">
        <v>120160.83</v>
      </c>
    </row>
    <row r="171" spans="1:17" ht="12" customHeight="1">
      <c r="A171" s="220">
        <v>629</v>
      </c>
      <c r="B171" s="235" t="s">
        <v>453</v>
      </c>
      <c r="C171" s="235">
        <v>12500</v>
      </c>
      <c r="D171" s="235">
        <v>0</v>
      </c>
      <c r="E171" s="242">
        <v>0</v>
      </c>
      <c r="F171" s="267"/>
      <c r="G171" s="197"/>
      <c r="H171" s="197"/>
      <c r="I171" s="221"/>
      <c r="J171" s="197"/>
      <c r="K171" s="235"/>
      <c r="L171" s="251"/>
      <c r="N171" s="9"/>
    </row>
    <row r="172" spans="1:17" ht="12" customHeight="1">
      <c r="A172" s="219">
        <v>640</v>
      </c>
      <c r="B172" s="238" t="s">
        <v>454</v>
      </c>
      <c r="C172" s="238">
        <f>+C173</f>
        <v>159266</v>
      </c>
      <c r="D172" s="238">
        <f>+D173</f>
        <v>159266</v>
      </c>
      <c r="E172" s="239">
        <f>+E173</f>
        <v>159266</v>
      </c>
      <c r="F172" s="238">
        <f t="shared" ref="F172:K172" si="57">+F173</f>
        <v>0</v>
      </c>
      <c r="G172" s="238">
        <f t="shared" si="57"/>
        <v>0</v>
      </c>
      <c r="H172" s="238">
        <f t="shared" si="57"/>
        <v>0</v>
      </c>
      <c r="I172" s="238">
        <f t="shared" si="57"/>
        <v>0</v>
      </c>
      <c r="J172" s="238">
        <f t="shared" si="57"/>
        <v>0</v>
      </c>
      <c r="K172" s="238">
        <f t="shared" si="57"/>
        <v>0</v>
      </c>
      <c r="L172" s="251"/>
      <c r="N172" s="9">
        <v>0</v>
      </c>
    </row>
    <row r="173" spans="1:17" ht="12" customHeight="1">
      <c r="A173" s="220">
        <v>641</v>
      </c>
      <c r="B173" s="235" t="s">
        <v>455</v>
      </c>
      <c r="C173" s="235">
        <v>159266</v>
      </c>
      <c r="D173" s="235">
        <v>159266</v>
      </c>
      <c r="E173" s="242">
        <v>159266</v>
      </c>
      <c r="F173" s="267"/>
      <c r="G173" s="197"/>
      <c r="H173" s="197"/>
      <c r="I173" s="221"/>
      <c r="J173" s="197"/>
      <c r="K173" s="235"/>
      <c r="N173" s="9"/>
    </row>
    <row r="174" spans="1:17">
      <c r="A174" s="219" t="s">
        <v>456</v>
      </c>
      <c r="B174" s="270" t="s">
        <v>457</v>
      </c>
      <c r="C174" s="238">
        <f>SUM(C175:C177)</f>
        <v>287000</v>
      </c>
      <c r="D174" s="238">
        <f>SUM(D175:D177)</f>
        <v>93500</v>
      </c>
      <c r="E174" s="239">
        <f>SUM(E175:E177)</f>
        <v>93500</v>
      </c>
      <c r="F174" s="239">
        <f>SUM(F175:F177)</f>
        <v>3000</v>
      </c>
      <c r="G174" s="194">
        <f t="shared" ref="G174:G179" si="58">+N174+F174</f>
        <v>25424.21</v>
      </c>
      <c r="H174" s="194">
        <f>+H176+H177</f>
        <v>900</v>
      </c>
      <c r="I174" s="8">
        <f>SUM(I175:I177)</f>
        <v>900</v>
      </c>
      <c r="J174" s="194">
        <f>+E174-G174</f>
        <v>68075.790000000008</v>
      </c>
      <c r="K174" s="238">
        <f t="shared" ref="K174:K179" si="59">+D174-G174</f>
        <v>68075.790000000008</v>
      </c>
      <c r="L174" s="283">
        <f>+G174*100/E174</f>
        <v>27.191668449197859</v>
      </c>
      <c r="N174" s="131">
        <f>SUM(N175:N177)</f>
        <v>22424.21</v>
      </c>
    </row>
    <row r="175" spans="1:17" ht="13.5" customHeight="1">
      <c r="A175" s="220">
        <v>662</v>
      </c>
      <c r="B175" s="237" t="s">
        <v>458</v>
      </c>
      <c r="C175" s="235">
        <v>116000</v>
      </c>
      <c r="D175" s="235">
        <v>52500</v>
      </c>
      <c r="E175" s="242">
        <v>52500</v>
      </c>
      <c r="F175" s="267">
        <v>0</v>
      </c>
      <c r="G175" s="197">
        <v>16500</v>
      </c>
      <c r="H175" s="197"/>
      <c r="I175" s="235">
        <v>0</v>
      </c>
      <c r="J175" s="197">
        <f>+E175-G175</f>
        <v>36000</v>
      </c>
      <c r="K175" s="235">
        <f t="shared" si="59"/>
        <v>36000</v>
      </c>
      <c r="L175" s="251">
        <f>+G175*100/E175</f>
        <v>31.428571428571427</v>
      </c>
      <c r="N175" s="9">
        <v>13500</v>
      </c>
      <c r="O175" t="s">
        <v>138</v>
      </c>
    </row>
    <row r="176" spans="1:17" ht="11.25" customHeight="1">
      <c r="A176" s="220" t="s">
        <v>459</v>
      </c>
      <c r="B176" s="237" t="s">
        <v>460</v>
      </c>
      <c r="C176" s="235">
        <v>0</v>
      </c>
      <c r="D176" s="235">
        <v>7000</v>
      </c>
      <c r="E176" s="242">
        <v>7000</v>
      </c>
      <c r="F176" s="267">
        <v>3000</v>
      </c>
      <c r="G176" s="197">
        <v>5790</v>
      </c>
      <c r="H176" s="197"/>
      <c r="I176" s="235">
        <v>0</v>
      </c>
      <c r="J176" s="197" t="s">
        <v>12</v>
      </c>
      <c r="K176" s="235">
        <f t="shared" si="59"/>
        <v>1210</v>
      </c>
      <c r="L176" s="251">
        <f>+G176*100/E176</f>
        <v>82.714285714285708</v>
      </c>
      <c r="N176" s="9">
        <v>5790</v>
      </c>
    </row>
    <row r="177" spans="1:14" ht="12.75" customHeight="1">
      <c r="A177" s="220" t="s">
        <v>461</v>
      </c>
      <c r="B177" s="237" t="s">
        <v>462</v>
      </c>
      <c r="C177" s="235">
        <v>171000</v>
      </c>
      <c r="D177" s="235">
        <v>34000</v>
      </c>
      <c r="E177" s="242">
        <v>34000</v>
      </c>
      <c r="F177" s="267">
        <v>0</v>
      </c>
      <c r="G177" s="197">
        <f t="shared" si="58"/>
        <v>3134.21</v>
      </c>
      <c r="H177" s="197">
        <v>900</v>
      </c>
      <c r="I177" s="235">
        <v>900</v>
      </c>
      <c r="J177" s="197">
        <f>+E177-G177</f>
        <v>30865.79</v>
      </c>
      <c r="K177" s="235">
        <f t="shared" si="59"/>
        <v>30865.79</v>
      </c>
      <c r="L177" s="251">
        <f>+G177*100/E177</f>
        <v>9.218264705882353</v>
      </c>
      <c r="N177" s="9">
        <v>3134.21</v>
      </c>
    </row>
    <row r="178" spans="1:14" ht="17.25" customHeight="1">
      <c r="A178" s="219">
        <v>690</v>
      </c>
      <c r="B178" s="238" t="s">
        <v>463</v>
      </c>
      <c r="C178" s="238">
        <f>+C179</f>
        <v>0</v>
      </c>
      <c r="D178" s="238">
        <f>+D181+D180</f>
        <v>41580</v>
      </c>
      <c r="E178" s="8">
        <f>+E181+E180</f>
        <v>41580</v>
      </c>
      <c r="F178" s="271"/>
      <c r="G178" s="238">
        <f t="shared" si="58"/>
        <v>23895</v>
      </c>
      <c r="H178" s="197"/>
      <c r="I178" s="238">
        <f>+I179</f>
        <v>0</v>
      </c>
      <c r="J178" s="194">
        <f>+E178-G178</f>
        <v>17685</v>
      </c>
      <c r="K178" s="238">
        <f t="shared" si="59"/>
        <v>17685</v>
      </c>
      <c r="L178" s="283">
        <f>+G178*100/E178</f>
        <v>57.467532467532465</v>
      </c>
      <c r="N178" s="131">
        <v>23895</v>
      </c>
    </row>
    <row r="179" spans="1:14" ht="15.75" customHeight="1">
      <c r="A179" s="220">
        <v>692</v>
      </c>
      <c r="B179" s="237" t="s">
        <v>464</v>
      </c>
      <c r="C179" s="235"/>
      <c r="D179" s="235"/>
      <c r="E179" s="242">
        <v>0</v>
      </c>
      <c r="F179" s="221">
        <v>0</v>
      </c>
      <c r="G179" s="235">
        <f t="shared" si="58"/>
        <v>0</v>
      </c>
      <c r="H179" s="197"/>
      <c r="I179" s="235">
        <v>0</v>
      </c>
      <c r="J179" s="197">
        <f>+E179-G179</f>
        <v>0</v>
      </c>
      <c r="K179" s="235">
        <f t="shared" si="59"/>
        <v>0</v>
      </c>
      <c r="L179" s="251" t="s">
        <v>12</v>
      </c>
      <c r="N179" s="9">
        <v>0</v>
      </c>
    </row>
    <row r="180" spans="1:14" ht="18" customHeight="1">
      <c r="A180" s="220">
        <v>693</v>
      </c>
      <c r="B180" s="237" t="s">
        <v>465</v>
      </c>
      <c r="C180" s="235"/>
      <c r="D180" s="235">
        <v>2000</v>
      </c>
      <c r="E180" s="242">
        <v>2000</v>
      </c>
      <c r="F180" s="272"/>
      <c r="G180" s="221"/>
      <c r="H180" s="197"/>
      <c r="I180" s="235"/>
      <c r="J180" s="197"/>
      <c r="K180" s="235"/>
      <c r="L180" s="251" t="s">
        <v>12</v>
      </c>
      <c r="N180" s="9"/>
    </row>
    <row r="181" spans="1:14" ht="15.75" customHeight="1">
      <c r="A181" s="220">
        <v>697</v>
      </c>
      <c r="B181" s="237" t="s">
        <v>466</v>
      </c>
      <c r="C181" s="235"/>
      <c r="D181" s="235">
        <f>22080+17500</f>
        <v>39580</v>
      </c>
      <c r="E181" s="273">
        <v>39580</v>
      </c>
      <c r="F181" s="221"/>
      <c r="G181" s="197">
        <f>+N181+F181</f>
        <v>23895</v>
      </c>
      <c r="H181" s="197"/>
      <c r="I181" s="235"/>
      <c r="J181" s="285">
        <f>+E181-G181</f>
        <v>15685</v>
      </c>
      <c r="K181" s="238">
        <f>+D181-G181</f>
        <v>15685</v>
      </c>
      <c r="L181" s="251">
        <f>+G181*100/E181</f>
        <v>60.371399696816574</v>
      </c>
      <c r="N181" s="9">
        <v>23895</v>
      </c>
    </row>
    <row r="182" spans="1:14" ht="28.9" customHeight="1">
      <c r="A182" s="274" t="s">
        <v>12</v>
      </c>
      <c r="B182" s="275" t="s">
        <v>467</v>
      </c>
      <c r="C182" s="276">
        <f t="shared" ref="C182:F182" si="60">+C159+C154+C94+C37+C11</f>
        <v>141094806</v>
      </c>
      <c r="D182" s="276">
        <f t="shared" si="60"/>
        <v>140457693</v>
      </c>
      <c r="E182" s="277">
        <f t="shared" si="60"/>
        <v>108025224</v>
      </c>
      <c r="F182" s="278">
        <f t="shared" si="60"/>
        <v>9313247.6500000004</v>
      </c>
      <c r="G182" s="279">
        <f>+G11+G37+G94+G154+G159</f>
        <v>90541959.559999987</v>
      </c>
      <c r="H182" s="276">
        <f>+H159+H154+H94+H37+H11</f>
        <v>78175898.940000013</v>
      </c>
      <c r="I182" s="276">
        <f>+I159+I154+I94+I37+I11</f>
        <v>84153052.159999996</v>
      </c>
      <c r="J182" s="286">
        <f>+E182-G182</f>
        <v>17483264.440000013</v>
      </c>
      <c r="K182" s="276">
        <f>+D182-G182</f>
        <v>49915733.440000013</v>
      </c>
      <c r="L182" s="287">
        <f>+G182*100/E182</f>
        <v>83.815572148223438</v>
      </c>
      <c r="N182" s="9">
        <v>81242997.969999999</v>
      </c>
    </row>
    <row r="183" spans="1:14">
      <c r="F183" s="280"/>
      <c r="H183" s="185" t="s">
        <v>12</v>
      </c>
      <c r="I183" s="185" t="s">
        <v>12</v>
      </c>
    </row>
    <row r="184" spans="1:14">
      <c r="F184" s="280"/>
    </row>
    <row r="185" spans="1:14">
      <c r="F185" s="280"/>
    </row>
    <row r="186" spans="1:14">
      <c r="F186" s="280"/>
    </row>
    <row r="187" spans="1:14">
      <c r="F187" s="280"/>
      <c r="G187" s="281"/>
    </row>
    <row r="188" spans="1:14">
      <c r="F188" s="280"/>
    </row>
    <row r="189" spans="1:14">
      <c r="F189" s="280"/>
    </row>
    <row r="190" spans="1:14">
      <c r="F190" s="280"/>
    </row>
    <row r="191" spans="1:14">
      <c r="F191" s="280"/>
    </row>
    <row r="192" spans="1:14">
      <c r="D192" s="280"/>
      <c r="E192" s="281"/>
      <c r="F192" s="280"/>
      <c r="H192" s="281"/>
      <c r="I192" s="281"/>
      <c r="N192" s="9"/>
    </row>
    <row r="193" spans="2:9">
      <c r="D193" s="281"/>
      <c r="G193" s="280"/>
      <c r="I193" s="288"/>
    </row>
    <row r="194" spans="2:9">
      <c r="D194" s="288"/>
      <c r="E194" s="281"/>
      <c r="G194" s="280"/>
      <c r="I194" s="281"/>
    </row>
    <row r="195" spans="2:9">
      <c r="D195" s="281"/>
    </row>
    <row r="196" spans="2:9">
      <c r="D196" s="280"/>
      <c r="G196" s="280"/>
    </row>
    <row r="197" spans="2:9">
      <c r="B197" s="289"/>
      <c r="D197" s="280"/>
    </row>
    <row r="198" spans="2:9">
      <c r="C198" s="280"/>
    </row>
    <row r="199" spans="2:9">
      <c r="C199" s="280"/>
    </row>
    <row r="200" spans="2:9">
      <c r="C200" s="280"/>
    </row>
    <row r="201" spans="2:9">
      <c r="C201" s="280"/>
    </row>
  </sheetData>
  <mergeCells count="13">
    <mergeCell ref="N8:N10"/>
    <mergeCell ref="C8:E9"/>
    <mergeCell ref="F8:G9"/>
    <mergeCell ref="J8:K10"/>
    <mergeCell ref="A2:L2"/>
    <mergeCell ref="A3:L3"/>
    <mergeCell ref="A4:L4"/>
    <mergeCell ref="A5:L5"/>
    <mergeCell ref="A8:A10"/>
    <mergeCell ref="B8:B10"/>
    <mergeCell ref="H8:H10"/>
    <mergeCell ref="I8:I10"/>
    <mergeCell ref="L8:L10"/>
  </mergeCells>
  <pageMargins left="0.511811023622047" right="0.118110236220472" top="0.55118110236220497" bottom="0.55118110236220497" header="0.31496062992126" footer="0.31496062992126"/>
  <pageSetup scale="80" orientation="portrait"/>
  <ignoredErrors>
    <ignoredError sqref="A118:B118 A12:A117 A119:A143 J118:K118 O118:XFD118 M118" numberStoredAsText="1"/>
    <ignoredError sqref="I128 C134 E134 C45 E45 C16:E16 E22 H45:I45 H134" formulaRange="1"/>
    <ignoredError sqref="G134 H16:I16" formula="1" formulaRange="1"/>
    <ignoredError sqref="G29 G68:G70 G136:G137 D11:D12 G88:G93 G154:G155 G139:G142 G181:G182 G106:G107 G159:G174 G83:G84 E62 G117:G119 H168 G11:G12 G86 E162 G72:G77 G55 G157 G99:G103 G111:G113 G126:G131 G144:G145 G115 D159 G121:G124 D73 G177:G179 G133 G16 G37 G45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2">
    <tabColor theme="2" tint="-0.499984740745262"/>
  </sheetPr>
  <dimension ref="A1:P149"/>
  <sheetViews>
    <sheetView showGridLines="0" showZeros="0" workbookViewId="0">
      <selection activeCell="N21" sqref="N21:N22"/>
    </sheetView>
  </sheetViews>
  <sheetFormatPr baseColWidth="10" defaultColWidth="11" defaultRowHeight="12.75"/>
  <cols>
    <col min="1" max="1" width="4.85546875" customWidth="1"/>
    <col min="2" max="2" width="32.5703125" customWidth="1"/>
    <col min="3" max="3" width="12.7109375" customWidth="1"/>
    <col min="4" max="4" width="13.28515625" customWidth="1"/>
    <col min="5" max="5" width="12.42578125" customWidth="1"/>
    <col min="6" max="6" width="14.5703125" hidden="1" customWidth="1"/>
    <col min="7" max="7" width="14.85546875" customWidth="1"/>
    <col min="8" max="8" width="11.28515625" customWidth="1"/>
    <col min="9" max="9" width="11.42578125" customWidth="1"/>
    <col min="10" max="10" width="11" customWidth="1"/>
    <col min="11" max="11" width="13.42578125" hidden="1" customWidth="1"/>
    <col min="12" max="12" width="12.140625" customWidth="1"/>
  </cols>
  <sheetData>
    <row r="1" spans="1:12" ht="20.25" customHeight="1">
      <c r="A1" s="605" t="s">
        <v>468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  <c r="L1" s="605"/>
    </row>
    <row r="2" spans="1:12" ht="18.75" customHeight="1">
      <c r="A2" s="605" t="s">
        <v>61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</row>
    <row r="3" spans="1:12" ht="19.899999999999999" customHeight="1">
      <c r="A3" s="606" t="s">
        <v>469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</row>
    <row r="4" spans="1:12" ht="19.899999999999999" customHeight="1">
      <c r="A4" s="606" t="s">
        <v>470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</row>
    <row r="5" spans="1:12" ht="6" customHeight="1">
      <c r="A5" s="700"/>
      <c r="B5" s="700"/>
      <c r="C5" s="700"/>
      <c r="D5" s="700"/>
      <c r="E5" s="700"/>
      <c r="F5" s="700"/>
      <c r="G5" s="700"/>
      <c r="H5" s="700"/>
      <c r="I5" s="700"/>
      <c r="J5" s="700"/>
      <c r="K5" s="700"/>
      <c r="L5" s="700"/>
    </row>
    <row r="6" spans="1:12" ht="19.899999999999999" customHeight="1">
      <c r="A6" s="679" t="s">
        <v>471</v>
      </c>
      <c r="B6" s="682" t="s">
        <v>0</v>
      </c>
      <c r="C6" s="694" t="s">
        <v>50</v>
      </c>
      <c r="D6" s="695"/>
      <c r="E6" s="695"/>
      <c r="F6" s="695"/>
      <c r="G6" s="695"/>
      <c r="H6" s="695"/>
      <c r="I6" s="696"/>
      <c r="J6" s="688" t="s">
        <v>42</v>
      </c>
      <c r="K6" s="689"/>
      <c r="L6" s="685" t="s">
        <v>43</v>
      </c>
    </row>
    <row r="7" spans="1:12" ht="6" customHeight="1">
      <c r="A7" s="680"/>
      <c r="B7" s="683"/>
      <c r="C7" s="697"/>
      <c r="D7" s="698"/>
      <c r="E7" s="698"/>
      <c r="F7" s="698"/>
      <c r="G7" s="698"/>
      <c r="H7" s="698"/>
      <c r="I7" s="699"/>
      <c r="J7" s="690"/>
      <c r="K7" s="691"/>
      <c r="L7" s="686"/>
    </row>
    <row r="8" spans="1:12" ht="34.5" customHeight="1">
      <c r="A8" s="681"/>
      <c r="B8" s="684"/>
      <c r="C8" s="139" t="s">
        <v>2</v>
      </c>
      <c r="D8" s="140" t="s">
        <v>66</v>
      </c>
      <c r="E8" s="139" t="s">
        <v>25</v>
      </c>
      <c r="F8" s="141" t="s">
        <v>67</v>
      </c>
      <c r="G8" s="142" t="s">
        <v>44</v>
      </c>
      <c r="H8" s="142" t="s">
        <v>48</v>
      </c>
      <c r="I8" s="142" t="s">
        <v>45</v>
      </c>
      <c r="J8" s="692"/>
      <c r="K8" s="693"/>
      <c r="L8" s="687"/>
    </row>
    <row r="9" spans="1:12" ht="31.5" customHeight="1">
      <c r="A9" s="143" t="s">
        <v>197</v>
      </c>
      <c r="B9" s="144" t="s">
        <v>198</v>
      </c>
      <c r="C9" s="145">
        <f t="shared" ref="C9:E9" si="0">SUM(C10+C14+C15+C16+C17+C18+C19)</f>
        <v>125299729</v>
      </c>
      <c r="D9" s="145">
        <f t="shared" si="0"/>
        <v>122980084</v>
      </c>
      <c r="E9" s="145">
        <f t="shared" si="0"/>
        <v>91027312</v>
      </c>
      <c r="F9" s="145">
        <f t="shared" ref="F9:I9" si="1">SUM(F10+F14+F15+F16+F17+F18+F19)</f>
        <v>8606889.75</v>
      </c>
      <c r="G9" s="145">
        <f t="shared" si="1"/>
        <v>79528977.139999986</v>
      </c>
      <c r="H9" s="145">
        <f t="shared" si="1"/>
        <v>69117102.290000007</v>
      </c>
      <c r="I9" s="145">
        <f t="shared" si="1"/>
        <v>76248810.170000002</v>
      </c>
      <c r="J9" s="145">
        <f>+E9-G9</f>
        <v>11498334.860000014</v>
      </c>
      <c r="K9" s="145">
        <f>+D9-G9</f>
        <v>43451106.860000014</v>
      </c>
      <c r="L9" s="173">
        <f>+'Funcionamiento '!L11</f>
        <v>87.368258375024823</v>
      </c>
    </row>
    <row r="10" spans="1:12" ht="18" customHeight="1">
      <c r="A10" s="146" t="s">
        <v>199</v>
      </c>
      <c r="B10" s="147" t="s">
        <v>200</v>
      </c>
      <c r="C10" s="148">
        <f>SUM(C11:C13)</f>
        <v>83395405</v>
      </c>
      <c r="D10" s="148">
        <f>+D11+D12+D13</f>
        <v>81773320</v>
      </c>
      <c r="E10" s="148">
        <f>SUM(E11:E13)</f>
        <v>61166612</v>
      </c>
      <c r="F10" s="148">
        <f>SUM(F11:F13)</f>
        <v>5961299.4000000004</v>
      </c>
      <c r="G10" s="148">
        <f>SUM(G11:G13)</f>
        <v>53427304.899999999</v>
      </c>
      <c r="H10" s="149">
        <f>+H11+H12+H13</f>
        <v>53427304.899999999</v>
      </c>
      <c r="I10" s="148">
        <f>SUM(I11:I13)</f>
        <v>53427304.899999999</v>
      </c>
      <c r="J10" s="148">
        <f>+E10-G10</f>
        <v>7739307.1000000015</v>
      </c>
      <c r="K10" s="148">
        <f>+D10-G10</f>
        <v>28346015.100000001</v>
      </c>
      <c r="L10" s="174">
        <f>+'Funcionamiento '!L12</f>
        <v>87.347170544610194</v>
      </c>
    </row>
    <row r="11" spans="1:12" ht="16.5" customHeight="1">
      <c r="A11" s="150" t="s">
        <v>201</v>
      </c>
      <c r="B11" s="151" t="s">
        <v>200</v>
      </c>
      <c r="C11" s="152">
        <f>+'Funcionamiento '!C13</f>
        <v>71073045</v>
      </c>
      <c r="D11" s="152">
        <f>+'Funcionamiento '!D13</f>
        <v>69124045</v>
      </c>
      <c r="E11" s="152">
        <f>+'Funcionamiento '!E13</f>
        <v>51241363</v>
      </c>
      <c r="F11" s="152">
        <f>+'Funcionamiento '!F13</f>
        <v>5246738.47</v>
      </c>
      <c r="G11" s="152">
        <f>+'Funcionamiento '!G13</f>
        <v>45956509.390000001</v>
      </c>
      <c r="H11" s="152">
        <f>+'Funcionamiento '!H13</f>
        <v>45956509.390000001</v>
      </c>
      <c r="I11" s="152">
        <f>+'Funcionamiento '!I13</f>
        <v>45956509.390000001</v>
      </c>
      <c r="J11" s="152">
        <f>+'Funcionamiento '!J13</f>
        <v>5284853.6099999994</v>
      </c>
      <c r="K11" s="152">
        <f>+'Funcionamiento '!K13</f>
        <v>23167535.609999999</v>
      </c>
      <c r="L11" s="175">
        <f>+'Funcionamiento '!L13</f>
        <v>89.686352390743394</v>
      </c>
    </row>
    <row r="12" spans="1:12" ht="15.75" customHeight="1">
      <c r="A12" s="150" t="s">
        <v>202</v>
      </c>
      <c r="B12" s="151" t="s">
        <v>203</v>
      </c>
      <c r="C12" s="152">
        <f>+'Funcionamiento '!C14</f>
        <v>3944236</v>
      </c>
      <c r="D12" s="152">
        <f>+'Funcionamiento '!D14</f>
        <v>3844236</v>
      </c>
      <c r="E12" s="152">
        <f>+'Funcionamiento '!E14</f>
        <v>2842218</v>
      </c>
      <c r="F12" s="152">
        <f>+'Funcionamiento '!F14</f>
        <v>273889.65000000002</v>
      </c>
      <c r="G12" s="152">
        <f>+'Funcionamiento '!G14</f>
        <v>2250458.2600000002</v>
      </c>
      <c r="H12" s="152">
        <f>+'Funcionamiento '!H14</f>
        <v>2250458.2599999998</v>
      </c>
      <c r="I12" s="152">
        <f>+'Funcionamiento '!I14</f>
        <v>2250458.2599999998</v>
      </c>
      <c r="J12" s="152">
        <f>+'Funcionamiento '!J14</f>
        <v>591759.73999999976</v>
      </c>
      <c r="K12" s="152">
        <f>+'Funcionamiento '!K14</f>
        <v>1593777.7399999998</v>
      </c>
      <c r="L12" s="175">
        <f>+'Funcionamiento '!L14</f>
        <v>79.179649836852775</v>
      </c>
    </row>
    <row r="13" spans="1:12" ht="18.75" customHeight="1">
      <c r="A13" s="150" t="s">
        <v>204</v>
      </c>
      <c r="B13" s="151" t="s">
        <v>205</v>
      </c>
      <c r="C13" s="152">
        <f>+'Funcionamiento '!C15</f>
        <v>8378124</v>
      </c>
      <c r="D13" s="152">
        <f>+'Funcionamiento '!D15</f>
        <v>8805039</v>
      </c>
      <c r="E13" s="152">
        <f>+'Funcionamiento '!E15</f>
        <v>7083031</v>
      </c>
      <c r="F13" s="152">
        <f>+'Funcionamiento '!F15</f>
        <v>440671.28</v>
      </c>
      <c r="G13" s="152">
        <f>+'Funcionamiento '!G15</f>
        <v>5220337.25</v>
      </c>
      <c r="H13" s="152">
        <f>+'Funcionamiento '!H15</f>
        <v>5220337.25</v>
      </c>
      <c r="I13" s="152">
        <f>+'Funcionamiento '!I15</f>
        <v>5220337.25</v>
      </c>
      <c r="J13" s="152">
        <f>+'Funcionamiento '!J15</f>
        <v>1862693.75</v>
      </c>
      <c r="K13" s="152">
        <f>+'Funcionamiento '!K15</f>
        <v>3584701.75</v>
      </c>
      <c r="L13" s="175">
        <f>+'Funcionamiento '!L15</f>
        <v>73.702024599355838</v>
      </c>
    </row>
    <row r="14" spans="1:12" ht="18" customHeight="1">
      <c r="A14" s="150" t="s">
        <v>206</v>
      </c>
      <c r="B14" s="151" t="s">
        <v>207</v>
      </c>
      <c r="C14" s="152">
        <f>+'Funcionamiento '!C16</f>
        <v>17439165</v>
      </c>
      <c r="D14" s="152">
        <f>+'Funcionamiento '!D16</f>
        <v>16946165</v>
      </c>
      <c r="E14" s="152">
        <f>+'Funcionamiento '!E16</f>
        <v>12248769</v>
      </c>
      <c r="F14" s="152">
        <f>+'Funcionamiento '!F16</f>
        <v>1375362.24</v>
      </c>
      <c r="G14" s="152">
        <f>+'Funcionamiento '!G16</f>
        <v>11063581.620000001</v>
      </c>
      <c r="H14" s="152">
        <f>+'Funcionamiento '!H16</f>
        <v>11063582.02</v>
      </c>
      <c r="I14" s="152">
        <f>+'Funcionamiento '!I16</f>
        <v>11063582.02</v>
      </c>
      <c r="J14" s="152">
        <f>+'Funcionamiento '!J16</f>
        <v>1185187.379999999</v>
      </c>
      <c r="K14" s="152">
        <f>+'Funcionamiento '!K16</f>
        <v>5882583.379999999</v>
      </c>
      <c r="L14" s="175">
        <f>+'Funcionamiento '!L16</f>
        <v>90.324028643204883</v>
      </c>
    </row>
    <row r="15" spans="1:12" ht="18" customHeight="1">
      <c r="A15" s="150" t="s">
        <v>214</v>
      </c>
      <c r="B15" s="151" t="s">
        <v>215</v>
      </c>
      <c r="C15" s="152">
        <f>+'Funcionamiento '!C20</f>
        <v>228000</v>
      </c>
      <c r="D15" s="152">
        <f>+'Funcionamiento '!D20</f>
        <v>247000</v>
      </c>
      <c r="E15" s="152">
        <f>+'Funcionamiento '!E20</f>
        <v>190000</v>
      </c>
      <c r="F15" s="152">
        <f>+'Funcionamiento '!F20</f>
        <v>18600</v>
      </c>
      <c r="G15" s="152">
        <f>+'Funcionamiento '!G20</f>
        <v>168916.67</v>
      </c>
      <c r="H15" s="152">
        <f>+'Funcionamiento '!H20</f>
        <v>171866.67</v>
      </c>
      <c r="I15" s="152">
        <f>+'Funcionamiento '!I20</f>
        <v>168916.67</v>
      </c>
      <c r="J15" s="152">
        <f>+'Funcionamiento '!J20</f>
        <v>21083.329999999987</v>
      </c>
      <c r="K15" s="152">
        <f>+'Funcionamiento '!K20</f>
        <v>78083.329999999987</v>
      </c>
      <c r="L15" s="175">
        <f>+'Funcionamiento '!L20</f>
        <v>88.903510526315785</v>
      </c>
    </row>
    <row r="16" spans="1:12" ht="16.5" customHeight="1">
      <c r="A16" s="150" t="s">
        <v>216</v>
      </c>
      <c r="B16" s="151" t="s">
        <v>217</v>
      </c>
      <c r="C16" s="152">
        <f>+'Funcionamiento '!C21</f>
        <v>8407425</v>
      </c>
      <c r="D16" s="152">
        <f>+'Funcionamiento '!D21</f>
        <v>7820865</v>
      </c>
      <c r="E16" s="152">
        <f>+'Funcionamiento '!E21</f>
        <v>5018406</v>
      </c>
      <c r="F16" s="152">
        <f>+'Funcionamiento '!F21</f>
        <v>47110.38</v>
      </c>
      <c r="G16" s="152">
        <f>+'Funcionamiento '!G21</f>
        <v>4238452.8899999997</v>
      </c>
      <c r="H16" s="152">
        <f>+'Funcionamiento '!H21</f>
        <v>4238504.97</v>
      </c>
      <c r="I16" s="152">
        <f>+'Funcionamiento '!I21</f>
        <v>4238452.8899999997</v>
      </c>
      <c r="J16" s="152">
        <f>+'Funcionamiento '!J21</f>
        <v>779953.11000000034</v>
      </c>
      <c r="K16" s="152">
        <f>+'Funcionamiento '!K21</f>
        <v>3582412.1100000003</v>
      </c>
      <c r="L16" s="175">
        <f>+'Funcionamiento '!L21</f>
        <v>84.458150456539371</v>
      </c>
    </row>
    <row r="17" spans="1:13" ht="15" customHeight="1">
      <c r="A17" s="150" t="s">
        <v>218</v>
      </c>
      <c r="B17" s="151" t="s">
        <v>219</v>
      </c>
      <c r="C17" s="152">
        <f>+'Funcionamiento '!C22</f>
        <v>15829734</v>
      </c>
      <c r="D17" s="152">
        <f>+'Funcionamiento '!D22</f>
        <v>15779734</v>
      </c>
      <c r="E17" s="152">
        <f>+'Funcionamiento '!E22</f>
        <v>11990525</v>
      </c>
      <c r="F17" s="152">
        <f>+'Funcionamiento '!F22</f>
        <v>1158326.94</v>
      </c>
      <c r="G17" s="152">
        <f>+'Funcionamiento '!G22</f>
        <v>10380812.68</v>
      </c>
      <c r="H17" s="152">
        <v>0</v>
      </c>
      <c r="I17" s="152">
        <f>+'Funcionamiento '!I22</f>
        <v>7115870.6099999994</v>
      </c>
      <c r="J17" s="152">
        <f>+'Funcionamiento '!J22</f>
        <v>1609712.3200000003</v>
      </c>
      <c r="K17" s="152">
        <f>+'Funcionamiento '!K22</f>
        <v>5398921.3200000003</v>
      </c>
      <c r="L17" s="175">
        <f>+'Funcionamiento '!L22</f>
        <v>86.575130613546946</v>
      </c>
    </row>
    <row r="18" spans="1:13" ht="18" hidden="1" customHeight="1">
      <c r="A18" s="150" t="s">
        <v>228</v>
      </c>
      <c r="B18" s="151" t="s">
        <v>229</v>
      </c>
      <c r="C18" s="152">
        <f>+'Funcionamiento '!C27</f>
        <v>0</v>
      </c>
      <c r="D18" s="152">
        <v>0</v>
      </c>
      <c r="E18" s="152">
        <f>+'Funcionamiento '!E27</f>
        <v>0</v>
      </c>
      <c r="F18" s="152">
        <f>+'Funcionamiento '!F27</f>
        <v>0</v>
      </c>
      <c r="G18" s="152">
        <f>+'Funcionamiento '!G27</f>
        <v>0</v>
      </c>
      <c r="H18" s="152">
        <f>+'Funcionamiento '!H23</f>
        <v>0</v>
      </c>
      <c r="I18" s="152">
        <f>+'Funcionamiento '!I27</f>
        <v>0</v>
      </c>
      <c r="J18" s="152">
        <f>+'Funcionamiento '!J27</f>
        <v>0</v>
      </c>
      <c r="K18" s="152" t="e">
        <f>+'Funcionamiento '!K27</f>
        <v>#REF!</v>
      </c>
      <c r="L18" s="175">
        <f>+'Funcionamiento '!L27</f>
        <v>0</v>
      </c>
    </row>
    <row r="19" spans="1:13" ht="18.75" customHeight="1">
      <c r="A19" s="150" t="s">
        <v>232</v>
      </c>
      <c r="B19" s="151" t="s">
        <v>233</v>
      </c>
      <c r="C19" s="152">
        <f>+'Funcionamiento '!C29</f>
        <v>0</v>
      </c>
      <c r="D19" s="152">
        <f>+'Funcionamiento '!D29</f>
        <v>413000</v>
      </c>
      <c r="E19" s="152">
        <f>+'Funcionamiento '!E29</f>
        <v>413000</v>
      </c>
      <c r="F19" s="152">
        <f>+'Funcionamiento '!F29</f>
        <v>46190.79</v>
      </c>
      <c r="G19" s="152">
        <f>+'Funcionamiento '!G29</f>
        <v>249908.38</v>
      </c>
      <c r="H19" s="152">
        <f>+'Funcionamiento '!H29</f>
        <v>215843.73</v>
      </c>
      <c r="I19" s="152">
        <f>+'Funcionamiento '!I29</f>
        <v>234683.08000000002</v>
      </c>
      <c r="J19" s="152">
        <f>+'Funcionamiento '!J29</f>
        <v>163091.62</v>
      </c>
      <c r="K19" s="152">
        <f>+'Funcionamiento '!K29</f>
        <v>163091.62</v>
      </c>
      <c r="L19" s="175">
        <f>+'Funcionamiento '!L24</f>
        <v>84.356277820106669</v>
      </c>
    </row>
    <row r="20" spans="1:13" ht="4.5" customHeight="1">
      <c r="A20" s="150"/>
      <c r="B20" s="151"/>
      <c r="C20" s="152"/>
      <c r="D20" s="152"/>
      <c r="E20" s="152"/>
      <c r="F20" s="152"/>
      <c r="G20" s="152"/>
      <c r="H20" s="153"/>
      <c r="I20" s="152"/>
      <c r="J20" s="152"/>
      <c r="K20" s="152"/>
      <c r="L20" s="175"/>
    </row>
    <row r="21" spans="1:13" ht="19.899999999999999" customHeight="1">
      <c r="A21" s="154" t="s">
        <v>246</v>
      </c>
      <c r="B21" s="155" t="s">
        <v>247</v>
      </c>
      <c r="C21" s="156">
        <f>SUM(C22:C31)</f>
        <v>7293008</v>
      </c>
      <c r="D21" s="156">
        <f>D22+D23+D24++D25+D26+D28+D29+D30+D31+D27</f>
        <v>7180373</v>
      </c>
      <c r="E21" s="156">
        <f>SUM(E22:E31)</f>
        <v>6730217</v>
      </c>
      <c r="F21" s="156">
        <f>F22+F23+F24++F25+F26+F28+F29+F30+F31+F27</f>
        <v>377920.61999999994</v>
      </c>
      <c r="G21" s="156">
        <f>SUM(G22:G31)</f>
        <v>4875741.3599999994</v>
      </c>
      <c r="H21" s="156">
        <f>SUM(H22:H31)</f>
        <v>4052580.39</v>
      </c>
      <c r="I21" s="156">
        <f>I22+I23+I24++I25+I26+I28+I29+I30+I31+I27</f>
        <v>3545271.7399999998</v>
      </c>
      <c r="J21" s="156">
        <f t="shared" ref="J21:J31" si="2">+E21-G21</f>
        <v>1854475.6400000006</v>
      </c>
      <c r="K21" s="156">
        <f t="shared" ref="K21:K31" si="3">+D21-G21</f>
        <v>2304631.6400000006</v>
      </c>
      <c r="L21" s="176">
        <f t="shared" ref="L21:L31" si="4">+G21*100/E21</f>
        <v>72.445529765236387</v>
      </c>
      <c r="M21" s="1"/>
    </row>
    <row r="22" spans="1:13" ht="15" customHeight="1">
      <c r="A22" s="150">
        <v>100</v>
      </c>
      <c r="B22" s="151" t="s">
        <v>248</v>
      </c>
      <c r="C22" s="152">
        <f>+'Funcionamiento '!C38</f>
        <v>151437</v>
      </c>
      <c r="D22" s="152">
        <f>+'Funcionamiento '!D38</f>
        <v>107787</v>
      </c>
      <c r="E22" s="152">
        <f>+'Funcionamiento '!E38</f>
        <v>107787</v>
      </c>
      <c r="F22" s="152">
        <f>+'Funcionamiento '!F38</f>
        <v>7084.13</v>
      </c>
      <c r="G22" s="152">
        <f>+'Funcionamiento '!G38</f>
        <v>66676.11</v>
      </c>
      <c r="H22" s="152">
        <f>+'Funcionamiento '!H38</f>
        <v>49135.11</v>
      </c>
      <c r="I22" s="152">
        <f>+'Funcionamiento '!I38</f>
        <v>46160.380000000005</v>
      </c>
      <c r="J22" s="152">
        <f t="shared" si="2"/>
        <v>41110.89</v>
      </c>
      <c r="K22" s="152">
        <f t="shared" si="3"/>
        <v>41110.89</v>
      </c>
      <c r="L22" s="177">
        <f t="shared" si="4"/>
        <v>61.859138857190572</v>
      </c>
    </row>
    <row r="23" spans="1:13" ht="15" customHeight="1">
      <c r="A23" s="157" t="s">
        <v>261</v>
      </c>
      <c r="B23" s="152" t="s">
        <v>262</v>
      </c>
      <c r="C23" s="152">
        <f>+'Funcionamiento '!C45</f>
        <v>2652943</v>
      </c>
      <c r="D23" s="152">
        <f>+'Funcionamiento '!D45</f>
        <v>3837443</v>
      </c>
      <c r="E23" s="152">
        <f>+'Funcionamiento '!E45</f>
        <v>3398931</v>
      </c>
      <c r="F23" s="152">
        <f>+'Funcionamiento '!F45</f>
        <v>307657.01999999996</v>
      </c>
      <c r="G23" s="152">
        <f>+'Funcionamiento '!G45</f>
        <v>3042529.6300000004</v>
      </c>
      <c r="H23" s="152">
        <f>+'Funcionamiento '!H45</f>
        <v>2852787.1699999995</v>
      </c>
      <c r="I23" s="152">
        <f>+'Funcionamiento '!I45</f>
        <v>2499162.11</v>
      </c>
      <c r="J23" s="178">
        <f t="shared" si="2"/>
        <v>356401.36999999965</v>
      </c>
      <c r="K23" s="152">
        <f t="shared" si="3"/>
        <v>794913.36999999965</v>
      </c>
      <c r="L23" s="177">
        <f t="shared" si="4"/>
        <v>89.514309940390092</v>
      </c>
    </row>
    <row r="24" spans="1:13" ht="15" customHeight="1">
      <c r="A24" s="157" t="s">
        <v>472</v>
      </c>
      <c r="B24" s="152" t="s">
        <v>276</v>
      </c>
      <c r="C24" s="152">
        <f>+'Funcionamiento '!C54</f>
        <v>87500</v>
      </c>
      <c r="D24" s="152">
        <f>+'Funcionamiento '!D54</f>
        <v>16800</v>
      </c>
      <c r="E24" s="152">
        <f>+'Funcionamiento '!E54</f>
        <v>16800</v>
      </c>
      <c r="F24" s="152">
        <f>+'Funcionamiento '!F54</f>
        <v>90</v>
      </c>
      <c r="G24" s="152">
        <f>+'Funcionamiento '!G54</f>
        <v>9850.3799999999992</v>
      </c>
      <c r="H24" s="152">
        <f>+'Funcionamiento '!H54</f>
        <v>9697.73</v>
      </c>
      <c r="I24" s="152">
        <f>+'Funcionamiento '!I54</f>
        <v>9194.1299999999992</v>
      </c>
      <c r="J24" s="152">
        <f t="shared" si="2"/>
        <v>6949.6200000000008</v>
      </c>
      <c r="K24" s="152">
        <f t="shared" si="3"/>
        <v>6949.6200000000008</v>
      </c>
      <c r="L24" s="177">
        <f t="shared" si="4"/>
        <v>58.633214285714281</v>
      </c>
    </row>
    <row r="25" spans="1:13" ht="15" customHeight="1">
      <c r="A25" s="157" t="s">
        <v>277</v>
      </c>
      <c r="B25" s="152" t="s">
        <v>278</v>
      </c>
      <c r="C25" s="152">
        <f>+'Funcionamiento '!C55</f>
        <v>163284</v>
      </c>
      <c r="D25" s="152">
        <f>+'Funcionamiento '!D55</f>
        <v>36189</v>
      </c>
      <c r="E25" s="152">
        <f>+'Funcionamiento '!E55</f>
        <v>36189</v>
      </c>
      <c r="F25" s="152">
        <f>+'Funcionamiento '!F55</f>
        <v>0</v>
      </c>
      <c r="G25" s="152">
        <f>+'Funcionamiento '!G55</f>
        <v>12607.779999999999</v>
      </c>
      <c r="H25" s="152">
        <f>+'Funcionamiento '!H55</f>
        <v>11726.08</v>
      </c>
      <c r="I25" s="152">
        <f>+'Funcionamiento '!I55</f>
        <v>10075.280000000001</v>
      </c>
      <c r="J25" s="152">
        <f t="shared" si="2"/>
        <v>23581.22</v>
      </c>
      <c r="K25" s="152">
        <f t="shared" si="3"/>
        <v>23581.22</v>
      </c>
      <c r="L25" s="177">
        <f t="shared" si="4"/>
        <v>34.838707894664125</v>
      </c>
    </row>
    <row r="26" spans="1:13" ht="15" customHeight="1">
      <c r="A26" s="157" t="s">
        <v>283</v>
      </c>
      <c r="B26" s="152" t="s">
        <v>284</v>
      </c>
      <c r="C26" s="152">
        <f>+'Funcionamiento '!C58</f>
        <v>981486</v>
      </c>
      <c r="D26" s="152">
        <f>+'Funcionamiento '!D58</f>
        <v>366905</v>
      </c>
      <c r="E26" s="152">
        <f>+'Funcionamiento '!E58</f>
        <v>366905</v>
      </c>
      <c r="F26" s="152">
        <f>+'Funcionamiento '!F58</f>
        <v>11926</v>
      </c>
      <c r="G26" s="152">
        <f>+'Funcionamiento '!G58</f>
        <v>200559.5</v>
      </c>
      <c r="H26" s="152">
        <f>+'Funcionamiento '!H58</f>
        <v>200559.5</v>
      </c>
      <c r="I26" s="152">
        <f>+'Funcionamiento '!I58</f>
        <v>200385.5</v>
      </c>
      <c r="J26" s="152">
        <f t="shared" si="2"/>
        <v>166345.5</v>
      </c>
      <c r="K26" s="152">
        <f t="shared" si="3"/>
        <v>166345.5</v>
      </c>
      <c r="L26" s="177">
        <f t="shared" si="4"/>
        <v>54.662514819912509</v>
      </c>
    </row>
    <row r="27" spans="1:13" ht="15" customHeight="1">
      <c r="A27" s="157" t="s">
        <v>290</v>
      </c>
      <c r="B27" s="152" t="s">
        <v>291</v>
      </c>
      <c r="C27" s="152">
        <f>+'Funcionamiento '!C62</f>
        <v>448811</v>
      </c>
      <c r="D27" s="152">
        <f>+'Funcionamiento '!D62</f>
        <v>189048</v>
      </c>
      <c r="E27" s="152">
        <f>+'Funcionamiento '!E62</f>
        <v>189048</v>
      </c>
      <c r="F27" s="152">
        <f>+'Funcionamiento '!F62</f>
        <v>10631.98</v>
      </c>
      <c r="G27" s="152">
        <f>+'Funcionamiento '!G62</f>
        <v>64566.709999999992</v>
      </c>
      <c r="H27" s="152">
        <f>+'Funcionamiento '!H62</f>
        <v>37670.080000000002</v>
      </c>
      <c r="I27" s="152">
        <f>+'Funcionamiento '!I62</f>
        <v>35910.720000000001</v>
      </c>
      <c r="J27" s="152">
        <f t="shared" si="2"/>
        <v>124481.29000000001</v>
      </c>
      <c r="K27" s="152">
        <f t="shared" si="3"/>
        <v>124481.29000000001</v>
      </c>
      <c r="L27" s="177">
        <f t="shared" si="4"/>
        <v>34.153606491473063</v>
      </c>
    </row>
    <row r="28" spans="1:13" ht="15" customHeight="1">
      <c r="A28" s="150">
        <v>160</v>
      </c>
      <c r="B28" s="152" t="s">
        <v>298</v>
      </c>
      <c r="C28" s="152">
        <f>+'Funcionamiento '!C67</f>
        <v>1492093</v>
      </c>
      <c r="D28" s="152">
        <f>+'Funcionamiento '!D67</f>
        <v>1667951</v>
      </c>
      <c r="E28" s="152">
        <f>+'Funcionamiento '!E67</f>
        <v>1667951</v>
      </c>
      <c r="F28" s="152">
        <f>+'Funcionamiento '!F67</f>
        <v>1585.45</v>
      </c>
      <c r="G28" s="152">
        <f>+'Funcionamiento '!G67</f>
        <v>891906.28</v>
      </c>
      <c r="H28" s="152">
        <f>+'Funcionamiento '!H67</f>
        <v>523506.51</v>
      </c>
      <c r="I28" s="152">
        <f>+'Funcionamiento '!I67</f>
        <v>468466.65</v>
      </c>
      <c r="J28" s="152">
        <f t="shared" si="2"/>
        <v>776044.72</v>
      </c>
      <c r="K28" s="152">
        <f t="shared" si="3"/>
        <v>776044.72</v>
      </c>
      <c r="L28" s="177">
        <f t="shared" si="4"/>
        <v>53.473170374909095</v>
      </c>
    </row>
    <row r="29" spans="1:13" ht="15" customHeight="1">
      <c r="A29" s="158">
        <v>170</v>
      </c>
      <c r="B29" s="159" t="s">
        <v>307</v>
      </c>
      <c r="C29" s="152">
        <f>+'Funcionamiento '!C73</f>
        <v>305833</v>
      </c>
      <c r="D29" s="152">
        <f>+'Funcionamiento '!D73</f>
        <v>114855</v>
      </c>
      <c r="E29" s="152">
        <f>+'Funcionamiento '!E73</f>
        <v>103211</v>
      </c>
      <c r="F29" s="152">
        <f>+'Funcionamiento '!F73</f>
        <v>5355.88</v>
      </c>
      <c r="G29" s="152">
        <f>+'Funcionamiento '!G73</f>
        <v>47637.86</v>
      </c>
      <c r="H29" s="152">
        <f>+'Funcionamiento '!H73</f>
        <v>45272.56</v>
      </c>
      <c r="I29" s="152">
        <f>+'Funcionamiento '!I73</f>
        <v>11324.72</v>
      </c>
      <c r="J29" s="152">
        <f t="shared" si="2"/>
        <v>55573.14</v>
      </c>
      <c r="K29" s="152">
        <f t="shared" si="3"/>
        <v>67217.14</v>
      </c>
      <c r="L29" s="177">
        <f t="shared" si="4"/>
        <v>46.155797347181988</v>
      </c>
    </row>
    <row r="30" spans="1:13" ht="15.75" customHeight="1">
      <c r="A30" s="157" t="s">
        <v>311</v>
      </c>
      <c r="B30" s="151" t="s">
        <v>312</v>
      </c>
      <c r="C30" s="152">
        <f>+'Funcionamiento '!C76</f>
        <v>1009621</v>
      </c>
      <c r="D30" s="152">
        <f>+'Funcionamiento '!D76</f>
        <v>693915</v>
      </c>
      <c r="E30" s="152">
        <f>+'Funcionamiento '!E76</f>
        <v>693915</v>
      </c>
      <c r="F30" s="152">
        <f>+'Funcionamiento '!F76</f>
        <v>3851.75</v>
      </c>
      <c r="G30" s="152">
        <f>+'Funcionamiento '!G76</f>
        <v>403093.93</v>
      </c>
      <c r="H30" s="152">
        <f>+'Funcionamiento '!H76</f>
        <v>245766.2</v>
      </c>
      <c r="I30" s="152">
        <f>+'Funcionamiento '!I76</f>
        <v>170774.93</v>
      </c>
      <c r="J30" s="152">
        <f t="shared" si="2"/>
        <v>290821.07</v>
      </c>
      <c r="K30" s="152">
        <f t="shared" si="3"/>
        <v>290821.07</v>
      </c>
      <c r="L30" s="177">
        <f t="shared" si="4"/>
        <v>58.089813593883974</v>
      </c>
    </row>
    <row r="31" spans="1:13" ht="15" customHeight="1">
      <c r="A31" s="160">
        <v>190</v>
      </c>
      <c r="B31" s="151" t="s">
        <v>473</v>
      </c>
      <c r="C31" s="152">
        <f>+'Funcionamiento '!C83</f>
        <v>0</v>
      </c>
      <c r="D31" s="152">
        <f>+'Funcionamiento '!D83</f>
        <v>149480</v>
      </c>
      <c r="E31" s="152">
        <f>+'Funcionamiento '!E83</f>
        <v>149480</v>
      </c>
      <c r="F31" s="152">
        <f>+'Funcionamiento '!F83</f>
        <v>29738.41</v>
      </c>
      <c r="G31" s="152">
        <f>+'Funcionamiento '!G83</f>
        <v>136313.18</v>
      </c>
      <c r="H31" s="152">
        <f>+'Funcionamiento '!H83</f>
        <v>76459.450000000012</v>
      </c>
      <c r="I31" s="152">
        <f>+'Funcionamiento '!I83</f>
        <v>93817.319999999992</v>
      </c>
      <c r="J31" s="152">
        <f t="shared" si="2"/>
        <v>13166.820000000007</v>
      </c>
      <c r="K31" s="152">
        <f t="shared" si="3"/>
        <v>13166.820000000007</v>
      </c>
      <c r="L31" s="177">
        <f t="shared" si="4"/>
        <v>91.191584158415836</v>
      </c>
    </row>
    <row r="32" spans="1:13" ht="6.75" customHeight="1">
      <c r="A32" s="150" t="s">
        <v>12</v>
      </c>
      <c r="B32" s="151"/>
      <c r="C32" s="152"/>
      <c r="D32" s="152"/>
      <c r="E32" s="152"/>
      <c r="F32" s="152"/>
      <c r="G32" s="152"/>
      <c r="H32" s="153"/>
      <c r="I32" s="152"/>
      <c r="J32" s="152"/>
      <c r="K32" s="152"/>
      <c r="L32" s="177"/>
    </row>
    <row r="33" spans="1:12" ht="19.899999999999999" customHeight="1">
      <c r="A33" s="143" t="s">
        <v>329</v>
      </c>
      <c r="B33" s="144" t="s">
        <v>330</v>
      </c>
      <c r="C33" s="145">
        <f>+C34+C35+C36+C37+C38+C39+C40+C41+C42+C43</f>
        <v>3042561</v>
      </c>
      <c r="D33" s="145">
        <f>SUM(D34:D43)</f>
        <v>3968755</v>
      </c>
      <c r="E33" s="156">
        <f>SUM(E34:E43)</f>
        <v>3968755</v>
      </c>
      <c r="F33" s="145">
        <f>+F34+F35+F36+F37+F38+F39+F40+F41+F42+F43</f>
        <v>97498.199999999983</v>
      </c>
      <c r="G33" s="145">
        <f>SUM(G34:G43)</f>
        <v>2867424.3400000003</v>
      </c>
      <c r="H33" s="156">
        <f>SUM(H34:H43)</f>
        <v>2124717.6300000004</v>
      </c>
      <c r="I33" s="145">
        <f>+I34+I35+I36+I37+I38+I39+I40+I41+I42+I43</f>
        <v>1795090.1600000001</v>
      </c>
      <c r="J33" s="145">
        <f>+E33-G33</f>
        <v>1101330.6599999997</v>
      </c>
      <c r="K33" s="145">
        <f t="shared" ref="K33:K43" si="5">+D33-G33</f>
        <v>1101330.6599999997</v>
      </c>
      <c r="L33" s="179">
        <f t="shared" ref="L33:L43" si="6">+G33*100/E33</f>
        <v>72.249971086650618</v>
      </c>
    </row>
    <row r="34" spans="1:12" ht="15" customHeight="1">
      <c r="A34" s="150" t="s">
        <v>331</v>
      </c>
      <c r="B34" s="151" t="s">
        <v>332</v>
      </c>
      <c r="C34" s="152">
        <f>+'Funcionamiento '!C95</f>
        <v>185018</v>
      </c>
      <c r="D34" s="152">
        <f>+'Funcionamiento '!D95</f>
        <v>121226</v>
      </c>
      <c r="E34" s="152">
        <f>+'Funcionamiento '!E95</f>
        <v>121226</v>
      </c>
      <c r="F34" s="152">
        <f>+'Funcionamiento '!F95</f>
        <v>314.39999999999998</v>
      </c>
      <c r="G34" s="152">
        <f>+'Funcionamiento '!G95</f>
        <v>52157.88</v>
      </c>
      <c r="H34" s="152">
        <f>+'Funcionamiento '!H95</f>
        <v>42367.619999999995</v>
      </c>
      <c r="I34" s="152">
        <f>+'Funcionamiento '!I95</f>
        <v>39381.619999999995</v>
      </c>
      <c r="J34" s="152">
        <f>+'Funcionamiento '!J95</f>
        <v>69068.12</v>
      </c>
      <c r="K34" s="152">
        <f t="shared" si="5"/>
        <v>69068.12</v>
      </c>
      <c r="L34" s="177">
        <f t="shared" si="6"/>
        <v>43.025324600333263</v>
      </c>
    </row>
    <row r="35" spans="1:12" ht="15" customHeight="1">
      <c r="A35" s="157" t="s">
        <v>337</v>
      </c>
      <c r="B35" s="152" t="s">
        <v>338</v>
      </c>
      <c r="C35" s="152">
        <f>+'Funcionamiento '!C98</f>
        <v>196410</v>
      </c>
      <c r="D35" s="152">
        <f>+'Funcionamiento '!D98</f>
        <v>277060</v>
      </c>
      <c r="E35" s="152">
        <f>+'Funcionamiento '!E98</f>
        <v>277060</v>
      </c>
      <c r="F35" s="152">
        <f>+'Funcionamiento '!F98</f>
        <v>0</v>
      </c>
      <c r="G35" s="152">
        <f>+'Funcionamiento '!G98</f>
        <v>213698.73</v>
      </c>
      <c r="H35" s="152">
        <f>+'Funcionamiento '!H98</f>
        <v>162788.69</v>
      </c>
      <c r="I35" s="152">
        <f>+'Funcionamiento '!I98</f>
        <v>149411.72999999998</v>
      </c>
      <c r="J35" s="152">
        <f>+'Funcionamiento '!J98</f>
        <v>63361.26999999999</v>
      </c>
      <c r="K35" s="152">
        <f t="shared" si="5"/>
        <v>63361.26999999999</v>
      </c>
      <c r="L35" s="177">
        <f t="shared" si="6"/>
        <v>77.130848913592729</v>
      </c>
    </row>
    <row r="36" spans="1:12" ht="15" customHeight="1">
      <c r="A36" s="157" t="s">
        <v>349</v>
      </c>
      <c r="B36" s="152" t="s">
        <v>350</v>
      </c>
      <c r="C36" s="152">
        <f>+'Funcionamiento '!C104</f>
        <v>361282</v>
      </c>
      <c r="D36" s="152">
        <f>+'Funcionamiento '!D104</f>
        <v>471432</v>
      </c>
      <c r="E36" s="152">
        <f>+'Funcionamiento '!E104</f>
        <v>471432</v>
      </c>
      <c r="F36" s="152">
        <f>+'Funcionamiento '!F104</f>
        <v>12115.830000000002</v>
      </c>
      <c r="G36" s="152">
        <f>+'Funcionamiento '!G104</f>
        <v>289931.83</v>
      </c>
      <c r="H36" s="152">
        <f>+'Funcionamiento '!H104</f>
        <v>195576.64</v>
      </c>
      <c r="I36" s="152">
        <f>+'Funcionamiento '!I104</f>
        <v>163116.03</v>
      </c>
      <c r="J36" s="152">
        <f>+'Funcionamiento '!J104</f>
        <v>181500.16999999998</v>
      </c>
      <c r="K36" s="152">
        <f t="shared" si="5"/>
        <v>181500.16999999998</v>
      </c>
      <c r="L36" s="177">
        <f t="shared" si="6"/>
        <v>61.50024393761985</v>
      </c>
    </row>
    <row r="37" spans="1:12" ht="15" customHeight="1">
      <c r="A37" s="157" t="s">
        <v>359</v>
      </c>
      <c r="B37" s="152" t="s">
        <v>360</v>
      </c>
      <c r="C37" s="152">
        <f>+'Funcionamiento '!C110</f>
        <v>249812</v>
      </c>
      <c r="D37" s="152">
        <f>+'Funcionamiento '!D110</f>
        <v>133730</v>
      </c>
      <c r="E37" s="152">
        <f>+'Funcionamiento '!E110</f>
        <v>133730</v>
      </c>
      <c r="F37" s="152">
        <f>+'Funcionamiento '!F110</f>
        <v>544.64</v>
      </c>
      <c r="G37" s="152">
        <f>+'Funcionamiento '!G110</f>
        <v>72901.09</v>
      </c>
      <c r="H37" s="152">
        <f>+'Funcionamiento '!H110</f>
        <v>72264.28</v>
      </c>
      <c r="I37" s="152">
        <f>+'Funcionamiento '!I110</f>
        <v>61738.15</v>
      </c>
      <c r="J37" s="152">
        <f>+'Funcionamiento '!J110</f>
        <v>60828.91</v>
      </c>
      <c r="K37" s="152">
        <f t="shared" si="5"/>
        <v>60828.91</v>
      </c>
      <c r="L37" s="177">
        <f t="shared" si="6"/>
        <v>54.513639422717418</v>
      </c>
    </row>
    <row r="38" spans="1:12" ht="15" customHeight="1">
      <c r="A38" s="157" t="s">
        <v>367</v>
      </c>
      <c r="B38" s="152" t="s">
        <v>368</v>
      </c>
      <c r="C38" s="152">
        <f>+'Funcionamiento '!C114</f>
        <v>258848</v>
      </c>
      <c r="D38" s="152">
        <f>+'Funcionamiento '!D114</f>
        <v>216854</v>
      </c>
      <c r="E38" s="152">
        <f>+'Funcionamiento '!E114</f>
        <v>216854</v>
      </c>
      <c r="F38" s="152">
        <f>+'Funcionamiento '!F114</f>
        <v>231.75</v>
      </c>
      <c r="G38" s="152">
        <f>+'Funcionamiento '!G114</f>
        <v>153405.39000000001</v>
      </c>
      <c r="H38" s="152">
        <f>+'Funcionamiento '!H114</f>
        <v>143723.99</v>
      </c>
      <c r="I38" s="152">
        <f>+'Funcionamiento '!I114</f>
        <v>118132.4</v>
      </c>
      <c r="J38" s="152">
        <f>+'Funcionamiento '!J114</f>
        <v>63448.609999999986</v>
      </c>
      <c r="K38" s="152">
        <f t="shared" si="5"/>
        <v>63448.609999999986</v>
      </c>
      <c r="L38" s="177">
        <f t="shared" si="6"/>
        <v>70.741323655547063</v>
      </c>
    </row>
    <row r="39" spans="1:12" ht="15" customHeight="1">
      <c r="A39" s="157" t="s">
        <v>379</v>
      </c>
      <c r="B39" s="152" t="s">
        <v>380</v>
      </c>
      <c r="C39" s="152">
        <f>+'Funcionamiento '!C120</f>
        <v>277892</v>
      </c>
      <c r="D39" s="152">
        <f>+'Funcionamiento '!D120</f>
        <v>714382</v>
      </c>
      <c r="E39" s="152">
        <f>+'Funcionamiento '!E120</f>
        <v>714382</v>
      </c>
      <c r="F39" s="152">
        <f>+'Funcionamiento '!F120</f>
        <v>9339.4</v>
      </c>
      <c r="G39" s="152">
        <f>+'Funcionamiento '!G120</f>
        <v>556912.35</v>
      </c>
      <c r="H39" s="152">
        <f>+'Funcionamiento '!H120</f>
        <v>457429.67000000004</v>
      </c>
      <c r="I39" s="152">
        <f>+'Funcionamiento '!I120</f>
        <v>333112.11000000004</v>
      </c>
      <c r="J39" s="152">
        <f>+'Funcionamiento '!J120</f>
        <v>157469.65000000002</v>
      </c>
      <c r="K39" s="152">
        <f t="shared" si="5"/>
        <v>157469.65000000002</v>
      </c>
      <c r="L39" s="177">
        <f t="shared" si="6"/>
        <v>77.957220366694571</v>
      </c>
    </row>
    <row r="40" spans="1:12" ht="15" customHeight="1">
      <c r="A40" s="157" t="s">
        <v>393</v>
      </c>
      <c r="B40" s="152" t="s">
        <v>394</v>
      </c>
      <c r="C40" s="152">
        <f>+'Funcionamiento '!C128</f>
        <v>475695</v>
      </c>
      <c r="D40" s="152">
        <f>+'Funcionamiento '!D128</f>
        <v>576692</v>
      </c>
      <c r="E40" s="152">
        <f>+'Funcionamiento '!E128</f>
        <v>576692</v>
      </c>
      <c r="F40" s="152">
        <f>+'Funcionamiento '!F128</f>
        <v>24649.73</v>
      </c>
      <c r="G40" s="152">
        <f>+'Funcionamiento '!G128</f>
        <v>459799.57</v>
      </c>
      <c r="H40" s="152">
        <f>+'Funcionamiento '!H128</f>
        <v>322980.99</v>
      </c>
      <c r="I40" s="152">
        <f>+'Funcionamiento '!I128</f>
        <v>267239.24</v>
      </c>
      <c r="J40" s="152">
        <f>+'Funcionamiento '!J128</f>
        <v>116892.43</v>
      </c>
      <c r="K40" s="152">
        <f t="shared" si="5"/>
        <v>116892.43</v>
      </c>
      <c r="L40" s="177">
        <f t="shared" si="6"/>
        <v>79.730526867027805</v>
      </c>
    </row>
    <row r="41" spans="1:12" ht="15" customHeight="1">
      <c r="A41" s="157" t="s">
        <v>404</v>
      </c>
      <c r="B41" s="152" t="s">
        <v>405</v>
      </c>
      <c r="C41" s="152">
        <f>+'Funcionamiento '!C134</f>
        <v>829295</v>
      </c>
      <c r="D41" s="152">
        <f>+'Funcionamiento '!D134</f>
        <v>711815</v>
      </c>
      <c r="E41" s="152">
        <f>+'Funcionamiento '!E134</f>
        <v>711815</v>
      </c>
      <c r="F41" s="152">
        <f>+'Funcionamiento '!F134</f>
        <v>43813.799999999996</v>
      </c>
      <c r="G41" s="152">
        <f>+'Funcionamiento '!G134</f>
        <v>503665.77999999997</v>
      </c>
      <c r="H41" s="152">
        <f>+'Funcionamiento '!H134</f>
        <v>454130.56</v>
      </c>
      <c r="I41" s="152">
        <f>+'Funcionamiento '!I134</f>
        <v>261247.81</v>
      </c>
      <c r="J41" s="152">
        <f>+'Funcionamiento '!J134</f>
        <v>208149.22000000003</v>
      </c>
      <c r="K41" s="152">
        <f t="shared" si="5"/>
        <v>208149.22000000003</v>
      </c>
      <c r="L41" s="177">
        <f t="shared" si="6"/>
        <v>70.757960987054219</v>
      </c>
    </row>
    <row r="42" spans="1:12" ht="15.75" customHeight="1">
      <c r="A42" s="157" t="s">
        <v>420</v>
      </c>
      <c r="B42" s="152" t="s">
        <v>421</v>
      </c>
      <c r="C42" s="152">
        <f>+'Funcionamiento '!C143</f>
        <v>208309</v>
      </c>
      <c r="D42" s="152">
        <f>+'Funcionamiento '!D143</f>
        <v>346709</v>
      </c>
      <c r="E42" s="152">
        <f>+'Funcionamiento '!E143</f>
        <v>346709</v>
      </c>
      <c r="F42" s="152">
        <f>+'Funcionamiento '!F143</f>
        <v>1461.78</v>
      </c>
      <c r="G42" s="152">
        <f>+'Funcionamiento '!G143</f>
        <v>262163.34999999998</v>
      </c>
      <c r="H42" s="152">
        <f>+'Funcionamiento '!H143</f>
        <v>215256.1</v>
      </c>
      <c r="I42" s="152">
        <f>+'Funcionamiento '!I143</f>
        <v>183257.04</v>
      </c>
      <c r="J42" s="152">
        <f>+'Funcionamiento '!J143</f>
        <v>84545.650000000023</v>
      </c>
      <c r="K42" s="152">
        <f t="shared" si="5"/>
        <v>84545.650000000023</v>
      </c>
      <c r="L42" s="177">
        <f t="shared" si="6"/>
        <v>75.614809537681452</v>
      </c>
    </row>
    <row r="43" spans="1:12" ht="16.5" customHeight="1">
      <c r="A43" s="150">
        <v>290</v>
      </c>
      <c r="B43" s="152" t="s">
        <v>422</v>
      </c>
      <c r="C43" s="152">
        <f>+'Funcionamiento '!C144</f>
        <v>0</v>
      </c>
      <c r="D43" s="152">
        <f>+'Funcionamiento '!D144</f>
        <v>398855</v>
      </c>
      <c r="E43" s="152">
        <f>+'Funcionamiento '!E144</f>
        <v>398855</v>
      </c>
      <c r="F43" s="152">
        <f>+'Funcionamiento '!F144</f>
        <v>5026.87</v>
      </c>
      <c r="G43" s="152">
        <f>+'Funcionamiento '!G144</f>
        <v>302788.37</v>
      </c>
      <c r="H43" s="152">
        <f>+'Funcionamiento '!H144</f>
        <v>58199.090000000004</v>
      </c>
      <c r="I43" s="152">
        <f>+'Funcionamiento '!I144</f>
        <v>218454.03</v>
      </c>
      <c r="J43" s="152">
        <f>+E43-G43</f>
        <v>96066.63</v>
      </c>
      <c r="K43" s="152">
        <f t="shared" si="5"/>
        <v>96066.63</v>
      </c>
      <c r="L43" s="177">
        <f t="shared" si="6"/>
        <v>75.914397462737085</v>
      </c>
    </row>
    <row r="44" spans="1:12" ht="6" customHeight="1">
      <c r="A44" s="150"/>
      <c r="B44" s="152"/>
      <c r="C44" s="152"/>
      <c r="D44" s="152"/>
      <c r="E44" s="152"/>
      <c r="F44" s="152"/>
      <c r="G44" s="152"/>
      <c r="I44" s="152"/>
      <c r="J44" s="152"/>
      <c r="K44" s="152"/>
      <c r="L44" s="177"/>
    </row>
    <row r="45" spans="1:12" ht="19.899999999999999" customHeight="1">
      <c r="A45" s="143">
        <v>4</v>
      </c>
      <c r="B45" s="145" t="s">
        <v>432</v>
      </c>
      <c r="C45" s="145">
        <f>SUM(C46)</f>
        <v>3207914</v>
      </c>
      <c r="D45" s="145">
        <f>SUM(D46:D47)</f>
        <v>2295040</v>
      </c>
      <c r="E45" s="145">
        <f>+E46+E47</f>
        <v>2295040</v>
      </c>
      <c r="F45" s="145">
        <f>+F46+F47</f>
        <v>32819.31</v>
      </c>
      <c r="G45" s="145">
        <f>+G46+G47</f>
        <v>1380108.5799999998</v>
      </c>
      <c r="H45" s="156">
        <f>+H46+H47</f>
        <v>1095225.2100000002</v>
      </c>
      <c r="I45" s="145">
        <f>SUM(I46:I47)</f>
        <v>793631.25</v>
      </c>
      <c r="J45" s="145">
        <f>+E45-G45</f>
        <v>914931.42000000016</v>
      </c>
      <c r="K45" s="145">
        <f>+D45-G45</f>
        <v>914931.42000000016</v>
      </c>
      <c r="L45" s="179">
        <f>+G45*100/E45</f>
        <v>60.134402014779688</v>
      </c>
    </row>
    <row r="46" spans="1:12" ht="14.25" customHeight="1">
      <c r="A46" s="150">
        <v>430</v>
      </c>
      <c r="B46" s="161" t="s">
        <v>433</v>
      </c>
      <c r="C46" s="152">
        <f>+'Funcionamiento '!C156</f>
        <v>3207914</v>
      </c>
      <c r="D46" s="152">
        <f>+'Funcionamiento '!D156</f>
        <v>2200790</v>
      </c>
      <c r="E46" s="152">
        <f>+'Funcionamiento '!E155</f>
        <v>2200790</v>
      </c>
      <c r="F46" s="152">
        <f>+'Funcionamiento '!F155</f>
        <v>14334.73</v>
      </c>
      <c r="G46" s="152">
        <f>+'Funcionamiento '!G156</f>
        <v>1309412.6599999999</v>
      </c>
      <c r="H46" s="152">
        <f>+'Funcionamiento '!H156</f>
        <v>1069418.3500000001</v>
      </c>
      <c r="I46" s="152">
        <f>+'Funcionamiento '!I155</f>
        <v>745241.24</v>
      </c>
      <c r="J46" s="152">
        <f>+E46-G46</f>
        <v>891377.34000000008</v>
      </c>
      <c r="K46" s="152">
        <f>+D46-G46</f>
        <v>891377.34000000008</v>
      </c>
      <c r="L46" s="177">
        <f>+G46*100/E46</f>
        <v>59.49739230003771</v>
      </c>
    </row>
    <row r="47" spans="1:12" ht="15.75" customHeight="1">
      <c r="A47" s="150">
        <v>490</v>
      </c>
      <c r="B47" s="152" t="s">
        <v>435</v>
      </c>
      <c r="C47" s="152">
        <v>0</v>
      </c>
      <c r="D47" s="152">
        <f>+'Funcionamiento '!D157</f>
        <v>94250</v>
      </c>
      <c r="E47" s="152">
        <f>+'Funcionamiento '!E157</f>
        <v>94250</v>
      </c>
      <c r="F47" s="152">
        <f>+'Funcionamiento '!F157</f>
        <v>18484.580000000002</v>
      </c>
      <c r="G47" s="152">
        <f>+'Funcionamiento '!G157</f>
        <v>70695.92</v>
      </c>
      <c r="H47" s="152">
        <f>+'Funcionamiento '!H157</f>
        <v>25806.86</v>
      </c>
      <c r="I47" s="152">
        <f>+'Funcionamiento '!I157</f>
        <v>48390.01</v>
      </c>
      <c r="J47" s="152">
        <f>+E47-G47</f>
        <v>23554.080000000002</v>
      </c>
      <c r="K47" s="152">
        <f>+D47-G47</f>
        <v>23554.080000000002</v>
      </c>
      <c r="L47" s="177">
        <f>+G47*100/E47</f>
        <v>75.008933687002653</v>
      </c>
    </row>
    <row r="48" spans="1:12" ht="5.25" customHeight="1">
      <c r="A48" s="162"/>
      <c r="B48" s="163"/>
      <c r="C48" s="164"/>
      <c r="D48" s="163"/>
      <c r="E48" s="163"/>
      <c r="F48" s="163"/>
      <c r="G48" s="163"/>
      <c r="H48" s="153"/>
      <c r="I48" s="163"/>
      <c r="J48" s="163"/>
      <c r="K48" s="163"/>
      <c r="L48" s="180"/>
    </row>
    <row r="49" spans="1:16" ht="19.899999999999999" customHeight="1">
      <c r="A49" s="143" t="s">
        <v>437</v>
      </c>
      <c r="B49" s="144" t="s">
        <v>438</v>
      </c>
      <c r="C49" s="145">
        <f t="shared" ref="C49:G49" si="7">SUM(C50:C55)</f>
        <v>2251594</v>
      </c>
      <c r="D49" s="145">
        <f t="shared" si="7"/>
        <v>4033441</v>
      </c>
      <c r="E49" s="145">
        <f t="shared" si="7"/>
        <v>4003900</v>
      </c>
      <c r="F49" s="145">
        <f t="shared" si="7"/>
        <v>198119.77</v>
      </c>
      <c r="G49" s="145">
        <f t="shared" si="7"/>
        <v>1889708.1400000001</v>
      </c>
      <c r="H49" s="165">
        <f>+H50+H52+H54+H51</f>
        <v>1786273.4200000002</v>
      </c>
      <c r="I49" s="145">
        <f>SUM(I50:I55)</f>
        <v>1770248.8400000003</v>
      </c>
      <c r="J49" s="145">
        <f t="shared" ref="J49:J56" si="8">+E49-G49</f>
        <v>2114191.86</v>
      </c>
      <c r="K49" s="145">
        <f t="shared" ref="K49:K56" si="9">+D49-G49</f>
        <v>2143732.86</v>
      </c>
      <c r="L49" s="179">
        <f t="shared" ref="L49:L56" si="10">+G49*100/E49</f>
        <v>47.196686730437825</v>
      </c>
    </row>
    <row r="50" spans="1:16" ht="15" customHeight="1">
      <c r="A50" s="150" t="s">
        <v>439</v>
      </c>
      <c r="B50" s="151" t="s">
        <v>474</v>
      </c>
      <c r="C50" s="152">
        <f>+'Funcionamiento '!C160</f>
        <v>118164</v>
      </c>
      <c r="D50" s="152">
        <f>+'Funcionamiento '!D160</f>
        <v>118164</v>
      </c>
      <c r="E50" s="152">
        <f>+'Funcionamiento '!E160</f>
        <v>88623</v>
      </c>
      <c r="F50" s="152">
        <f>+'Funcionamiento '!F160</f>
        <v>3373.87</v>
      </c>
      <c r="G50" s="152">
        <f>+'Funcionamiento '!G160</f>
        <v>30364.829999999998</v>
      </c>
      <c r="H50" s="152">
        <f>+'Funcionamiento '!H160</f>
        <v>30364.83</v>
      </c>
      <c r="I50" s="152">
        <f>+'Funcionamiento '!I160</f>
        <v>30364.83</v>
      </c>
      <c r="J50" s="152">
        <f t="shared" si="8"/>
        <v>58258.17</v>
      </c>
      <c r="K50" s="152">
        <f t="shared" si="9"/>
        <v>87799.17</v>
      </c>
      <c r="L50" s="177">
        <f t="shared" si="10"/>
        <v>34.262922717578959</v>
      </c>
    </row>
    <row r="51" spans="1:16" ht="15" customHeight="1">
      <c r="A51" s="157" t="s">
        <v>443</v>
      </c>
      <c r="B51" s="152" t="s">
        <v>289</v>
      </c>
      <c r="C51" s="152">
        <f>+'Funcionamiento '!C162</f>
        <v>956224</v>
      </c>
      <c r="D51" s="152">
        <f>+'Funcionamiento '!D162</f>
        <v>3468724</v>
      </c>
      <c r="E51" s="152">
        <f>+'Funcionamiento '!E162</f>
        <v>3468724</v>
      </c>
      <c r="F51" s="152">
        <f>+'Funcionamiento '!F162</f>
        <v>184476.27</v>
      </c>
      <c r="G51" s="152">
        <f>+'Funcionamiento '!G162</f>
        <v>1682593.6400000001</v>
      </c>
      <c r="H51" s="152">
        <f>+'Funcionamiento '!H162</f>
        <v>1682593.6400000001</v>
      </c>
      <c r="I51" s="152">
        <f>+'Funcionamiento '!I162</f>
        <v>1682593.6400000001</v>
      </c>
      <c r="J51" s="152">
        <f t="shared" si="8"/>
        <v>1786130.3599999999</v>
      </c>
      <c r="K51" s="152">
        <f t="shared" si="9"/>
        <v>1786130.3599999999</v>
      </c>
      <c r="L51" s="177">
        <f t="shared" si="10"/>
        <v>48.507567624290658</v>
      </c>
    </row>
    <row r="52" spans="1:16" ht="15" customHeight="1">
      <c r="A52" s="150">
        <v>620</v>
      </c>
      <c r="B52" s="152" t="s">
        <v>449</v>
      </c>
      <c r="C52" s="152">
        <f>+'Funcionamiento '!C168</f>
        <v>730940</v>
      </c>
      <c r="D52" s="152">
        <f>+'Funcionamiento '!D168</f>
        <v>152207</v>
      </c>
      <c r="E52" s="152">
        <f>+'Funcionamiento '!E168</f>
        <v>152207</v>
      </c>
      <c r="F52" s="152">
        <f>+'Funcionamiento '!F168</f>
        <v>7269.63</v>
      </c>
      <c r="G52" s="152">
        <f>+'Funcionamiento '!G168</f>
        <v>127430.46</v>
      </c>
      <c r="H52" s="152">
        <f>+'Funcionamiento '!H168</f>
        <v>72414.95</v>
      </c>
      <c r="I52" s="152">
        <f>+'Funcionamiento '!I168</f>
        <v>56390.37</v>
      </c>
      <c r="J52" s="152">
        <f t="shared" si="8"/>
        <v>24776.539999999994</v>
      </c>
      <c r="K52" s="152">
        <f t="shared" si="9"/>
        <v>24776.539999999994</v>
      </c>
      <c r="L52" s="177">
        <f t="shared" si="10"/>
        <v>83.721813057218128</v>
      </c>
    </row>
    <row r="53" spans="1:16" ht="15" customHeight="1">
      <c r="A53" s="150">
        <v>640</v>
      </c>
      <c r="B53" s="152" t="s">
        <v>475</v>
      </c>
      <c r="C53" s="152">
        <f>+'Funcionamiento '!C173</f>
        <v>159266</v>
      </c>
      <c r="D53" s="152">
        <f>+'Funcionamiento '!D173</f>
        <v>159266</v>
      </c>
      <c r="E53" s="152">
        <f>+'Funcionamiento '!E173</f>
        <v>159266</v>
      </c>
      <c r="F53" s="152">
        <f>+'Funcionamiento '!F173</f>
        <v>0</v>
      </c>
      <c r="G53" s="152">
        <f>+'Funcionamiento '!G173</f>
        <v>0</v>
      </c>
      <c r="H53" s="152"/>
      <c r="I53" s="152">
        <f>+'Funcionamiento '!I173</f>
        <v>0</v>
      </c>
      <c r="J53" s="152"/>
      <c r="K53" s="152"/>
      <c r="L53" s="177"/>
    </row>
    <row r="54" spans="1:16" ht="15" customHeight="1">
      <c r="A54" s="150" t="s">
        <v>456</v>
      </c>
      <c r="B54" s="151" t="s">
        <v>457</v>
      </c>
      <c r="C54" s="152">
        <f>+'Funcionamiento '!C174</f>
        <v>287000</v>
      </c>
      <c r="D54" s="152">
        <f>+'Funcionamiento '!D174</f>
        <v>93500</v>
      </c>
      <c r="E54" s="152">
        <f>+'Funcionamiento '!E174</f>
        <v>93500</v>
      </c>
      <c r="F54" s="152">
        <f>+'Funcionamiento '!F174</f>
        <v>3000</v>
      </c>
      <c r="G54" s="152">
        <f>+'Funcionamiento '!G174</f>
        <v>25424.21</v>
      </c>
      <c r="H54" s="152">
        <f>+'Funcionamiento '!H174</f>
        <v>900</v>
      </c>
      <c r="I54" s="152">
        <f>+'Funcionamiento '!I174</f>
        <v>900</v>
      </c>
      <c r="J54" s="152">
        <f t="shared" si="8"/>
        <v>68075.790000000008</v>
      </c>
      <c r="K54" s="152">
        <f t="shared" si="9"/>
        <v>68075.790000000008</v>
      </c>
      <c r="L54" s="177">
        <f t="shared" si="10"/>
        <v>27.191668449197859</v>
      </c>
    </row>
    <row r="55" spans="1:16" ht="14.25" customHeight="1">
      <c r="A55" s="150">
        <v>690</v>
      </c>
      <c r="B55" s="152" t="s">
        <v>476</v>
      </c>
      <c r="C55" s="152">
        <f>+'Funcionamiento '!C178</f>
        <v>0</v>
      </c>
      <c r="D55" s="152">
        <f>+'Funcionamiento '!D178</f>
        <v>41580</v>
      </c>
      <c r="E55" s="152">
        <f>+'Funcionamiento '!E178</f>
        <v>41580</v>
      </c>
      <c r="F55" s="152">
        <f>+'Funcionamiento '!F178</f>
        <v>0</v>
      </c>
      <c r="G55" s="152">
        <f>+'Funcionamiento '!G178</f>
        <v>23895</v>
      </c>
      <c r="H55" s="152">
        <f>+'Funcionamiento '!H178</f>
        <v>0</v>
      </c>
      <c r="I55" s="152">
        <f>+'Funcionamiento '!I178</f>
        <v>0</v>
      </c>
      <c r="J55" s="152">
        <f t="shared" si="8"/>
        <v>17685</v>
      </c>
      <c r="K55" s="152">
        <f t="shared" si="9"/>
        <v>17685</v>
      </c>
      <c r="L55" s="177" t="s">
        <v>12</v>
      </c>
    </row>
    <row r="56" spans="1:16" ht="24" customHeight="1">
      <c r="A56" s="166" t="s">
        <v>12</v>
      </c>
      <c r="B56" s="167" t="s">
        <v>467</v>
      </c>
      <c r="C56" s="168">
        <f t="shared" ref="C56:I56" si="11">+C49+C45+C33+C21+C9</f>
        <v>141094806</v>
      </c>
      <c r="D56" s="168">
        <f t="shared" si="11"/>
        <v>140457693</v>
      </c>
      <c r="E56" s="168">
        <f t="shared" si="11"/>
        <v>108025224</v>
      </c>
      <c r="F56" s="168">
        <f t="shared" si="11"/>
        <v>9313247.6500000004</v>
      </c>
      <c r="G56" s="168">
        <f t="shared" si="11"/>
        <v>90541959.559999987</v>
      </c>
      <c r="H56" s="168">
        <f t="shared" si="11"/>
        <v>78175898.940000013</v>
      </c>
      <c r="I56" s="168">
        <f t="shared" si="11"/>
        <v>84153052.159999996</v>
      </c>
      <c r="J56" s="168">
        <f t="shared" si="8"/>
        <v>17483264.440000013</v>
      </c>
      <c r="K56" s="168">
        <f t="shared" si="9"/>
        <v>49915733.440000013</v>
      </c>
      <c r="L56" s="181">
        <f t="shared" si="10"/>
        <v>83.815572148223438</v>
      </c>
    </row>
    <row r="57" spans="1:16" ht="4.5" customHeight="1">
      <c r="A57" s="169"/>
      <c r="B57" s="170"/>
      <c r="C57" s="171"/>
      <c r="D57" s="171"/>
      <c r="E57" s="171"/>
      <c r="F57" s="171"/>
      <c r="G57" s="171"/>
      <c r="H57" s="171"/>
      <c r="I57" s="171"/>
      <c r="J57" s="171"/>
      <c r="K57" s="171"/>
      <c r="L57" s="182"/>
    </row>
    <row r="58" spans="1:16" ht="18.75" customHeight="1">
      <c r="A58" s="678" t="s">
        <v>477</v>
      </c>
      <c r="B58" s="678"/>
      <c r="C58" s="678"/>
      <c r="D58" s="11"/>
      <c r="E58" s="11"/>
      <c r="F58" s="11"/>
      <c r="G58" s="11" t="s">
        <v>12</v>
      </c>
      <c r="H58" s="11" t="s">
        <v>12</v>
      </c>
      <c r="I58" s="11"/>
      <c r="J58" s="11"/>
      <c r="K58" s="11"/>
      <c r="L58" s="11"/>
      <c r="N58" s="183" t="s">
        <v>12</v>
      </c>
      <c r="P58" t="s">
        <v>12</v>
      </c>
    </row>
    <row r="59" spans="1:16" ht="19.899999999999999" customHeight="1">
      <c r="D59" s="4"/>
      <c r="E59" s="80"/>
      <c r="F59" s="4"/>
      <c r="G59" s="80"/>
      <c r="H59" s="80" t="s">
        <v>12</v>
      </c>
      <c r="I59" s="4"/>
      <c r="J59" s="4"/>
      <c r="K59" s="4"/>
      <c r="L59" s="184"/>
    </row>
    <row r="60" spans="1:16" ht="19.899999999999999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</row>
    <row r="61" spans="1:16" ht="19.899999999999999" customHeight="1">
      <c r="A61" s="4"/>
      <c r="B61" s="4"/>
      <c r="C61" s="4"/>
      <c r="D61" s="80"/>
      <c r="E61" s="4"/>
      <c r="F61" s="4"/>
      <c r="G61" s="4"/>
      <c r="H61" s="4"/>
      <c r="I61" s="4"/>
      <c r="J61" s="4"/>
      <c r="K61" s="4"/>
      <c r="L61" s="4"/>
    </row>
    <row r="62" spans="1:16" ht="19.899999999999999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</row>
    <row r="63" spans="1:16" ht="19.899999999999999" customHeight="1">
      <c r="A63" s="4"/>
      <c r="B63" s="4"/>
      <c r="C63" s="4"/>
      <c r="D63" s="80" t="s">
        <v>12</v>
      </c>
      <c r="E63" s="4"/>
      <c r="F63" s="4"/>
      <c r="G63" s="4"/>
      <c r="H63" s="4"/>
      <c r="I63" s="4"/>
      <c r="J63" s="4"/>
      <c r="K63" s="4"/>
      <c r="L63" s="4"/>
    </row>
    <row r="64" spans="1:16" ht="19.899999999999999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1:12" ht="19.899999999999999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  <row r="66" spans="1:12" ht="19.899999999999999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</row>
    <row r="67" spans="1:12" ht="19.899999999999999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</row>
    <row r="68" spans="1:12" ht="19.899999999999999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</row>
    <row r="69" spans="1:12" ht="19.899999999999999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</row>
    <row r="70" spans="1:12" ht="19.899999999999999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</row>
    <row r="71" spans="1:12" ht="19.899999999999999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</row>
    <row r="72" spans="1:12" ht="19.899999999999999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</row>
    <row r="73" spans="1:12" ht="19.899999999999999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</row>
    <row r="74" spans="1:12" ht="19.899999999999999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</row>
    <row r="75" spans="1:12" ht="19.899999999999999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</row>
    <row r="76" spans="1:12" ht="19.899999999999999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</row>
    <row r="77" spans="1:12" ht="19.899999999999999" customHeight="1"/>
    <row r="78" spans="1:12" ht="19.899999999999999" customHeight="1"/>
    <row r="79" spans="1:12" ht="19.899999999999999" customHeight="1"/>
    <row r="80" spans="1:12" ht="19.899999999999999" customHeight="1"/>
    <row r="81" ht="19.899999999999999" customHeight="1"/>
    <row r="82" ht="19.899999999999999" customHeight="1"/>
    <row r="83" ht="19.899999999999999" customHeight="1"/>
    <row r="84" ht="19.899999999999999" customHeight="1"/>
    <row r="85" ht="19.899999999999999" customHeight="1"/>
    <row r="86" ht="19.899999999999999" customHeight="1"/>
    <row r="87" ht="19.899999999999999" customHeight="1"/>
    <row r="88" ht="19.899999999999999" customHeight="1"/>
    <row r="89" ht="19.899999999999999" customHeight="1"/>
    <row r="90" ht="19.899999999999999" customHeight="1"/>
    <row r="91" ht="19.899999999999999" customHeight="1"/>
    <row r="92" ht="19.899999999999999" customHeight="1"/>
    <row r="93" ht="19.899999999999999" customHeight="1"/>
    <row r="94" ht="19.899999999999999" customHeight="1"/>
    <row r="95" ht="19.899999999999999" customHeight="1"/>
    <row r="96" ht="19.899999999999999" customHeight="1"/>
    <row r="97" ht="19.899999999999999" customHeight="1"/>
    <row r="98" ht="19.899999999999999" customHeight="1"/>
    <row r="99" ht="19.899999999999999" customHeight="1"/>
    <row r="100" ht="19.899999999999999" customHeight="1"/>
    <row r="101" ht="19.899999999999999" customHeight="1"/>
    <row r="102" ht="19.899999999999999" customHeight="1"/>
    <row r="103" ht="19.899999999999999" customHeight="1"/>
    <row r="104" ht="19.899999999999999" customHeight="1"/>
    <row r="105" ht="19.899999999999999" customHeight="1"/>
    <row r="106" ht="19.899999999999999" customHeight="1"/>
    <row r="107" ht="19.899999999999999" customHeight="1"/>
    <row r="108" ht="19.899999999999999" customHeight="1"/>
    <row r="109" ht="19.899999999999999" customHeight="1"/>
    <row r="110" ht="19.899999999999999" customHeight="1"/>
    <row r="111" ht="19.899999999999999" customHeight="1"/>
    <row r="112" ht="19.899999999999999" customHeight="1"/>
    <row r="113" ht="19.899999999999999" customHeight="1"/>
    <row r="114" ht="19.899999999999999" customHeight="1"/>
    <row r="115" ht="19.899999999999999" customHeight="1"/>
    <row r="116" ht="19.899999999999999" customHeight="1"/>
    <row r="117" ht="19.899999999999999" customHeight="1"/>
    <row r="118" ht="19.899999999999999" customHeight="1"/>
    <row r="119" ht="19.899999999999999" customHeight="1"/>
    <row r="120" ht="19.899999999999999" customHeight="1"/>
    <row r="121" ht="19.899999999999999" customHeight="1"/>
    <row r="122" ht="19.899999999999999" customHeight="1"/>
    <row r="123" ht="19.899999999999999" customHeight="1"/>
    <row r="124" ht="19.899999999999999" customHeight="1"/>
    <row r="125" ht="19.899999999999999" customHeight="1"/>
    <row r="126" ht="19.899999999999999" customHeight="1"/>
    <row r="127" ht="19.899999999999999" customHeight="1"/>
    <row r="128" ht="19.899999999999999" customHeight="1"/>
    <row r="129" ht="19.899999999999999" customHeight="1"/>
    <row r="130" ht="19.899999999999999" customHeight="1"/>
    <row r="131" ht="19.899999999999999" customHeight="1"/>
    <row r="132" ht="19.899999999999999" customHeight="1"/>
    <row r="133" ht="19.899999999999999" customHeight="1"/>
    <row r="134" ht="19.899999999999999" customHeight="1"/>
    <row r="135" ht="19.899999999999999" customHeight="1"/>
    <row r="136" ht="19.899999999999999" customHeight="1"/>
    <row r="137" ht="19.899999999999999" customHeight="1"/>
    <row r="138" ht="19.899999999999999" customHeight="1"/>
    <row r="139" ht="19.899999999999999" customHeight="1"/>
    <row r="140" ht="19.899999999999999" customHeight="1"/>
    <row r="141" ht="19.899999999999999" customHeight="1"/>
    <row r="142" ht="19.899999999999999" customHeight="1"/>
    <row r="143" ht="19.899999999999999" customHeight="1"/>
    <row r="144" ht="19.899999999999999" customHeight="1"/>
    <row r="145" ht="19.899999999999999" customHeight="1"/>
    <row r="146" ht="19.899999999999999" customHeight="1"/>
    <row r="147" ht="19.899999999999999" customHeight="1"/>
    <row r="148" ht="19.899999999999999" customHeight="1"/>
    <row r="149" ht="19.899999999999999" customHeight="1"/>
  </sheetData>
  <mergeCells count="11">
    <mergeCell ref="A1:L1"/>
    <mergeCell ref="A2:L2"/>
    <mergeCell ref="A3:L3"/>
    <mergeCell ref="A4:L4"/>
    <mergeCell ref="A5:L5"/>
    <mergeCell ref="A58:C58"/>
    <mergeCell ref="A6:A8"/>
    <mergeCell ref="B6:B8"/>
    <mergeCell ref="L6:L8"/>
    <mergeCell ref="J6:K8"/>
    <mergeCell ref="C6:I7"/>
  </mergeCells>
  <pageMargins left="0.39370078740157499" right="0.196850393700787" top="0.78740157480314998" bottom="0.78740157480314998" header="0.511811023622047" footer="0.511811023622047"/>
  <pageSetup scale="75" orientation="portrait"/>
  <ignoredErrors>
    <ignoredError sqref="A9:A27 A30 A54 A49:A51 A33:A42" numberStoredAsText="1"/>
    <ignoredError sqref="F33 H10 D10 D21:E21 D56 H21 H49" 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8">
    <tabColor theme="2" tint="-0.499984740745262"/>
  </sheetPr>
  <dimension ref="A1:T38"/>
  <sheetViews>
    <sheetView showGridLines="0" showZeros="0" zoomScale="106" zoomScaleNormal="106" workbookViewId="0">
      <selection activeCell="Q12" sqref="Q12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4" width="15" style="4" customWidth="1"/>
    <col min="5" max="5" width="11.7109375" style="4" customWidth="1"/>
    <col min="6" max="6" width="0.140625" style="4" hidden="1" customWidth="1"/>
    <col min="7" max="7" width="16" style="4" customWidth="1"/>
    <col min="8" max="8" width="12.140625" style="80" customWidth="1"/>
    <col min="9" max="10" width="11" style="4" customWidth="1"/>
    <col min="11" max="11" width="11.28515625" style="4" hidden="1" customWidth="1"/>
    <col min="12" max="12" width="12.85546875" style="4" customWidth="1"/>
    <col min="13" max="13" width="0.42578125" customWidth="1"/>
    <col min="14" max="14" width="15.28515625" hidden="1" customWidth="1"/>
    <col min="16" max="16" width="22.28515625" customWidth="1"/>
    <col min="17" max="17" width="12.28515625" customWidth="1"/>
    <col min="20" max="20" width="13.28515625" customWidth="1"/>
  </cols>
  <sheetData>
    <row r="1" spans="1:18" ht="15.75">
      <c r="A1" s="6"/>
      <c r="B1" s="605" t="s">
        <v>60</v>
      </c>
      <c r="C1" s="605"/>
      <c r="D1" s="605"/>
      <c r="E1" s="605"/>
      <c r="F1" s="605"/>
      <c r="G1" s="605"/>
      <c r="H1" s="605"/>
      <c r="I1" s="605"/>
      <c r="J1" s="605"/>
      <c r="K1" s="605"/>
      <c r="L1" s="605"/>
    </row>
    <row r="2" spans="1:18" ht="15.75">
      <c r="A2" s="6"/>
      <c r="B2" s="605" t="s">
        <v>61</v>
      </c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9"/>
    </row>
    <row r="3" spans="1:18" ht="16.5" customHeight="1">
      <c r="A3" s="606" t="s">
        <v>478</v>
      </c>
      <c r="B3" s="606"/>
      <c r="C3" s="606"/>
      <c r="D3" s="606"/>
      <c r="E3" s="606"/>
      <c r="F3" s="606"/>
      <c r="G3" s="606"/>
      <c r="H3" s="606"/>
      <c r="I3" s="606"/>
      <c r="J3" s="606"/>
      <c r="K3" s="606"/>
      <c r="L3" s="606"/>
    </row>
    <row r="4" spans="1:18" ht="19.5" customHeight="1">
      <c r="A4" s="706" t="s">
        <v>479</v>
      </c>
      <c r="B4" s="706"/>
      <c r="C4" s="706"/>
      <c r="D4" s="706"/>
      <c r="E4" s="706"/>
      <c r="F4" s="706"/>
      <c r="G4" s="706"/>
      <c r="H4" s="706"/>
      <c r="I4" s="706"/>
      <c r="J4" s="706"/>
      <c r="K4" s="706"/>
      <c r="L4" s="706"/>
    </row>
    <row r="5" spans="1:18" ht="6.75" customHeight="1">
      <c r="A5"/>
      <c r="B5"/>
      <c r="C5"/>
      <c r="D5"/>
      <c r="E5"/>
      <c r="F5"/>
      <c r="G5" t="s">
        <v>12</v>
      </c>
      <c r="H5" s="1"/>
      <c r="I5"/>
      <c r="J5"/>
      <c r="K5"/>
      <c r="L5"/>
    </row>
    <row r="6" spans="1:18" ht="24.95" customHeight="1">
      <c r="A6" s="701" t="s">
        <v>480</v>
      </c>
      <c r="B6" s="702" t="s">
        <v>0</v>
      </c>
      <c r="C6" s="707" t="s">
        <v>50</v>
      </c>
      <c r="D6" s="612"/>
      <c r="E6" s="612"/>
      <c r="F6" s="612"/>
      <c r="G6" s="612"/>
      <c r="H6" s="612"/>
      <c r="I6" s="708"/>
      <c r="J6" s="704" t="s">
        <v>481</v>
      </c>
      <c r="K6" s="701"/>
      <c r="L6" s="704" t="s">
        <v>54</v>
      </c>
    </row>
    <row r="7" spans="1:18" ht="24.95" customHeight="1">
      <c r="A7" s="646"/>
      <c r="B7" s="703"/>
      <c r="C7" s="83" t="s">
        <v>2</v>
      </c>
      <c r="D7" s="84" t="s">
        <v>3</v>
      </c>
      <c r="E7" s="85" t="s">
        <v>25</v>
      </c>
      <c r="F7" s="86" t="s">
        <v>67</v>
      </c>
      <c r="G7" s="81" t="s">
        <v>44</v>
      </c>
      <c r="H7" s="87" t="s">
        <v>48</v>
      </c>
      <c r="I7" s="82" t="s">
        <v>45</v>
      </c>
      <c r="J7" s="705"/>
      <c r="K7" s="646"/>
      <c r="L7" s="705"/>
    </row>
    <row r="8" spans="1:18" ht="15" customHeight="1">
      <c r="A8" s="88"/>
      <c r="B8" s="89"/>
      <c r="C8" s="90"/>
      <c r="D8" s="91"/>
      <c r="E8" s="92"/>
      <c r="F8" s="91"/>
      <c r="G8" s="93"/>
      <c r="H8" s="94"/>
      <c r="I8" s="91"/>
      <c r="J8" s="91"/>
      <c r="K8" s="91"/>
      <c r="L8" s="129"/>
    </row>
    <row r="9" spans="1:18" ht="24.95" customHeight="1">
      <c r="A9" s="95"/>
      <c r="B9" s="96" t="s">
        <v>482</v>
      </c>
      <c r="C9" s="97">
        <f>+C11+C21+C29</f>
        <v>141094806</v>
      </c>
      <c r="D9" s="98">
        <f>+D11+D21+D29</f>
        <v>140457693</v>
      </c>
      <c r="E9" s="99">
        <f t="shared" ref="E9" si="0">+E11+E21+E29</f>
        <v>108025224</v>
      </c>
      <c r="F9" s="98">
        <f>F11+F21+F29</f>
        <v>9313248.0500000007</v>
      </c>
      <c r="G9" s="98">
        <f>N9+F9</f>
        <v>90541960.149999991</v>
      </c>
      <c r="H9" s="98">
        <f>+H11+H21+H29</f>
        <v>78175898.939999998</v>
      </c>
      <c r="I9" s="98">
        <f>+I11+I21+I29</f>
        <v>84153052.060000002</v>
      </c>
      <c r="J9" s="97">
        <f>E9-G9</f>
        <v>17483263.850000009</v>
      </c>
      <c r="K9" s="111">
        <f>+D9-G9</f>
        <v>49915732.850000009</v>
      </c>
      <c r="L9" s="130">
        <f>+G9/E9*100</f>
        <v>83.815572694392188</v>
      </c>
      <c r="N9" s="131">
        <f>N11+N21+N29</f>
        <v>81228712.099999994</v>
      </c>
      <c r="P9" s="132"/>
      <c r="Q9" s="1"/>
      <c r="R9" s="1"/>
    </row>
    <row r="10" spans="1:18" ht="24.95" customHeight="1">
      <c r="A10" s="95"/>
      <c r="B10" s="100"/>
      <c r="C10" s="98"/>
      <c r="D10" s="98"/>
      <c r="E10" s="99"/>
      <c r="F10" s="98"/>
      <c r="G10" s="98"/>
      <c r="H10" s="101"/>
      <c r="I10" s="101"/>
      <c r="J10" s="98"/>
      <c r="K10" s="100"/>
      <c r="L10" s="133"/>
      <c r="N10" s="9"/>
    </row>
    <row r="11" spans="1:18" ht="24.95" customHeight="1">
      <c r="A11" s="102">
        <v>1</v>
      </c>
      <c r="B11" s="103" t="s">
        <v>52</v>
      </c>
      <c r="C11" s="97">
        <f>SUM(C13:C20)</f>
        <v>52074126</v>
      </c>
      <c r="D11" s="98">
        <f>SUM(D13:D19)</f>
        <v>54160087</v>
      </c>
      <c r="E11" s="99">
        <f>SUM(E13:E19)</f>
        <v>42891950</v>
      </c>
      <c r="F11" s="98">
        <f>SUM(F13:F19)</f>
        <v>3152867.5</v>
      </c>
      <c r="G11" s="98">
        <f>N11+F11</f>
        <v>32225615.099999998</v>
      </c>
      <c r="H11" s="98">
        <f>SUM(H13:H19)</f>
        <v>27908496.880000003</v>
      </c>
      <c r="I11" s="98">
        <f>+I13+I15+I17+I19</f>
        <v>29466655.289999999</v>
      </c>
      <c r="J11" s="97">
        <f>+E11-G11</f>
        <v>10666334.900000002</v>
      </c>
      <c r="K11" s="111">
        <f>+D11-G11</f>
        <v>21934471.900000002</v>
      </c>
      <c r="L11" s="130">
        <f>+G11/E11*100</f>
        <v>75.132082127298943</v>
      </c>
      <c r="N11" s="131">
        <f>N13+N15+N17+N19</f>
        <v>29072747.599999998</v>
      </c>
      <c r="O11" s="1" t="s">
        <v>12</v>
      </c>
      <c r="P11" s="64"/>
      <c r="Q11" s="1"/>
    </row>
    <row r="12" spans="1:18" ht="24.95" customHeight="1">
      <c r="A12" s="95"/>
      <c r="B12" s="104"/>
      <c r="C12" s="105"/>
      <c r="D12" s="106"/>
      <c r="E12" s="107"/>
      <c r="F12" s="106"/>
      <c r="G12" s="106"/>
      <c r="H12" s="106"/>
      <c r="I12" s="106"/>
      <c r="J12" s="106"/>
      <c r="K12" s="109"/>
      <c r="L12" s="134"/>
      <c r="N12" s="9"/>
    </row>
    <row r="13" spans="1:18" ht="24.95" customHeight="1">
      <c r="A13" s="108" t="s">
        <v>12</v>
      </c>
      <c r="B13" s="104" t="s">
        <v>483</v>
      </c>
      <c r="C13" s="109">
        <v>13072514</v>
      </c>
      <c r="D13" s="106">
        <v>12323599</v>
      </c>
      <c r="E13" s="107">
        <v>9332468</v>
      </c>
      <c r="F13" s="106">
        <v>812859.54</v>
      </c>
      <c r="G13" s="106">
        <f>N13+F13</f>
        <v>7740661.4000000004</v>
      </c>
      <c r="H13" s="106">
        <v>6639386.9699999997</v>
      </c>
      <c r="I13" s="106">
        <v>7232320.7300000004</v>
      </c>
      <c r="J13" s="109">
        <f>+E13-G13</f>
        <v>1591806.5999999996</v>
      </c>
      <c r="K13" s="109">
        <f>+D13-G13</f>
        <v>4582937.5999999996</v>
      </c>
      <c r="L13" s="135">
        <f>+G13/E13*100</f>
        <v>82.943347890397263</v>
      </c>
      <c r="N13" s="9">
        <f>6927802.32-0.46</f>
        <v>6927801.8600000003</v>
      </c>
      <c r="P13" s="1"/>
      <c r="Q13" s="1"/>
    </row>
    <row r="14" spans="1:18" ht="24.95" customHeight="1">
      <c r="A14" s="108"/>
      <c r="B14" s="104"/>
      <c r="C14" s="109"/>
      <c r="D14" s="106"/>
      <c r="E14" s="107"/>
      <c r="F14" s="106"/>
      <c r="G14" s="106"/>
      <c r="H14" s="106"/>
      <c r="I14" s="106"/>
      <c r="J14" s="109"/>
      <c r="K14" s="109"/>
      <c r="L14" s="134"/>
      <c r="N14" s="9"/>
    </row>
    <row r="15" spans="1:18" ht="24.95" customHeight="1">
      <c r="A15" s="108" t="s">
        <v>12</v>
      </c>
      <c r="B15" s="110" t="s">
        <v>484</v>
      </c>
      <c r="C15" s="109">
        <v>1063473</v>
      </c>
      <c r="D15" s="106">
        <v>999673</v>
      </c>
      <c r="E15" s="107">
        <v>738557</v>
      </c>
      <c r="F15" s="106">
        <v>67560.72</v>
      </c>
      <c r="G15" s="106">
        <f>N15+F15</f>
        <v>673392.41999999993</v>
      </c>
      <c r="H15" s="106">
        <v>579483.06000000006</v>
      </c>
      <c r="I15" s="106">
        <v>643402.74</v>
      </c>
      <c r="J15" s="109">
        <f>+E15-G15</f>
        <v>65164.580000000075</v>
      </c>
      <c r="K15" s="109">
        <f>+D15-G15</f>
        <v>326280.58000000007</v>
      </c>
      <c r="L15" s="135">
        <f>+G15/E15*100</f>
        <v>91.176770377912604</v>
      </c>
      <c r="N15" s="9">
        <v>605831.69999999995</v>
      </c>
      <c r="P15" s="1"/>
      <c r="Q15" s="1"/>
    </row>
    <row r="16" spans="1:18" ht="24.95" customHeight="1">
      <c r="A16" s="108"/>
      <c r="B16" s="110"/>
      <c r="C16" s="109"/>
      <c r="D16" s="106"/>
      <c r="E16" s="107"/>
      <c r="F16" s="106"/>
      <c r="G16" s="106">
        <f>F16+M16</f>
        <v>0</v>
      </c>
      <c r="H16" s="106"/>
      <c r="I16" s="106"/>
      <c r="J16" s="109">
        <f>+E16-G16</f>
        <v>0</v>
      </c>
      <c r="K16" s="109" t="s">
        <v>12</v>
      </c>
      <c r="L16" s="135"/>
      <c r="N16" s="9">
        <v>0</v>
      </c>
    </row>
    <row r="17" spans="1:20" ht="24.95" customHeight="1">
      <c r="A17" s="108" t="s">
        <v>12</v>
      </c>
      <c r="B17" s="104" t="s">
        <v>485</v>
      </c>
      <c r="C17" s="109">
        <v>35488163</v>
      </c>
      <c r="D17" s="106">
        <v>38662097</v>
      </c>
      <c r="E17" s="107">
        <v>31243734</v>
      </c>
      <c r="F17" s="106">
        <v>2178080.5299999998</v>
      </c>
      <c r="G17" s="106">
        <f>N17+F17</f>
        <v>22878710.09</v>
      </c>
      <c r="H17" s="106">
        <v>19874355.920000002</v>
      </c>
      <c r="I17" s="106">
        <v>20753323.960000001</v>
      </c>
      <c r="J17" s="109">
        <f>+E17-G17</f>
        <v>8365023.9100000001</v>
      </c>
      <c r="K17" s="109">
        <f>+D17-G17</f>
        <v>15783386.91</v>
      </c>
      <c r="L17" s="135">
        <f>+G17/E17*100</f>
        <v>73.226555091014404</v>
      </c>
      <c r="N17" s="9">
        <f>20726936.61-26306.91-0.14</f>
        <v>20700629.559999999</v>
      </c>
      <c r="P17" s="1">
        <f>N17+F17</f>
        <v>22878710.09</v>
      </c>
      <c r="Q17" s="1"/>
      <c r="R17" s="9"/>
      <c r="T17" s="9"/>
    </row>
    <row r="18" spans="1:20" ht="24.95" customHeight="1">
      <c r="A18" s="108"/>
      <c r="B18" s="104"/>
      <c r="C18" s="109"/>
      <c r="D18" s="106"/>
      <c r="E18" s="107"/>
      <c r="F18" s="106"/>
      <c r="G18" s="106" t="s">
        <v>12</v>
      </c>
      <c r="H18" s="106"/>
      <c r="I18" s="106"/>
      <c r="J18" s="109" t="s">
        <v>12</v>
      </c>
      <c r="K18" s="109" t="s">
        <v>12</v>
      </c>
      <c r="L18" s="135"/>
      <c r="N18" s="9" t="s">
        <v>12</v>
      </c>
    </row>
    <row r="19" spans="1:20" ht="24.95" customHeight="1">
      <c r="A19" s="108" t="s">
        <v>12</v>
      </c>
      <c r="B19" s="110" t="s">
        <v>486</v>
      </c>
      <c r="C19" s="109">
        <v>2449976</v>
      </c>
      <c r="D19" s="106">
        <v>2174718</v>
      </c>
      <c r="E19" s="107">
        <v>1577191</v>
      </c>
      <c r="F19" s="106">
        <v>94366.71</v>
      </c>
      <c r="G19" s="106">
        <f>N19+F19</f>
        <v>932851.19</v>
      </c>
      <c r="H19" s="106">
        <v>815270.93</v>
      </c>
      <c r="I19" s="106">
        <v>837607.86</v>
      </c>
      <c r="J19" s="109">
        <f>+E19-J2319</f>
        <v>1577191</v>
      </c>
      <c r="K19" s="109">
        <f>+D19-G19</f>
        <v>1241866.81</v>
      </c>
      <c r="L19" s="135">
        <f>+G19/E19*100</f>
        <v>59.146367814678115</v>
      </c>
      <c r="N19" s="9">
        <v>838484.47999999998</v>
      </c>
      <c r="P19" s="1"/>
    </row>
    <row r="20" spans="1:20" ht="24.95" customHeight="1">
      <c r="A20" s="108"/>
      <c r="B20" s="104"/>
      <c r="C20" s="109"/>
      <c r="D20" s="106" t="s">
        <v>12</v>
      </c>
      <c r="E20" s="107"/>
      <c r="F20" s="106"/>
      <c r="G20" s="106">
        <f>F20</f>
        <v>0</v>
      </c>
      <c r="H20" s="106"/>
      <c r="I20" s="106"/>
      <c r="J20" s="109">
        <f>+E20-G20</f>
        <v>0</v>
      </c>
      <c r="K20" s="109" t="s">
        <v>12</v>
      </c>
      <c r="L20" s="135"/>
      <c r="N20" s="9">
        <v>0</v>
      </c>
    </row>
    <row r="21" spans="1:20" ht="24.95" customHeight="1">
      <c r="A21" s="102">
        <v>2</v>
      </c>
      <c r="B21" s="103" t="s">
        <v>53</v>
      </c>
      <c r="C21" s="111">
        <f t="shared" ref="C21:F21" si="1">SUM(C23:C27)</f>
        <v>73122532</v>
      </c>
      <c r="D21" s="98">
        <f t="shared" si="1"/>
        <v>72270082</v>
      </c>
      <c r="E21" s="99">
        <f t="shared" si="1"/>
        <v>54528705</v>
      </c>
      <c r="F21" s="98">
        <f t="shared" si="1"/>
        <v>5280739.08</v>
      </c>
      <c r="G21" s="98">
        <f>N21+F21</f>
        <v>49661410.780000001</v>
      </c>
      <c r="H21" s="98">
        <f>SUM(H23:H27)</f>
        <v>42856687.960000001</v>
      </c>
      <c r="I21" s="98">
        <f>SUM(I23:I27)</f>
        <v>46664191.450000003</v>
      </c>
      <c r="J21" s="111">
        <f>+E21-G21</f>
        <v>4867294.2199999988</v>
      </c>
      <c r="K21" s="111">
        <f>+D21-G21</f>
        <v>22608671.219999999</v>
      </c>
      <c r="L21" s="130">
        <f>+G21/E21*100</f>
        <v>91.073886276961829</v>
      </c>
      <c r="N21" s="131">
        <f>N23+N25+N27</f>
        <v>44380671.700000003</v>
      </c>
    </row>
    <row r="22" spans="1:20" ht="24.95" customHeight="1">
      <c r="A22" s="112"/>
      <c r="B22" s="104"/>
      <c r="C22" s="109"/>
      <c r="D22" s="106"/>
      <c r="E22" s="107"/>
      <c r="F22" s="106"/>
      <c r="G22" s="106">
        <f>F22</f>
        <v>0</v>
      </c>
      <c r="H22" s="106"/>
      <c r="I22" s="106"/>
      <c r="J22" s="109">
        <f>+E22-G22</f>
        <v>0</v>
      </c>
      <c r="K22" s="109" t="s">
        <v>12</v>
      </c>
      <c r="L22" s="135" t="s">
        <v>12</v>
      </c>
      <c r="N22" s="9">
        <v>0</v>
      </c>
    </row>
    <row r="23" spans="1:20" ht="24.95" customHeight="1">
      <c r="A23" s="113" t="s">
        <v>12</v>
      </c>
      <c r="B23" s="104" t="s">
        <v>487</v>
      </c>
      <c r="C23" s="109">
        <v>3496882</v>
      </c>
      <c r="D23" s="106">
        <v>3439613</v>
      </c>
      <c r="E23" s="106">
        <v>2786491</v>
      </c>
      <c r="F23" s="114">
        <v>148160.69</v>
      </c>
      <c r="G23" s="106">
        <f>+N23+F23</f>
        <v>2052769.5199999998</v>
      </c>
      <c r="H23" s="106">
        <v>1695681.1</v>
      </c>
      <c r="I23" s="106">
        <v>1575153.26</v>
      </c>
      <c r="J23" s="109">
        <f>+E23-G23</f>
        <v>733721.48000000021</v>
      </c>
      <c r="K23" s="109">
        <f>+D23-G23</f>
        <v>1386843.4800000002</v>
      </c>
      <c r="L23" s="135">
        <f>+G23/E17*100</f>
        <v>6.5701798639048707</v>
      </c>
      <c r="N23" s="9">
        <f>1904609.16-0.33</f>
        <v>1904608.8299999998</v>
      </c>
      <c r="P23" s="1"/>
      <c r="Q23" s="9"/>
    </row>
    <row r="24" spans="1:20" ht="24.95" customHeight="1">
      <c r="A24" s="113"/>
      <c r="B24" s="104"/>
      <c r="C24" s="109"/>
      <c r="D24" s="106" t="s">
        <v>12</v>
      </c>
      <c r="E24" s="106"/>
      <c r="F24" s="114"/>
      <c r="G24" s="106">
        <f>E24+M24</f>
        <v>0</v>
      </c>
      <c r="H24" s="106"/>
      <c r="I24" s="106"/>
      <c r="J24" s="109" t="s">
        <v>12</v>
      </c>
      <c r="K24" s="109" t="s">
        <v>12</v>
      </c>
      <c r="L24" s="135"/>
      <c r="N24" s="9">
        <v>0</v>
      </c>
      <c r="Q24" s="9"/>
    </row>
    <row r="25" spans="1:20" ht="24.95" customHeight="1">
      <c r="A25" s="113" t="s">
        <v>12</v>
      </c>
      <c r="B25" s="104" t="s">
        <v>488</v>
      </c>
      <c r="C25" s="109">
        <v>36159943</v>
      </c>
      <c r="D25" s="106">
        <v>35840282</v>
      </c>
      <c r="E25" s="106">
        <v>26781423</v>
      </c>
      <c r="F25" s="114">
        <v>2634112.9900000002</v>
      </c>
      <c r="G25" s="106">
        <f>+N25+F25</f>
        <v>24675929.469999999</v>
      </c>
      <c r="H25" s="106">
        <v>21288983.280000001</v>
      </c>
      <c r="I25" s="106">
        <v>23394617.59</v>
      </c>
      <c r="J25" s="109">
        <f>+E25-G25</f>
        <v>2105493.5300000012</v>
      </c>
      <c r="K25" s="109">
        <f>+D25-G25</f>
        <v>11164352.530000001</v>
      </c>
      <c r="L25" s="135">
        <f>+G25/E25*100</f>
        <v>92.138231303093932</v>
      </c>
      <c r="N25" s="9">
        <f>22041615.48+201</f>
        <v>22041816.48</v>
      </c>
      <c r="P25" s="9"/>
      <c r="Q25" s="9"/>
    </row>
    <row r="26" spans="1:20" ht="24.95" customHeight="1">
      <c r="A26" s="113"/>
      <c r="B26" s="104"/>
      <c r="C26" s="109"/>
      <c r="D26" s="106"/>
      <c r="E26" s="106"/>
      <c r="F26" s="114"/>
      <c r="G26" s="106">
        <f>E26+M26</f>
        <v>0</v>
      </c>
      <c r="H26" s="106"/>
      <c r="I26" s="106"/>
      <c r="J26" s="109" t="s">
        <v>12</v>
      </c>
      <c r="K26" s="109" t="e">
        <f>+#REF!-G26</f>
        <v>#REF!</v>
      </c>
      <c r="L26" s="135"/>
      <c r="N26" s="9">
        <v>0</v>
      </c>
      <c r="Q26" s="9"/>
    </row>
    <row r="27" spans="1:20" ht="24.95" customHeight="1">
      <c r="A27" s="113" t="s">
        <v>12</v>
      </c>
      <c r="B27" s="104" t="s">
        <v>489</v>
      </c>
      <c r="C27" s="109">
        <v>33465707</v>
      </c>
      <c r="D27" s="106">
        <v>32990187</v>
      </c>
      <c r="E27" s="106">
        <v>24960791</v>
      </c>
      <c r="F27" s="114">
        <v>2498465.4</v>
      </c>
      <c r="G27" s="106">
        <f>+F27+N27</f>
        <v>22932711.789999999</v>
      </c>
      <c r="H27" s="106">
        <v>19872023.579999998</v>
      </c>
      <c r="I27" s="106">
        <v>21694420.600000001</v>
      </c>
      <c r="J27" s="109">
        <f>+E27-G27</f>
        <v>2028079.2100000009</v>
      </c>
      <c r="K27" s="109">
        <f>+D27-G27</f>
        <v>10057475.210000001</v>
      </c>
      <c r="L27" s="135">
        <f>+G27/E27*100</f>
        <v>91.874940141119723</v>
      </c>
      <c r="N27" s="9">
        <f>20448811.41-14565.21+0.19</f>
        <v>20434246.390000001</v>
      </c>
      <c r="P27" s="1"/>
    </row>
    <row r="28" spans="1:20" ht="24.95" customHeight="1">
      <c r="A28" s="115"/>
      <c r="B28" s="104"/>
      <c r="C28" s="109"/>
      <c r="D28" s="106"/>
      <c r="E28" s="107"/>
      <c r="F28" s="106"/>
      <c r="G28" s="106">
        <f>F28+M28</f>
        <v>0</v>
      </c>
      <c r="H28" s="106"/>
      <c r="I28" s="106"/>
      <c r="J28" s="109">
        <f>+E28-G28</f>
        <v>0</v>
      </c>
      <c r="K28" s="109" t="s">
        <v>12</v>
      </c>
      <c r="L28" s="135" t="s">
        <v>12</v>
      </c>
      <c r="N28" s="9">
        <v>0</v>
      </c>
    </row>
    <row r="29" spans="1:20" ht="24.95" customHeight="1">
      <c r="A29" s="116" t="s">
        <v>490</v>
      </c>
      <c r="B29" s="103" t="s">
        <v>491</v>
      </c>
      <c r="C29" s="111">
        <v>15898148</v>
      </c>
      <c r="D29" s="98">
        <v>14027524</v>
      </c>
      <c r="E29" s="99">
        <v>10604569</v>
      </c>
      <c r="F29" s="98">
        <v>879641.47</v>
      </c>
      <c r="G29" s="98">
        <f>+F29+N29</f>
        <v>8654934.2699999996</v>
      </c>
      <c r="H29" s="98">
        <v>7410714.0999999996</v>
      </c>
      <c r="I29" s="98">
        <v>8022205.3200000003</v>
      </c>
      <c r="J29" s="111">
        <f>+E29-G29</f>
        <v>1949634.7300000004</v>
      </c>
      <c r="K29" s="111">
        <f>+D29-G29</f>
        <v>5372589.7300000004</v>
      </c>
      <c r="L29" s="130">
        <f>+G29/E29*100</f>
        <v>81.615144094965103</v>
      </c>
      <c r="N29" s="131">
        <f>7775148.64+144.16</f>
        <v>7775292.7999999998</v>
      </c>
      <c r="P29">
        <f>8654934.27-8654790.11</f>
        <v>144.16000000014901</v>
      </c>
    </row>
    <row r="30" spans="1:20" ht="24.95" customHeight="1">
      <c r="A30" s="117"/>
      <c r="B30" s="118"/>
      <c r="C30" s="119"/>
      <c r="D30" s="120" t="s">
        <v>12</v>
      </c>
      <c r="E30" s="121"/>
      <c r="F30" s="119"/>
      <c r="G30" s="119" t="s">
        <v>12</v>
      </c>
      <c r="H30" s="119"/>
      <c r="I30" s="119"/>
      <c r="J30" s="119"/>
      <c r="K30" s="119" t="s">
        <v>12</v>
      </c>
      <c r="L30" s="136" t="s">
        <v>12</v>
      </c>
      <c r="M30" t="s">
        <v>12</v>
      </c>
      <c r="N30" s="9" t="s">
        <v>12</v>
      </c>
    </row>
    <row r="31" spans="1:20" ht="11.25" customHeight="1">
      <c r="A31" s="122"/>
      <c r="B31" s="123"/>
      <c r="C31" s="124"/>
      <c r="D31" s="124"/>
      <c r="E31" s="124"/>
      <c r="F31" s="124"/>
      <c r="G31" s="124" t="s">
        <v>12</v>
      </c>
      <c r="H31" s="124"/>
      <c r="I31" s="124"/>
      <c r="J31" s="124"/>
      <c r="K31" s="124" t="s">
        <v>12</v>
      </c>
      <c r="L31"/>
    </row>
    <row r="32" spans="1:20" ht="13.5" customHeight="1">
      <c r="A32" s="125"/>
      <c r="B32" s="600" t="s">
        <v>41</v>
      </c>
      <c r="C32" s="600"/>
      <c r="D32" s="126"/>
      <c r="E32" s="126"/>
      <c r="F32" s="126"/>
      <c r="G32" s="127"/>
      <c r="H32" s="128"/>
      <c r="I32" s="127"/>
      <c r="J32" s="127"/>
      <c r="K32" s="137"/>
      <c r="L32"/>
    </row>
    <row r="35" spans="4:12">
      <c r="D35" s="80" t="s">
        <v>12</v>
      </c>
    </row>
    <row r="38" spans="4:12">
      <c r="L38" s="4" t="s">
        <v>12</v>
      </c>
    </row>
  </sheetData>
  <mergeCells count="10">
    <mergeCell ref="B1:L1"/>
    <mergeCell ref="B2:L2"/>
    <mergeCell ref="A3:L3"/>
    <mergeCell ref="A4:L4"/>
    <mergeCell ref="C6:I6"/>
    <mergeCell ref="B32:C32"/>
    <mergeCell ref="A6:A7"/>
    <mergeCell ref="B6:B7"/>
    <mergeCell ref="L6:L7"/>
    <mergeCell ref="J6:K7"/>
  </mergeCells>
  <pageMargins left="3.9370078740157501E-2" right="0" top="0.55118110236220497" bottom="0.35433070866141703" header="0.511811023622047" footer="0.98425196850393704"/>
  <pageSetup scale="75" firstPageNumber="0" fitToWidth="0" fitToHeight="0" orientation="portrait" useFirstPageNumber="1"/>
  <headerFooter alignWithMargins="0">
    <oddFooter>&amp;R&amp;"Times New Roman,Normal"&amp;12</oddFooter>
  </headerFooter>
  <ignoredErrors>
    <ignoredError sqref="A29" numberStoredAsText="1"/>
    <ignoredError sqref="G28 G11 G20:G21 G16 G24:G2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17</vt:i4>
      </vt:variant>
    </vt:vector>
  </HeadingPairs>
  <TitlesOfParts>
    <vt:vector size="27" baseType="lpstr">
      <vt:lpstr>Resumen Pto</vt:lpstr>
      <vt:lpstr>Recaudación</vt:lpstr>
      <vt:lpstr>Ingresos</vt:lpstr>
      <vt:lpstr>Financiamiento</vt:lpstr>
      <vt:lpstr>Flujo </vt:lpstr>
      <vt:lpstr>Balance</vt:lpstr>
      <vt:lpstr>Funcionamiento </vt:lpstr>
      <vt:lpstr>Func.Cta.</vt:lpstr>
      <vt:lpstr>Estr. Progr.</vt:lpstr>
      <vt:lpstr>Proyectos Inv</vt:lpstr>
      <vt:lpstr>Balance!Área_de_impresión</vt:lpstr>
      <vt:lpstr>'Estr. Progr.'!Área_de_impresión</vt:lpstr>
      <vt:lpstr>Financiamiento!Área_de_impresión</vt:lpstr>
      <vt:lpstr>'Flujo '!Área_de_impresión</vt:lpstr>
      <vt:lpstr>Func.Cta.!Área_de_impresión</vt:lpstr>
      <vt:lpstr>Ingresos!Área_de_impresión</vt:lpstr>
      <vt:lpstr>'Proyectos Inv'!Área_de_impresión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Balance!Títulos_a_imprimir</vt:lpstr>
      <vt:lpstr>'Funcionamiento '!Títulos_a_imprimir</vt:lpstr>
      <vt:lpstr>'Proyectos Inv'!Títulos_a_imprimir</vt:lpstr>
      <vt:lpstr>Recaudación!Títulos_a_imprimir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2025-10-14T17:02:22Z</cp:lastPrinted>
  <dcterms:created xsi:type="dcterms:W3CDTF">2010-01-07T20:52:00Z</dcterms:created>
  <dcterms:modified xsi:type="dcterms:W3CDTF">2025-10-14T17:10:48Z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