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Z:\PRESUPUESTO_SERVIDOR\4. EJECUCIÓN PRESUPUESTARIA POR AÑO\INFORMES DE EJECUCION POR AÑO\2026\FEBRERO\"/>
    </mc:Choice>
  </mc:AlternateContent>
  <xr:revisionPtr revIDLastSave="0" documentId="13_ncr:1_{1DCC4069-7B84-40CC-BFB4-8ECB8624A500}" xr6:coauthVersionLast="47" xr6:coauthVersionMax="47" xr10:uidLastSave="{00000000-0000-0000-0000-000000000000}"/>
  <bookViews>
    <workbookView xWindow="-120" yWindow="-120" windowWidth="29040" windowHeight="15720" tabRatio="875" activeTab="9" xr2:uid="{00000000-000D-0000-FFFF-FFFF00000000}"/>
  </bookViews>
  <sheets>
    <sheet name="RESUMAN" sheetId="18" r:id="rId1"/>
    <sheet name="RECAUDACION" sheetId="8" r:id="rId2"/>
    <sheet name="INGRESOS" sheetId="9" r:id="rId3"/>
    <sheet name="FINANCIAMIENTO" sheetId="63" r:id="rId4"/>
    <sheet name="FLUJO" sheetId="11" r:id="rId5"/>
    <sheet name="BALANCE GASTOS" sheetId="12" r:id="rId6"/>
    <sheet name="EJECUCION FUNC" sheetId="24" r:id="rId7"/>
    <sheet name="ESTRUCTURA PROG" sheetId="15" r:id="rId8"/>
    <sheet name="PROYECTOS" sheetId="60" r:id="rId9"/>
    <sheet name="INVERSIONES" sheetId="65" r:id="rId10"/>
  </sheets>
  <externalReferences>
    <externalReference r:id="rId11"/>
    <externalReference r:id="rId12"/>
  </externalReferences>
  <definedNames>
    <definedName name="a">"$#REF!.$CP$1"</definedName>
    <definedName name="_xlnm.Print_Area" localSheetId="5">'BALANCE GASTOS'!$A$6:$K$53</definedName>
    <definedName name="_xlnm.Print_Area" localSheetId="7">'ESTRUCTURA PROG'!$A$3:$L$32</definedName>
    <definedName name="_xlnm.Print_Area" localSheetId="3">FINANCIAMIENTO!$A$1:$H$35</definedName>
    <definedName name="_xlnm.Print_Area" localSheetId="4">FLUJO!$A$3:$H$54</definedName>
    <definedName name="_xlnm.Print_Area" localSheetId="2">INGRESOS!$A$1:$J$33</definedName>
    <definedName name="_xlnm.Print_Area" localSheetId="9">INVERSIONES!$A$1:$O$115</definedName>
    <definedName name="_xlnm.Print_Area" localSheetId="8">PROYECTOS!$A$8:$L$49</definedName>
    <definedName name="Excel_BuiltIn_Print_Area_12_1">"$#REF!.$A$1:$L$197"</definedName>
    <definedName name="Excel_BuiltIn_Print_Area_12_1_1">"$#REF!.$B$10:$L$205"</definedName>
    <definedName name="Excel_BuiltIn_Print_Area_12_1_1_1">"$#REF!.$B$10:$L$206"</definedName>
    <definedName name="Excel_BuiltIn_Print_Area_7">RECAUDACION!$B$3:$I$49</definedName>
    <definedName name="Excel_BuiltIn_Print_Area_7_1">RECAUDACION!$B$3:$I$43</definedName>
    <definedName name="Excel_BuiltIn_Print_Area_7_1_1">RECAUDACION!$B$3:$I$49</definedName>
    <definedName name="Excel_BuiltIn_Print_Area_8_1">[1]INGRESOS!$A$6:$I$39</definedName>
    <definedName name="Excel_BuiltIn_Print_Area_8_1_1">[1]INGRESOS!$A$6:$I$40</definedName>
    <definedName name="Excel_BuiltIn_Print_Area_9_1">FINANCIAMIENTO!$A$4:$H$36</definedName>
    <definedName name="Excel_BuiltIn_Print_Titles_11">'BALANCE GASTOS'!$4:$5</definedName>
    <definedName name="Excel_BuiltIn_Print_Titles_12_1">"$#REF!.$A$1:$B$65535;$#REF!.$A$1:$IV$7"</definedName>
    <definedName name="Excel_BuiltIn_Print_Titles_7">RECAUDACION!$3:$4</definedName>
    <definedName name="Excel_BuiltIn_Print_Titles_7_1">"$cuadro_A_1.$#REF!$#REF!:$#REF!$#REF!"</definedName>
    <definedName name="Excel_BuiltIn_Print_Titles_8_1">[1]INGRESOS!$A$1:$IV$5</definedName>
    <definedName name="_xlnm.Print_Titles" localSheetId="5">'BALANCE GASTOS'!$1:$5</definedName>
    <definedName name="_xlnm.Print_Titles" localSheetId="6">'EJECUCION FUNC'!$4:$10</definedName>
    <definedName name="_xlnm.Print_Titles" localSheetId="8">PROYECTOS!$1:$7</definedName>
    <definedName name="_xlnm.Print_Titles" localSheetId="1">RECAUDACION!$1:$4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1" l="1"/>
  <c r="F30" i="9" l="1"/>
  <c r="E41" i="8"/>
  <c r="I41" i="8" s="1"/>
  <c r="E28" i="8"/>
  <c r="E32" i="8"/>
  <c r="E29" i="8"/>
  <c r="E27" i="8"/>
  <c r="E25" i="8"/>
  <c r="E19" i="8"/>
  <c r="E18" i="8"/>
  <c r="D19" i="11"/>
  <c r="E19" i="11"/>
  <c r="B19" i="11"/>
  <c r="L10" i="60"/>
  <c r="L11" i="60"/>
  <c r="I50" i="8"/>
  <c r="E44" i="8"/>
  <c r="F28" i="9" l="1"/>
  <c r="F27" i="9"/>
  <c r="F26" i="9"/>
  <c r="J11" i="8" l="1"/>
  <c r="J17" i="8"/>
  <c r="J15" i="8" s="1"/>
  <c r="J26" i="8"/>
  <c r="J31" i="8"/>
  <c r="M17" i="15" l="1"/>
  <c r="G17" i="15" s="1"/>
  <c r="O156" i="24"/>
  <c r="G156" i="24"/>
  <c r="E13" i="18" l="1"/>
  <c r="G19" i="8" l="1"/>
  <c r="G18" i="8"/>
  <c r="H13" i="9" s="1"/>
  <c r="F17" i="8"/>
  <c r="G35" i="8" l="1"/>
  <c r="I35" i="8" s="1"/>
  <c r="G34" i="8"/>
  <c r="G33" i="8"/>
  <c r="F20" i="11" s="1"/>
  <c r="H20" i="11" l="1"/>
  <c r="H19" i="11" s="1"/>
  <c r="F19" i="11"/>
  <c r="I35" i="60"/>
  <c r="I44" i="60"/>
  <c r="H35" i="60"/>
  <c r="H44" i="60"/>
  <c r="G45" i="60"/>
  <c r="L45" i="60" s="1"/>
  <c r="G40" i="60"/>
  <c r="G27" i="60"/>
  <c r="J27" i="60" s="1"/>
  <c r="G20" i="60"/>
  <c r="J20" i="60" s="1"/>
  <c r="K27" i="60"/>
  <c r="J11" i="60"/>
  <c r="H18" i="60"/>
  <c r="G9" i="60"/>
  <c r="L9" i="60" s="1"/>
  <c r="N44" i="60"/>
  <c r="N43" i="60"/>
  <c r="N42" i="60"/>
  <c r="N41" i="60"/>
  <c r="N39" i="60"/>
  <c r="N38" i="60"/>
  <c r="N37" i="60"/>
  <c r="N36" i="60"/>
  <c r="N35" i="60"/>
  <c r="N32" i="60"/>
  <c r="N31" i="60"/>
  <c r="N30" i="60"/>
  <c r="N29" i="60"/>
  <c r="N28" i="60"/>
  <c r="N26" i="60"/>
  <c r="G26" i="60" s="1"/>
  <c r="J26" i="60" s="1"/>
  <c r="N25" i="60"/>
  <c r="G25" i="60" s="1"/>
  <c r="J25" i="60" s="1"/>
  <c r="N24" i="60"/>
  <c r="G24" i="60" s="1"/>
  <c r="J24" i="60" s="1"/>
  <c r="N23" i="60"/>
  <c r="G23" i="60" s="1"/>
  <c r="N22" i="60"/>
  <c r="G22" i="60" s="1"/>
  <c r="N21" i="60"/>
  <c r="G21" i="60" s="1"/>
  <c r="K21" i="60" s="1"/>
  <c r="N18" i="60"/>
  <c r="N17" i="60"/>
  <c r="N16" i="60"/>
  <c r="N8" i="60"/>
  <c r="O83" i="65"/>
  <c r="J90" i="65"/>
  <c r="I90" i="65"/>
  <c r="H79" i="65"/>
  <c r="H70" i="65"/>
  <c r="H65" i="65"/>
  <c r="H62" i="65" s="1"/>
  <c r="G47" i="65"/>
  <c r="H38" i="65"/>
  <c r="H36" i="65"/>
  <c r="H95" i="65"/>
  <c r="H94" i="65"/>
  <c r="H96" i="65"/>
  <c r="H97" i="65"/>
  <c r="H90" i="65" l="1"/>
  <c r="K22" i="60"/>
  <c r="J22" i="60"/>
  <c r="K23" i="60"/>
  <c r="J23" i="60"/>
  <c r="N47" i="60"/>
  <c r="J21" i="60"/>
  <c r="K25" i="60"/>
  <c r="K24" i="60"/>
  <c r="K26" i="60"/>
  <c r="H15" i="65"/>
  <c r="H16" i="65"/>
  <c r="H17" i="65"/>
  <c r="H14" i="65"/>
  <c r="H12" i="65"/>
  <c r="H11" i="65"/>
  <c r="G99" i="65"/>
  <c r="G81" i="65"/>
  <c r="G62" i="65"/>
  <c r="M109" i="24"/>
  <c r="M77" i="24"/>
  <c r="M50" i="24"/>
  <c r="M41" i="24"/>
  <c r="M42" i="24"/>
  <c r="M39" i="24"/>
  <c r="M163" i="24"/>
  <c r="M164" i="24"/>
  <c r="M165" i="24"/>
  <c r="M166" i="24"/>
  <c r="M167" i="24"/>
  <c r="M171" i="24"/>
  <c r="M181" i="24"/>
  <c r="G155" i="24"/>
  <c r="F81" i="65"/>
  <c r="D81" i="65"/>
  <c r="E81" i="65"/>
  <c r="G29" i="15" l="1"/>
  <c r="G24" i="15"/>
  <c r="G25" i="15"/>
  <c r="G26" i="15"/>
  <c r="G27" i="15"/>
  <c r="G23" i="15"/>
  <c r="G14" i="15"/>
  <c r="G15" i="15"/>
  <c r="G16" i="15"/>
  <c r="G19" i="15"/>
  <c r="G13" i="15"/>
  <c r="M21" i="15"/>
  <c r="M11" i="15"/>
  <c r="H156" i="24"/>
  <c r="K168" i="24"/>
  <c r="L171" i="24"/>
  <c r="L172" i="24"/>
  <c r="K171" i="24"/>
  <c r="K172" i="24"/>
  <c r="K174" i="24"/>
  <c r="J12" i="24"/>
  <c r="I169" i="24"/>
  <c r="H106" i="24"/>
  <c r="H107" i="24"/>
  <c r="H108" i="24"/>
  <c r="H148" i="24"/>
  <c r="H149" i="24"/>
  <c r="M149" i="24" s="1"/>
  <c r="H150" i="24"/>
  <c r="H151" i="24"/>
  <c r="H152" i="24"/>
  <c r="H153" i="24"/>
  <c r="H147" i="24"/>
  <c r="H146" i="24"/>
  <c r="H145" i="24"/>
  <c r="H143" i="24"/>
  <c r="H136" i="24"/>
  <c r="H137" i="24"/>
  <c r="H138" i="24"/>
  <c r="H139" i="24"/>
  <c r="H140" i="24"/>
  <c r="M140" i="24" s="1"/>
  <c r="H141" i="24"/>
  <c r="M141" i="24" s="1"/>
  <c r="H142" i="24"/>
  <c r="H135" i="24"/>
  <c r="H131" i="24"/>
  <c r="H132" i="24"/>
  <c r="H133" i="24"/>
  <c r="H130" i="24"/>
  <c r="H126" i="24"/>
  <c r="H127" i="24"/>
  <c r="H124" i="24"/>
  <c r="H125" i="24"/>
  <c r="H123" i="24"/>
  <c r="H117" i="24"/>
  <c r="H118" i="24"/>
  <c r="M118" i="24" s="1"/>
  <c r="H119" i="24"/>
  <c r="H116" i="24"/>
  <c r="H113" i="24"/>
  <c r="H112" i="24"/>
  <c r="H105" i="24"/>
  <c r="H100" i="24"/>
  <c r="H101" i="24"/>
  <c r="M101" i="24" s="1"/>
  <c r="H102" i="24"/>
  <c r="M102" i="24" s="1"/>
  <c r="H103" i="24"/>
  <c r="M103" i="24" s="1"/>
  <c r="H99" i="24"/>
  <c r="H97" i="24"/>
  <c r="H96" i="24"/>
  <c r="H86" i="24"/>
  <c r="M86" i="24" s="1"/>
  <c r="H87" i="24"/>
  <c r="M87" i="24" s="1"/>
  <c r="H88" i="24"/>
  <c r="H89" i="24"/>
  <c r="H90" i="24"/>
  <c r="H91" i="24"/>
  <c r="H92" i="24"/>
  <c r="H85" i="24"/>
  <c r="H79" i="24"/>
  <c r="M79" i="24" s="1"/>
  <c r="H80" i="24"/>
  <c r="M80" i="24" s="1"/>
  <c r="H81" i="24"/>
  <c r="H82" i="24"/>
  <c r="H78" i="24"/>
  <c r="M78" i="24" s="1"/>
  <c r="H75" i="24"/>
  <c r="H71" i="24"/>
  <c r="H72" i="24"/>
  <c r="H64" i="24"/>
  <c r="H65" i="24"/>
  <c r="H66" i="24"/>
  <c r="H63" i="24"/>
  <c r="H61" i="24"/>
  <c r="H60" i="24"/>
  <c r="H59" i="24"/>
  <c r="H57" i="24"/>
  <c r="H56" i="24"/>
  <c r="H54" i="24"/>
  <c r="H51" i="24"/>
  <c r="H49" i="24"/>
  <c r="H44" i="24"/>
  <c r="H40" i="24"/>
  <c r="H47" i="24"/>
  <c r="H46" i="24"/>
  <c r="H161" i="24"/>
  <c r="H177" i="24"/>
  <c r="M177" i="24" s="1"/>
  <c r="H178" i="24"/>
  <c r="M178" i="24" s="1"/>
  <c r="H176" i="24"/>
  <c r="M176" i="24" s="1"/>
  <c r="G175" i="24"/>
  <c r="G169" i="24"/>
  <c r="G157" i="24"/>
  <c r="G110" i="24"/>
  <c r="H110" i="24" s="1"/>
  <c r="G38" i="24"/>
  <c r="H14" i="24"/>
  <c r="H15" i="24"/>
  <c r="L15" i="24" s="1"/>
  <c r="H17" i="24"/>
  <c r="H18" i="24"/>
  <c r="H19" i="24"/>
  <c r="H20" i="24"/>
  <c r="H21" i="24"/>
  <c r="M21" i="24" s="1"/>
  <c r="H23" i="24"/>
  <c r="H24" i="24"/>
  <c r="H25" i="24"/>
  <c r="H26" i="24"/>
  <c r="H27" i="24"/>
  <c r="H28" i="24"/>
  <c r="H30" i="24"/>
  <c r="M30" i="24" s="1"/>
  <c r="H31" i="24"/>
  <c r="H32" i="24"/>
  <c r="H33" i="24"/>
  <c r="H34" i="24"/>
  <c r="H35" i="24"/>
  <c r="H13" i="24"/>
  <c r="O128" i="24"/>
  <c r="O120" i="24"/>
  <c r="O104" i="24"/>
  <c r="O67" i="24"/>
  <c r="O62" i="24"/>
  <c r="O58" i="24"/>
  <c r="O45" i="24"/>
  <c r="O29" i="24"/>
  <c r="O22" i="24"/>
  <c r="O16" i="24"/>
  <c r="O12" i="24"/>
  <c r="K15" i="24" l="1"/>
  <c r="K21" i="24"/>
  <c r="L21" i="24"/>
  <c r="H155" i="24"/>
  <c r="F44" i="8" l="1"/>
  <c r="F43" i="8" s="1"/>
  <c r="F42" i="8" s="1"/>
  <c r="F34" i="8"/>
  <c r="F33" i="8" s="1"/>
  <c r="D34" i="8"/>
  <c r="D33" i="8" s="1"/>
  <c r="C20" i="11" s="1"/>
  <c r="C19" i="11" s="1"/>
  <c r="E34" i="8"/>
  <c r="C34" i="8"/>
  <c r="C33" i="8" s="1"/>
  <c r="E32" i="18"/>
  <c r="D32" i="18"/>
  <c r="B32" i="18"/>
  <c r="E33" i="8" l="1"/>
  <c r="I34" i="8"/>
  <c r="G20" i="9"/>
  <c r="E23" i="11"/>
  <c r="I33" i="8" l="1"/>
  <c r="K11" i="60"/>
  <c r="J45" i="60"/>
  <c r="K45" i="60"/>
  <c r="M158" i="24" l="1"/>
  <c r="K178" i="24"/>
  <c r="K181" i="24"/>
  <c r="K182" i="24"/>
  <c r="K176" i="24"/>
  <c r="L176" i="24"/>
  <c r="K177" i="24"/>
  <c r="L177" i="24"/>
  <c r="L178" i="24"/>
  <c r="L174" i="24"/>
  <c r="K163" i="24"/>
  <c r="L163" i="24"/>
  <c r="K164" i="24"/>
  <c r="L164" i="24"/>
  <c r="K165" i="24"/>
  <c r="L165" i="24"/>
  <c r="K166" i="24"/>
  <c r="L166" i="24"/>
  <c r="K167" i="24"/>
  <c r="L167" i="24"/>
  <c r="L168" i="24"/>
  <c r="K161" i="24"/>
  <c r="L161" i="24"/>
  <c r="G160" i="24"/>
  <c r="C169" i="24"/>
  <c r="K158" i="24"/>
  <c r="L158" i="24"/>
  <c r="K156" i="24"/>
  <c r="L156" i="24"/>
  <c r="K145" i="24"/>
  <c r="L145" i="24"/>
  <c r="K146" i="24"/>
  <c r="L146" i="24"/>
  <c r="K147" i="24"/>
  <c r="L147" i="24"/>
  <c r="K148" i="24"/>
  <c r="L148" i="24"/>
  <c r="K149" i="24"/>
  <c r="L149" i="24"/>
  <c r="K150" i="24"/>
  <c r="L150" i="24"/>
  <c r="K151" i="24"/>
  <c r="L151" i="24"/>
  <c r="K152" i="24"/>
  <c r="L152" i="24"/>
  <c r="K135" i="24"/>
  <c r="L135" i="24"/>
  <c r="K136" i="24"/>
  <c r="L136" i="24"/>
  <c r="K137" i="24"/>
  <c r="L137" i="24"/>
  <c r="K138" i="24"/>
  <c r="L138" i="24"/>
  <c r="K139" i="24"/>
  <c r="L139" i="24"/>
  <c r="K140" i="24"/>
  <c r="L140" i="24"/>
  <c r="K141" i="24"/>
  <c r="L141" i="24"/>
  <c r="K142" i="24"/>
  <c r="L142" i="24"/>
  <c r="K143" i="24"/>
  <c r="L143" i="24"/>
  <c r="K131" i="24"/>
  <c r="L131" i="24"/>
  <c r="K132" i="24"/>
  <c r="L132" i="24"/>
  <c r="K133" i="24"/>
  <c r="L133" i="24"/>
  <c r="K130" i="24"/>
  <c r="L130" i="24"/>
  <c r="K129" i="24"/>
  <c r="K121" i="24"/>
  <c r="L121" i="24"/>
  <c r="K122" i="24"/>
  <c r="L122" i="24"/>
  <c r="K123" i="24"/>
  <c r="L123" i="24"/>
  <c r="K124" i="24"/>
  <c r="L124" i="24"/>
  <c r="K125" i="24"/>
  <c r="L125" i="24"/>
  <c r="K126" i="24"/>
  <c r="L126" i="24"/>
  <c r="K127" i="24"/>
  <c r="L127" i="24"/>
  <c r="L129" i="24"/>
  <c r="K115" i="24"/>
  <c r="L115" i="24"/>
  <c r="K116" i="24"/>
  <c r="L116" i="24"/>
  <c r="K117" i="24"/>
  <c r="L117" i="24"/>
  <c r="K118" i="24"/>
  <c r="L118" i="24"/>
  <c r="K119" i="24"/>
  <c r="L119" i="24"/>
  <c r="K113" i="24"/>
  <c r="L113" i="24"/>
  <c r="K111" i="24"/>
  <c r="L111" i="24"/>
  <c r="K112" i="24"/>
  <c r="L112" i="24"/>
  <c r="K105" i="24"/>
  <c r="L105" i="24"/>
  <c r="K106" i="24"/>
  <c r="L106" i="24"/>
  <c r="K107" i="24"/>
  <c r="L107" i="24"/>
  <c r="K108" i="24"/>
  <c r="L108" i="24"/>
  <c r="K109" i="24"/>
  <c r="L109" i="24"/>
  <c r="K99" i="24"/>
  <c r="L99" i="24"/>
  <c r="K100" i="24"/>
  <c r="L100" i="24"/>
  <c r="K101" i="24"/>
  <c r="L101" i="24"/>
  <c r="K102" i="24"/>
  <c r="L102" i="24"/>
  <c r="K103" i="24"/>
  <c r="L103" i="24"/>
  <c r="K96" i="24"/>
  <c r="L96" i="24"/>
  <c r="K97" i="24"/>
  <c r="L97" i="24"/>
  <c r="K85" i="24"/>
  <c r="L85" i="24"/>
  <c r="K86" i="24"/>
  <c r="L86" i="24"/>
  <c r="K87" i="24"/>
  <c r="L87" i="24"/>
  <c r="K88" i="24"/>
  <c r="L88" i="24"/>
  <c r="K89" i="24"/>
  <c r="L89" i="24"/>
  <c r="K90" i="24"/>
  <c r="L90" i="24"/>
  <c r="K91" i="24"/>
  <c r="L91" i="24"/>
  <c r="K92" i="24"/>
  <c r="L92" i="24"/>
  <c r="K93" i="24"/>
  <c r="L93" i="24"/>
  <c r="K77" i="24"/>
  <c r="L77" i="24"/>
  <c r="K78" i="24"/>
  <c r="L78" i="24"/>
  <c r="K79" i="24"/>
  <c r="L79" i="24"/>
  <c r="K80" i="24"/>
  <c r="L80" i="24"/>
  <c r="K81" i="24"/>
  <c r="L81" i="24"/>
  <c r="K82" i="24"/>
  <c r="L82" i="24"/>
  <c r="K74" i="24"/>
  <c r="L74" i="24"/>
  <c r="K75" i="24"/>
  <c r="L75" i="24"/>
  <c r="G83" i="24"/>
  <c r="C76" i="24"/>
  <c r="L68" i="24"/>
  <c r="L71" i="24"/>
  <c r="L72" i="24"/>
  <c r="K68" i="24"/>
  <c r="K71" i="24"/>
  <c r="K72" i="24"/>
  <c r="L63" i="24"/>
  <c r="L64" i="24"/>
  <c r="L65" i="24"/>
  <c r="L66" i="24"/>
  <c r="L61" i="24"/>
  <c r="K61" i="24"/>
  <c r="K52" i="24"/>
  <c r="L52" i="24"/>
  <c r="L53" i="24"/>
  <c r="L54" i="24"/>
  <c r="L56" i="24"/>
  <c r="L57" i="24"/>
  <c r="K56" i="24"/>
  <c r="K57" i="24"/>
  <c r="K63" i="24"/>
  <c r="K64" i="24"/>
  <c r="K65" i="24"/>
  <c r="K66" i="24"/>
  <c r="L59" i="24"/>
  <c r="L60" i="24"/>
  <c r="K59" i="24"/>
  <c r="K60" i="24"/>
  <c r="F55" i="24"/>
  <c r="E55" i="24"/>
  <c r="L46" i="24"/>
  <c r="L47" i="24"/>
  <c r="L48" i="24"/>
  <c r="L49" i="24"/>
  <c r="L50" i="24"/>
  <c r="L51" i="24"/>
  <c r="K46" i="24"/>
  <c r="K47" i="24"/>
  <c r="K48" i="24"/>
  <c r="K49" i="24"/>
  <c r="K50" i="24"/>
  <c r="K51" i="24"/>
  <c r="K53" i="24"/>
  <c r="K54" i="24"/>
  <c r="L39" i="24"/>
  <c r="L40" i="24"/>
  <c r="L41" i="24"/>
  <c r="L42" i="24"/>
  <c r="L43" i="24"/>
  <c r="L44" i="24"/>
  <c r="K39" i="24"/>
  <c r="K40" i="24"/>
  <c r="K41" i="24"/>
  <c r="K42" i="24"/>
  <c r="K43" i="24"/>
  <c r="K44" i="24"/>
  <c r="L34" i="24"/>
  <c r="L35" i="24"/>
  <c r="K34" i="24"/>
  <c r="K35" i="24"/>
  <c r="L23" i="24"/>
  <c r="L24" i="24"/>
  <c r="L25" i="24"/>
  <c r="L26" i="24"/>
  <c r="L17" i="24"/>
  <c r="L18" i="24"/>
  <c r="L19" i="24"/>
  <c r="L20" i="24"/>
  <c r="L13" i="24"/>
  <c r="L14" i="24"/>
  <c r="K23" i="24"/>
  <c r="K24" i="24"/>
  <c r="K25" i="24"/>
  <c r="K26" i="24"/>
  <c r="K20" i="24"/>
  <c r="K17" i="24"/>
  <c r="K18" i="24"/>
  <c r="K19" i="24"/>
  <c r="K13" i="24"/>
  <c r="K14" i="24"/>
  <c r="E29" i="24"/>
  <c r="D22" i="24"/>
  <c r="E22" i="24"/>
  <c r="C12" i="24" l="1"/>
  <c r="E12" i="24"/>
  <c r="F12" i="24"/>
  <c r="G12" i="24"/>
  <c r="I12" i="24"/>
  <c r="C16" i="24"/>
  <c r="E16" i="24"/>
  <c r="F16" i="24"/>
  <c r="G16" i="24"/>
  <c r="H16" i="24" s="1"/>
  <c r="I16" i="24"/>
  <c r="J16" i="24"/>
  <c r="C22" i="24"/>
  <c r="F22" i="24"/>
  <c r="G22" i="24"/>
  <c r="H22" i="24" s="1"/>
  <c r="J22" i="24"/>
  <c r="C27" i="24"/>
  <c r="K27" i="24"/>
  <c r="J27" i="24"/>
  <c r="E28" i="24"/>
  <c r="E27" i="24" s="1"/>
  <c r="K28" i="24"/>
  <c r="F29" i="24"/>
  <c r="G29" i="24"/>
  <c r="I29" i="24"/>
  <c r="J29" i="24"/>
  <c r="D37" i="24"/>
  <c r="C38" i="24"/>
  <c r="E38" i="24"/>
  <c r="F38" i="24"/>
  <c r="H38" i="24"/>
  <c r="I38" i="24"/>
  <c r="J38" i="24"/>
  <c r="C45" i="24"/>
  <c r="E45" i="24"/>
  <c r="F45" i="24"/>
  <c r="G45" i="24"/>
  <c r="H45" i="24" s="1"/>
  <c r="I45" i="24"/>
  <c r="J45" i="24"/>
  <c r="C55" i="24"/>
  <c r="G55" i="24"/>
  <c r="H55" i="24" s="1"/>
  <c r="L55" i="24" s="1"/>
  <c r="I55" i="24"/>
  <c r="C58" i="24"/>
  <c r="E58" i="24"/>
  <c r="F58" i="24"/>
  <c r="G58" i="24"/>
  <c r="H58" i="24" s="1"/>
  <c r="I58" i="24"/>
  <c r="J58" i="24"/>
  <c r="C62" i="24"/>
  <c r="E62" i="24"/>
  <c r="F62" i="24"/>
  <c r="G62" i="24"/>
  <c r="H62" i="24" s="1"/>
  <c r="I62" i="24"/>
  <c r="J62" i="24"/>
  <c r="C67" i="24"/>
  <c r="E67" i="24"/>
  <c r="F67" i="24"/>
  <c r="G67" i="24"/>
  <c r="H67" i="24" s="1"/>
  <c r="I67" i="24"/>
  <c r="J67" i="24"/>
  <c r="H69" i="24"/>
  <c r="H70" i="24"/>
  <c r="C73" i="24"/>
  <c r="E73" i="24"/>
  <c r="F73" i="24"/>
  <c r="G73" i="24"/>
  <c r="H73" i="24" s="1"/>
  <c r="I73" i="24"/>
  <c r="J73" i="24"/>
  <c r="E76" i="24"/>
  <c r="G76" i="24"/>
  <c r="H76" i="24" s="1"/>
  <c r="I76" i="24"/>
  <c r="J76" i="24"/>
  <c r="C83" i="24"/>
  <c r="F83" i="24"/>
  <c r="I83" i="24"/>
  <c r="J83" i="24"/>
  <c r="H84" i="24"/>
  <c r="M84" i="24" s="1"/>
  <c r="D94" i="24"/>
  <c r="C95" i="24"/>
  <c r="E95" i="24"/>
  <c r="F95" i="24"/>
  <c r="G95" i="24"/>
  <c r="H95" i="24" s="1"/>
  <c r="I95" i="24"/>
  <c r="J95" i="24"/>
  <c r="C98" i="24"/>
  <c r="E98" i="24"/>
  <c r="F98" i="24"/>
  <c r="G98" i="24"/>
  <c r="I98" i="24"/>
  <c r="J98" i="24"/>
  <c r="C104" i="24"/>
  <c r="E104" i="24"/>
  <c r="F104" i="24"/>
  <c r="G104" i="24"/>
  <c r="H104" i="24" s="1"/>
  <c r="I104" i="24"/>
  <c r="J104" i="24"/>
  <c r="C110" i="24"/>
  <c r="E110" i="24"/>
  <c r="F110" i="24"/>
  <c r="I110" i="24"/>
  <c r="J110" i="24"/>
  <c r="C114" i="24"/>
  <c r="E114" i="24"/>
  <c r="F114" i="24"/>
  <c r="G114" i="24"/>
  <c r="H114" i="24" s="1"/>
  <c r="I114" i="24"/>
  <c r="J114" i="24"/>
  <c r="C120" i="24"/>
  <c r="E120" i="24"/>
  <c r="F120" i="24"/>
  <c r="G120" i="24"/>
  <c r="H120" i="24" s="1"/>
  <c r="I120" i="24"/>
  <c r="J120" i="24"/>
  <c r="C128" i="24"/>
  <c r="E128" i="24"/>
  <c r="F128" i="24"/>
  <c r="G128" i="24"/>
  <c r="H128" i="24" s="1"/>
  <c r="I128" i="24"/>
  <c r="J128" i="24"/>
  <c r="C134" i="24"/>
  <c r="E134" i="24"/>
  <c r="F134" i="24"/>
  <c r="G134" i="24"/>
  <c r="H134" i="24" s="1"/>
  <c r="I134" i="24"/>
  <c r="J134" i="24"/>
  <c r="C144" i="24"/>
  <c r="E144" i="24"/>
  <c r="G144" i="24"/>
  <c r="I144" i="24"/>
  <c r="J144" i="24"/>
  <c r="K153" i="24"/>
  <c r="C155" i="24"/>
  <c r="C154" i="24" s="1"/>
  <c r="E155" i="24"/>
  <c r="F155" i="24"/>
  <c r="G154" i="24"/>
  <c r="I155" i="24"/>
  <c r="I154" i="24" s="1"/>
  <c r="J155" i="24"/>
  <c r="C157" i="24"/>
  <c r="E157" i="24"/>
  <c r="F157" i="24"/>
  <c r="J157" i="24"/>
  <c r="H157" i="24"/>
  <c r="H154" i="24" s="1"/>
  <c r="C160" i="24"/>
  <c r="E160" i="24"/>
  <c r="F160" i="24"/>
  <c r="H160" i="24"/>
  <c r="I160" i="24"/>
  <c r="J160" i="24"/>
  <c r="C162" i="24"/>
  <c r="E162" i="24"/>
  <c r="F162" i="24"/>
  <c r="G162" i="24"/>
  <c r="H162" i="24" s="1"/>
  <c r="E169" i="24"/>
  <c r="F169" i="24"/>
  <c r="H169" i="24"/>
  <c r="J169" i="24"/>
  <c r="H170" i="24"/>
  <c r="C173" i="24"/>
  <c r="E173" i="24"/>
  <c r="F173" i="24"/>
  <c r="G173" i="24"/>
  <c r="H173" i="24"/>
  <c r="I173" i="24"/>
  <c r="J173" i="24"/>
  <c r="C175" i="24"/>
  <c r="E175" i="24"/>
  <c r="F175" i="24"/>
  <c r="H175" i="24"/>
  <c r="I175" i="24"/>
  <c r="J175" i="24"/>
  <c r="C179" i="24"/>
  <c r="H179" i="24"/>
  <c r="M179" i="24" s="1"/>
  <c r="J179" i="24"/>
  <c r="H180" i="24"/>
  <c r="L181" i="24"/>
  <c r="M175" i="24" l="1"/>
  <c r="M162" i="24"/>
  <c r="H159" i="24"/>
  <c r="F28" i="12"/>
  <c r="F159" i="24"/>
  <c r="D28" i="12"/>
  <c r="H28" i="12"/>
  <c r="K173" i="24"/>
  <c r="K180" i="24"/>
  <c r="M180" i="24"/>
  <c r="K170" i="24"/>
  <c r="M170" i="24"/>
  <c r="M169" i="24"/>
  <c r="H29" i="24"/>
  <c r="L29" i="24" s="1"/>
  <c r="K160" i="24"/>
  <c r="M157" i="24"/>
  <c r="F37" i="24"/>
  <c r="L170" i="24"/>
  <c r="L153" i="24"/>
  <c r="D20" i="12"/>
  <c r="L31" i="24"/>
  <c r="K31" i="24"/>
  <c r="C28" i="12"/>
  <c r="E159" i="24"/>
  <c r="L173" i="24"/>
  <c r="K32" i="24"/>
  <c r="L32" i="24"/>
  <c r="L30" i="24"/>
  <c r="K30" i="24"/>
  <c r="J11" i="24"/>
  <c r="L110" i="24"/>
  <c r="D183" i="24"/>
  <c r="H83" i="24"/>
  <c r="K83" i="24" s="1"/>
  <c r="K84" i="24"/>
  <c r="C159" i="24"/>
  <c r="B20" i="12" s="1"/>
  <c r="B28" i="12"/>
  <c r="L33" i="24"/>
  <c r="K33" i="24"/>
  <c r="L70" i="24"/>
  <c r="K70" i="24"/>
  <c r="L69" i="24"/>
  <c r="K69" i="24"/>
  <c r="K179" i="24"/>
  <c r="L169" i="24"/>
  <c r="E83" i="24"/>
  <c r="E37" i="24" s="1"/>
  <c r="L84" i="24"/>
  <c r="G11" i="24"/>
  <c r="K67" i="24"/>
  <c r="K175" i="24"/>
  <c r="L175" i="24"/>
  <c r="K169" i="24"/>
  <c r="L134" i="24"/>
  <c r="K128" i="24"/>
  <c r="L128" i="24"/>
  <c r="L120" i="24"/>
  <c r="L114" i="24"/>
  <c r="K104" i="24"/>
  <c r="L95" i="24"/>
  <c r="K73" i="24"/>
  <c r="L58" i="24"/>
  <c r="K62" i="24"/>
  <c r="K58" i="24"/>
  <c r="K38" i="24"/>
  <c r="L45" i="24"/>
  <c r="K162" i="24"/>
  <c r="L160" i="24"/>
  <c r="F20" i="12"/>
  <c r="L157" i="24"/>
  <c r="J154" i="24"/>
  <c r="E154" i="24"/>
  <c r="L154" i="24" s="1"/>
  <c r="L155" i="24"/>
  <c r="K134" i="24"/>
  <c r="E94" i="24"/>
  <c r="K120" i="24"/>
  <c r="K110" i="24"/>
  <c r="L104" i="24"/>
  <c r="G94" i="24"/>
  <c r="H94" i="24" s="1"/>
  <c r="I94" i="24"/>
  <c r="L76" i="24"/>
  <c r="K76" i="24"/>
  <c r="L67" i="24"/>
  <c r="L62" i="24"/>
  <c r="K55" i="24"/>
  <c r="K45" i="24"/>
  <c r="J37" i="24"/>
  <c r="C37" i="24"/>
  <c r="E11" i="24"/>
  <c r="I11" i="24"/>
  <c r="I37" i="24"/>
  <c r="K22" i="24"/>
  <c r="L22" i="24"/>
  <c r="L179" i="24"/>
  <c r="I162" i="24"/>
  <c r="I159" i="24" s="1"/>
  <c r="L162" i="24"/>
  <c r="J159" i="24"/>
  <c r="F154" i="24"/>
  <c r="K154" i="24" s="1"/>
  <c r="J94" i="24"/>
  <c r="F94" i="24"/>
  <c r="L73" i="24"/>
  <c r="C11" i="24"/>
  <c r="G159" i="24"/>
  <c r="K114" i="24"/>
  <c r="H144" i="24"/>
  <c r="L144" i="24" s="1"/>
  <c r="L180" i="24"/>
  <c r="K157" i="24"/>
  <c r="C94" i="24"/>
  <c r="G37" i="24"/>
  <c r="L38" i="24"/>
  <c r="F11" i="24"/>
  <c r="H98" i="24"/>
  <c r="K98" i="24" s="1"/>
  <c r="K95" i="24"/>
  <c r="H12" i="24"/>
  <c r="L28" i="24"/>
  <c r="L27" i="24" s="1"/>
  <c r="J44" i="12"/>
  <c r="I44" i="12"/>
  <c r="K29" i="24" l="1"/>
  <c r="G28" i="12"/>
  <c r="G22" i="12" s="1"/>
  <c r="G183" i="24"/>
  <c r="I183" i="24"/>
  <c r="L83" i="24"/>
  <c r="L37" i="24" s="1"/>
  <c r="J183" i="24"/>
  <c r="K155" i="24"/>
  <c r="H11" i="24"/>
  <c r="K11" i="24" s="1"/>
  <c r="L94" i="24"/>
  <c r="K37" i="24"/>
  <c r="K94" i="24"/>
  <c r="L12" i="24"/>
  <c r="K12" i="24"/>
  <c r="K16" i="24"/>
  <c r="L16" i="24"/>
  <c r="L159" i="24"/>
  <c r="E183" i="24"/>
  <c r="H37" i="24"/>
  <c r="K159" i="24"/>
  <c r="F183" i="24"/>
  <c r="L98" i="24"/>
  <c r="K144" i="24"/>
  <c r="C183" i="24"/>
  <c r="E39" i="65"/>
  <c r="M112" i="65"/>
  <c r="L112" i="65"/>
  <c r="L110" i="65" s="1"/>
  <c r="L107" i="65" s="1"/>
  <c r="L106" i="65" s="1"/>
  <c r="L105" i="65" s="1"/>
  <c r="L99" i="65" s="1"/>
  <c r="L98" i="65" s="1"/>
  <c r="L90" i="65" s="1"/>
  <c r="K111" i="65"/>
  <c r="M110" i="65"/>
  <c r="H110" i="65"/>
  <c r="K110" i="65" s="1"/>
  <c r="K109" i="65"/>
  <c r="K108" i="65"/>
  <c r="M107" i="65"/>
  <c r="H107" i="65"/>
  <c r="F107" i="65"/>
  <c r="E107" i="65"/>
  <c r="M106" i="65"/>
  <c r="E106" i="65"/>
  <c r="N106" i="65" s="1"/>
  <c r="M105" i="65"/>
  <c r="J105" i="65"/>
  <c r="I105" i="65"/>
  <c r="G105" i="65"/>
  <c r="D105" i="65"/>
  <c r="C105" i="65"/>
  <c r="H104" i="65"/>
  <c r="K104" i="65" s="1"/>
  <c r="I103" i="65"/>
  <c r="F103" i="65"/>
  <c r="E103" i="65"/>
  <c r="N102" i="65"/>
  <c r="N101" i="65" s="1"/>
  <c r="K102" i="65"/>
  <c r="K101" i="65" s="1"/>
  <c r="H101" i="65"/>
  <c r="F101" i="65"/>
  <c r="E101" i="65"/>
  <c r="C101" i="65"/>
  <c r="N100" i="65"/>
  <c r="N99" i="65" s="1"/>
  <c r="K100" i="65"/>
  <c r="K99" i="65" s="1"/>
  <c r="M99" i="65"/>
  <c r="J99" i="65"/>
  <c r="I99" i="65"/>
  <c r="H99" i="65"/>
  <c r="F99" i="65"/>
  <c r="E99" i="65"/>
  <c r="C99" i="65"/>
  <c r="M98" i="65"/>
  <c r="G98" i="65"/>
  <c r="D98" i="65"/>
  <c r="N97" i="65"/>
  <c r="K97" i="65"/>
  <c r="O96" i="65"/>
  <c r="N96" i="65"/>
  <c r="K96" i="65"/>
  <c r="O95" i="65"/>
  <c r="N95" i="65"/>
  <c r="K95" i="65"/>
  <c r="O94" i="65"/>
  <c r="N94" i="65"/>
  <c r="K94" i="65"/>
  <c r="O93" i="65"/>
  <c r="N93" i="65"/>
  <c r="K93" i="65"/>
  <c r="O92" i="65"/>
  <c r="N92" i="65"/>
  <c r="K92" i="65"/>
  <c r="O91" i="65"/>
  <c r="N91" i="65"/>
  <c r="K91" i="65"/>
  <c r="M90" i="65"/>
  <c r="G90" i="65"/>
  <c r="F90" i="65"/>
  <c r="E90" i="65"/>
  <c r="O89" i="65"/>
  <c r="N89" i="65"/>
  <c r="M89" i="65"/>
  <c r="L89" i="65"/>
  <c r="L88" i="65" s="1"/>
  <c r="L87" i="65" s="1"/>
  <c r="L85" i="65" s="1"/>
  <c r="L81" i="65" s="1"/>
  <c r="L80" i="65" s="1"/>
  <c r="L78" i="65" s="1"/>
  <c r="L69" i="65" s="1"/>
  <c r="L68" i="65" s="1"/>
  <c r="L62" i="65" s="1"/>
  <c r="L60" i="65" s="1"/>
  <c r="L57" i="65" s="1"/>
  <c r="L52" i="65" s="1"/>
  <c r="L47" i="65" s="1"/>
  <c r="L46" i="65" s="1"/>
  <c r="L45" i="65" s="1"/>
  <c r="L44" i="65" s="1"/>
  <c r="L42" i="65" s="1"/>
  <c r="L41" i="65" s="1"/>
  <c r="L34" i="65" s="1"/>
  <c r="K89" i="65"/>
  <c r="O88" i="65"/>
  <c r="N88" i="65"/>
  <c r="M88" i="65"/>
  <c r="K88" i="65"/>
  <c r="N87" i="65"/>
  <c r="M87" i="65"/>
  <c r="K87" i="65"/>
  <c r="K86" i="65"/>
  <c r="M85" i="65"/>
  <c r="J85" i="65"/>
  <c r="I85" i="65"/>
  <c r="H85" i="65"/>
  <c r="F85" i="65"/>
  <c r="E85" i="65"/>
  <c r="C85" i="65"/>
  <c r="N83" i="65"/>
  <c r="K83" i="65"/>
  <c r="O82" i="65"/>
  <c r="N82" i="65"/>
  <c r="K82" i="65"/>
  <c r="M81" i="65"/>
  <c r="J81" i="65"/>
  <c r="I81" i="65"/>
  <c r="H81" i="65"/>
  <c r="C81" i="65"/>
  <c r="O80" i="65"/>
  <c r="N80" i="65"/>
  <c r="M80" i="65"/>
  <c r="K80" i="65"/>
  <c r="M78" i="65"/>
  <c r="J78" i="65"/>
  <c r="H78" i="65"/>
  <c r="G78" i="65"/>
  <c r="F78" i="65"/>
  <c r="E78" i="65"/>
  <c r="N77" i="65"/>
  <c r="K77" i="65"/>
  <c r="N76" i="65"/>
  <c r="K76" i="65"/>
  <c r="N75" i="65"/>
  <c r="K75" i="65"/>
  <c r="N74" i="65"/>
  <c r="K74" i="65"/>
  <c r="N73" i="65"/>
  <c r="K73" i="65"/>
  <c r="N71" i="65"/>
  <c r="K71" i="65"/>
  <c r="N70" i="65"/>
  <c r="K70" i="65"/>
  <c r="M69" i="65"/>
  <c r="J69" i="65"/>
  <c r="I69" i="65"/>
  <c r="H69" i="65"/>
  <c r="G69" i="65"/>
  <c r="F69" i="65"/>
  <c r="E69" i="65"/>
  <c r="C69" i="65"/>
  <c r="M68" i="65"/>
  <c r="D68" i="65"/>
  <c r="N67" i="65"/>
  <c r="N66" i="65"/>
  <c r="N65" i="65"/>
  <c r="N64" i="65"/>
  <c r="N63" i="65"/>
  <c r="M62" i="65"/>
  <c r="I62" i="65"/>
  <c r="F62" i="65"/>
  <c r="E62" i="65"/>
  <c r="N61" i="65"/>
  <c r="M60" i="65"/>
  <c r="J60" i="65"/>
  <c r="I60" i="65"/>
  <c r="H60" i="65"/>
  <c r="F60" i="65"/>
  <c r="E60" i="65"/>
  <c r="C60" i="65"/>
  <c r="N59" i="65"/>
  <c r="N58" i="65"/>
  <c r="M57" i="65"/>
  <c r="J57" i="65"/>
  <c r="I57" i="65"/>
  <c r="H57" i="65"/>
  <c r="F57" i="65"/>
  <c r="E57" i="65"/>
  <c r="C57" i="65"/>
  <c r="N56" i="65"/>
  <c r="N55" i="65"/>
  <c r="N54" i="65"/>
  <c r="N53" i="65"/>
  <c r="M52" i="65"/>
  <c r="J52" i="65"/>
  <c r="I52" i="65"/>
  <c r="H52" i="65"/>
  <c r="H41" i="65" s="1"/>
  <c r="G52" i="65"/>
  <c r="G41" i="65" s="1"/>
  <c r="F52" i="65"/>
  <c r="E52" i="65"/>
  <c r="C52" i="65"/>
  <c r="N50" i="65"/>
  <c r="N49" i="65"/>
  <c r="K49" i="65"/>
  <c r="N48" i="65"/>
  <c r="K48" i="65"/>
  <c r="M47" i="65"/>
  <c r="J47" i="65"/>
  <c r="I47" i="65"/>
  <c r="H47" i="65"/>
  <c r="F47" i="65"/>
  <c r="E47" i="65"/>
  <c r="C47" i="65"/>
  <c r="M46" i="65"/>
  <c r="E46" i="65"/>
  <c r="N46" i="65" s="1"/>
  <c r="N45" i="65"/>
  <c r="M45" i="65"/>
  <c r="K45" i="65"/>
  <c r="N44" i="65"/>
  <c r="M44" i="65"/>
  <c r="K44" i="65"/>
  <c r="N42" i="65"/>
  <c r="M42" i="65"/>
  <c r="K42" i="65"/>
  <c r="M41" i="65"/>
  <c r="D41" i="65"/>
  <c r="K40" i="65"/>
  <c r="H40" i="65"/>
  <c r="H39" i="65" s="1"/>
  <c r="J39" i="65"/>
  <c r="I39" i="65"/>
  <c r="F39" i="65"/>
  <c r="K39" i="65" s="1"/>
  <c r="N38" i="65"/>
  <c r="K38" i="65"/>
  <c r="N37" i="65"/>
  <c r="K37" i="65"/>
  <c r="N36" i="65"/>
  <c r="K36" i="65"/>
  <c r="N35" i="65"/>
  <c r="K35" i="65"/>
  <c r="M34" i="65"/>
  <c r="J34" i="65"/>
  <c r="I34" i="65"/>
  <c r="F34" i="65"/>
  <c r="E34" i="65"/>
  <c r="C34" i="65"/>
  <c r="N33" i="65"/>
  <c r="N32" i="65"/>
  <c r="K32" i="65"/>
  <c r="O31" i="65"/>
  <c r="N31" i="65"/>
  <c r="K31" i="65"/>
  <c r="O30" i="65"/>
  <c r="N30" i="65"/>
  <c r="K30" i="65"/>
  <c r="M29" i="65"/>
  <c r="J29" i="65"/>
  <c r="I29" i="65"/>
  <c r="H29" i="65"/>
  <c r="H20" i="65" s="1"/>
  <c r="G29" i="65"/>
  <c r="F29" i="65"/>
  <c r="E29" i="65"/>
  <c r="C29" i="65"/>
  <c r="N28" i="65"/>
  <c r="N27" i="65"/>
  <c r="K27" i="65"/>
  <c r="N26" i="65"/>
  <c r="N25" i="65"/>
  <c r="N24" i="65"/>
  <c r="M24" i="65"/>
  <c r="K24" i="65"/>
  <c r="N23" i="65"/>
  <c r="N22" i="65"/>
  <c r="K22" i="65"/>
  <c r="M20" i="65"/>
  <c r="D20" i="65"/>
  <c r="O19" i="65"/>
  <c r="N19" i="65"/>
  <c r="K19" i="65"/>
  <c r="I18" i="65"/>
  <c r="H18" i="65"/>
  <c r="G18" i="65"/>
  <c r="F18" i="65"/>
  <c r="E18" i="65"/>
  <c r="O17" i="65"/>
  <c r="N17" i="65"/>
  <c r="K17" i="65"/>
  <c r="O16" i="65"/>
  <c r="N16" i="65"/>
  <c r="K16" i="65"/>
  <c r="O15" i="65"/>
  <c r="N15" i="65"/>
  <c r="K15" i="65"/>
  <c r="O14" i="65"/>
  <c r="N14" i="65"/>
  <c r="K14" i="65"/>
  <c r="M13" i="65"/>
  <c r="J13" i="65"/>
  <c r="H13" i="65"/>
  <c r="G13" i="65"/>
  <c r="F13" i="65"/>
  <c r="E13" i="65"/>
  <c r="C13" i="65"/>
  <c r="M12" i="65"/>
  <c r="K12" i="65"/>
  <c r="O11" i="65"/>
  <c r="N11" i="65"/>
  <c r="M11" i="65"/>
  <c r="K11" i="65"/>
  <c r="M10" i="65"/>
  <c r="J10" i="65"/>
  <c r="I10" i="65"/>
  <c r="I9" i="65" s="1"/>
  <c r="G10" i="65"/>
  <c r="H10" i="65" s="1"/>
  <c r="F10" i="65"/>
  <c r="E10" i="65"/>
  <c r="D10" i="65"/>
  <c r="D9" i="65" s="1"/>
  <c r="C10" i="65"/>
  <c r="M9" i="65"/>
  <c r="G44" i="60"/>
  <c r="F44" i="60"/>
  <c r="E44" i="60"/>
  <c r="D44" i="60"/>
  <c r="B44" i="60"/>
  <c r="G43" i="60"/>
  <c r="L43" i="60" s="1"/>
  <c r="G42" i="60"/>
  <c r="L42" i="60" s="1"/>
  <c r="G41" i="60"/>
  <c r="L41" i="60" s="1"/>
  <c r="L40" i="60"/>
  <c r="K40" i="60"/>
  <c r="J40" i="60"/>
  <c r="G39" i="60"/>
  <c r="G38" i="60"/>
  <c r="J38" i="60" s="1"/>
  <c r="G37" i="60"/>
  <c r="J37" i="60" s="1"/>
  <c r="G36" i="60"/>
  <c r="M35" i="60"/>
  <c r="G35" i="60"/>
  <c r="F35" i="60"/>
  <c r="E43" i="12" s="1"/>
  <c r="E35" i="60"/>
  <c r="D43" i="12" s="1"/>
  <c r="D35" i="60"/>
  <c r="D30" i="18" s="1"/>
  <c r="C35" i="60"/>
  <c r="B35" i="60"/>
  <c r="B30" i="18" s="1"/>
  <c r="G32" i="60"/>
  <c r="J32" i="60" s="1"/>
  <c r="G31" i="60"/>
  <c r="G30" i="60"/>
  <c r="L30" i="60" s="1"/>
  <c r="G29" i="60"/>
  <c r="L29" i="60" s="1"/>
  <c r="G28" i="60"/>
  <c r="L27" i="60"/>
  <c r="L24" i="60"/>
  <c r="L22" i="60"/>
  <c r="L21" i="60"/>
  <c r="K20" i="60"/>
  <c r="M19" i="60"/>
  <c r="G18" i="60"/>
  <c r="F42" i="12" s="1"/>
  <c r="F18" i="60"/>
  <c r="E18" i="60"/>
  <c r="D18" i="60"/>
  <c r="C42" i="12" s="1"/>
  <c r="C18" i="60"/>
  <c r="B18" i="60"/>
  <c r="B42" i="12" s="1"/>
  <c r="G17" i="60"/>
  <c r="J17" i="60" s="1"/>
  <c r="G16" i="60"/>
  <c r="K16" i="60" s="1"/>
  <c r="K15" i="60"/>
  <c r="J15" i="60"/>
  <c r="K14" i="60"/>
  <c r="J14" i="60"/>
  <c r="K13" i="60"/>
  <c r="L12" i="60"/>
  <c r="K12" i="60"/>
  <c r="J12" i="60"/>
  <c r="K10" i="60"/>
  <c r="J10" i="60"/>
  <c r="K9" i="60"/>
  <c r="J9" i="60"/>
  <c r="M8" i="60"/>
  <c r="I8" i="60"/>
  <c r="I47" i="60" s="1"/>
  <c r="H8" i="60"/>
  <c r="G8" i="60"/>
  <c r="F41" i="12" s="1"/>
  <c r="F8" i="60"/>
  <c r="E41" i="12" s="1"/>
  <c r="E8" i="60"/>
  <c r="D41" i="12" s="1"/>
  <c r="D8" i="60"/>
  <c r="C41" i="12" s="1"/>
  <c r="C8" i="60"/>
  <c r="B8" i="60"/>
  <c r="B26" i="18" s="1"/>
  <c r="P29" i="15"/>
  <c r="L29" i="15"/>
  <c r="K29" i="15"/>
  <c r="J29" i="15"/>
  <c r="G28" i="15"/>
  <c r="J28" i="15" s="1"/>
  <c r="L27" i="15"/>
  <c r="K27" i="15"/>
  <c r="J27" i="15"/>
  <c r="L25" i="15"/>
  <c r="K25" i="15"/>
  <c r="J25" i="15"/>
  <c r="G21" i="15"/>
  <c r="L23" i="15"/>
  <c r="K23" i="15"/>
  <c r="J23" i="15"/>
  <c r="G22" i="15"/>
  <c r="J22" i="15" s="1"/>
  <c r="I21" i="15"/>
  <c r="H21" i="15"/>
  <c r="F21" i="15"/>
  <c r="E21" i="15"/>
  <c r="D21" i="15"/>
  <c r="D21" i="18" s="1"/>
  <c r="C21" i="15"/>
  <c r="B21" i="18" s="1"/>
  <c r="G20" i="15"/>
  <c r="J20" i="15" s="1"/>
  <c r="L19" i="15"/>
  <c r="K19" i="15"/>
  <c r="J19" i="15"/>
  <c r="L17" i="15"/>
  <c r="K17" i="15"/>
  <c r="J17" i="15"/>
  <c r="J16" i="15"/>
  <c r="L15" i="15"/>
  <c r="K15" i="15"/>
  <c r="J15" i="15"/>
  <c r="L13" i="15"/>
  <c r="K13" i="15"/>
  <c r="J13" i="15"/>
  <c r="I11" i="15"/>
  <c r="H11" i="15"/>
  <c r="F11" i="15"/>
  <c r="E11" i="15"/>
  <c r="D11" i="15"/>
  <c r="D19" i="18" s="1"/>
  <c r="C11" i="15"/>
  <c r="B19" i="18" s="1"/>
  <c r="M161" i="24"/>
  <c r="M148" i="24"/>
  <c r="M147" i="24"/>
  <c r="M146" i="24"/>
  <c r="M145" i="24"/>
  <c r="M139" i="24"/>
  <c r="M137" i="24"/>
  <c r="M135" i="24"/>
  <c r="M133" i="24"/>
  <c r="M132" i="24"/>
  <c r="M131" i="24"/>
  <c r="M130" i="24"/>
  <c r="M129" i="24"/>
  <c r="M126" i="24"/>
  <c r="M124" i="24"/>
  <c r="M122" i="24"/>
  <c r="M119" i="24"/>
  <c r="M117" i="24"/>
  <c r="M116" i="24"/>
  <c r="M115" i="24"/>
  <c r="M112" i="24"/>
  <c r="M110" i="24"/>
  <c r="M104" i="24"/>
  <c r="M100" i="24"/>
  <c r="M99" i="24"/>
  <c r="M92" i="24"/>
  <c r="M91" i="24"/>
  <c r="M90" i="24"/>
  <c r="M88" i="24"/>
  <c r="M85" i="24"/>
  <c r="M82" i="24"/>
  <c r="M81" i="24"/>
  <c r="M75" i="24"/>
  <c r="M73" i="24"/>
  <c r="M72" i="24"/>
  <c r="M71" i="24"/>
  <c r="M70" i="24"/>
  <c r="M64" i="24"/>
  <c r="M62" i="24"/>
  <c r="M61" i="24"/>
  <c r="M60" i="24"/>
  <c r="M59" i="24"/>
  <c r="M56" i="24"/>
  <c r="M55" i="24"/>
  <c r="M51" i="24"/>
  <c r="M49" i="24"/>
  <c r="M48" i="24"/>
  <c r="M47" i="24"/>
  <c r="M46" i="24"/>
  <c r="M44" i="24"/>
  <c r="M34" i="24"/>
  <c r="M33" i="24"/>
  <c r="M32" i="24"/>
  <c r="M31" i="24"/>
  <c r="M15" i="24"/>
  <c r="M14" i="24"/>
  <c r="M13" i="24"/>
  <c r="G15" i="12"/>
  <c r="H15" i="12"/>
  <c r="D15" i="12"/>
  <c r="A54" i="12" a="1"/>
  <c r="A54" i="12" s="1"/>
  <c r="H43" i="12"/>
  <c r="G43" i="12"/>
  <c r="H42" i="12"/>
  <c r="G42" i="12"/>
  <c r="F35" i="12"/>
  <c r="G32" i="12"/>
  <c r="F32" i="12"/>
  <c r="E32" i="12"/>
  <c r="D32" i="12"/>
  <c r="C32" i="12"/>
  <c r="B32" i="12"/>
  <c r="F30" i="12"/>
  <c r="H22" i="12"/>
  <c r="E28" i="12"/>
  <c r="E22" i="12" s="1"/>
  <c r="B22" i="12"/>
  <c r="G26" i="12"/>
  <c r="G25" i="12"/>
  <c r="G24" i="12"/>
  <c r="G23" i="12"/>
  <c r="G18" i="12"/>
  <c r="C18" i="12"/>
  <c r="B18" i="12"/>
  <c r="B15" i="12"/>
  <c r="C47" i="11"/>
  <c r="C46" i="11"/>
  <c r="E45" i="11"/>
  <c r="E43" i="11" s="1"/>
  <c r="B39" i="11"/>
  <c r="F36" i="11"/>
  <c r="B36" i="11"/>
  <c r="F26" i="11"/>
  <c r="F25" i="11" s="1"/>
  <c r="D26" i="11"/>
  <c r="D25" i="11" s="1"/>
  <c r="D18" i="11"/>
  <c r="D17" i="11"/>
  <c r="D15" i="11"/>
  <c r="D14" i="11" s="1"/>
  <c r="D11" i="11" s="1"/>
  <c r="D30" i="63"/>
  <c r="D15" i="63"/>
  <c r="D14" i="63"/>
  <c r="D13" i="63"/>
  <c r="D12" i="63"/>
  <c r="D11" i="63"/>
  <c r="D10" i="63"/>
  <c r="H30" i="9"/>
  <c r="H28" i="9"/>
  <c r="H27" i="9"/>
  <c r="J27" i="9" s="1"/>
  <c r="H26" i="9"/>
  <c r="G24" i="9"/>
  <c r="G22" i="9" s="1"/>
  <c r="H22" i="9" s="1"/>
  <c r="F24" i="9"/>
  <c r="F22" i="9" s="1"/>
  <c r="E24" i="9"/>
  <c r="E22" i="9" s="1"/>
  <c r="D24" i="9"/>
  <c r="D22" i="9" s="1"/>
  <c r="C24" i="9"/>
  <c r="H23" i="9"/>
  <c r="H21" i="9"/>
  <c r="F20" i="9"/>
  <c r="E20" i="9"/>
  <c r="D20" i="9"/>
  <c r="C20" i="9"/>
  <c r="G18" i="9"/>
  <c r="F18" i="9"/>
  <c r="E18" i="9"/>
  <c r="D18" i="9"/>
  <c r="C18" i="9"/>
  <c r="G17" i="9"/>
  <c r="F17" i="9"/>
  <c r="E17" i="9"/>
  <c r="D17" i="9"/>
  <c r="C17" i="9"/>
  <c r="G16" i="9"/>
  <c r="F16" i="9"/>
  <c r="E16" i="9"/>
  <c r="D16" i="9"/>
  <c r="C16" i="9"/>
  <c r="G15" i="9"/>
  <c r="F15" i="9"/>
  <c r="E15" i="9"/>
  <c r="D15" i="9"/>
  <c r="C15" i="9"/>
  <c r="G14" i="9"/>
  <c r="F14" i="9"/>
  <c r="E14" i="9"/>
  <c r="D14" i="9"/>
  <c r="C14" i="9"/>
  <c r="G13" i="9"/>
  <c r="F13" i="9"/>
  <c r="E13" i="9"/>
  <c r="E11" i="9" s="1"/>
  <c r="D13" i="9"/>
  <c r="C13" i="9"/>
  <c r="F49" i="8"/>
  <c r="G48" i="8"/>
  <c r="I48" i="8" s="1"/>
  <c r="E47" i="8"/>
  <c r="D47" i="8"/>
  <c r="E26" i="11" s="1"/>
  <c r="E25" i="11" s="1"/>
  <c r="G45" i="8"/>
  <c r="I45" i="8" s="1"/>
  <c r="D44" i="8"/>
  <c r="D43" i="8" s="1"/>
  <c r="D42" i="8" s="1"/>
  <c r="C44" i="8"/>
  <c r="C43" i="8" s="1"/>
  <c r="C42" i="8" s="1"/>
  <c r="E43" i="8"/>
  <c r="E42" i="8" s="1"/>
  <c r="D23" i="11" s="1"/>
  <c r="F40" i="8"/>
  <c r="D40" i="8"/>
  <c r="C26" i="11" s="1"/>
  <c r="C25" i="11" s="1"/>
  <c r="C40" i="8"/>
  <c r="B26" i="11" s="1"/>
  <c r="B25" i="11" s="1"/>
  <c r="E39" i="8"/>
  <c r="F38" i="8"/>
  <c r="F36" i="8" s="1"/>
  <c r="G32" i="8"/>
  <c r="F31" i="8"/>
  <c r="G31" i="8" s="1"/>
  <c r="E31" i="8"/>
  <c r="F18" i="11" s="1"/>
  <c r="D31" i="8"/>
  <c r="E18" i="11" s="1"/>
  <c r="C31" i="8"/>
  <c r="B18" i="11" s="1"/>
  <c r="G30" i="8"/>
  <c r="H30" i="8" s="1"/>
  <c r="G29" i="8"/>
  <c r="I29" i="8" s="1"/>
  <c r="G28" i="8"/>
  <c r="G27" i="8"/>
  <c r="I27" i="8" s="1"/>
  <c r="F26" i="8"/>
  <c r="G26" i="8" s="1"/>
  <c r="E26" i="8"/>
  <c r="F17" i="11" s="1"/>
  <c r="D26" i="8"/>
  <c r="E17" i="11" s="1"/>
  <c r="C26" i="8"/>
  <c r="B17" i="11" s="1"/>
  <c r="G25" i="8"/>
  <c r="G23" i="8" s="1"/>
  <c r="G24" i="8"/>
  <c r="H24" i="8" s="1"/>
  <c r="F23" i="8"/>
  <c r="F21" i="8" s="1"/>
  <c r="E23" i="8"/>
  <c r="E21" i="8" s="1"/>
  <c r="D23" i="8"/>
  <c r="D21" i="8" s="1"/>
  <c r="E16" i="11" s="1"/>
  <c r="C23" i="8"/>
  <c r="C21" i="8" s="1"/>
  <c r="G22" i="8"/>
  <c r="H22" i="8" s="1"/>
  <c r="G17" i="8"/>
  <c r="E17" i="8"/>
  <c r="E15" i="8" s="1"/>
  <c r="D17" i="8"/>
  <c r="C17" i="8"/>
  <c r="C15" i="8" s="1"/>
  <c r="F15" i="8"/>
  <c r="D15" i="8"/>
  <c r="C25" i="18"/>
  <c r="E23" i="18"/>
  <c r="D23" i="18"/>
  <c r="B23" i="18"/>
  <c r="E22" i="18"/>
  <c r="B22" i="18"/>
  <c r="E20" i="18"/>
  <c r="B20" i="18"/>
  <c r="C18" i="18"/>
  <c r="C9" i="18"/>
  <c r="K81" i="65" l="1"/>
  <c r="L44" i="60"/>
  <c r="C9" i="65"/>
  <c r="D22" i="11"/>
  <c r="D29" i="11" s="1"/>
  <c r="F13" i="8"/>
  <c r="G13" i="8" s="1"/>
  <c r="K18" i="65"/>
  <c r="J44" i="60"/>
  <c r="G15" i="8"/>
  <c r="G15" i="11" s="1"/>
  <c r="H20" i="9"/>
  <c r="G20" i="65"/>
  <c r="N62" i="65"/>
  <c r="N81" i="65"/>
  <c r="J98" i="65"/>
  <c r="K57" i="65"/>
  <c r="N60" i="65"/>
  <c r="E98" i="65"/>
  <c r="F9" i="65"/>
  <c r="E20" i="65"/>
  <c r="H98" i="65"/>
  <c r="H41" i="8"/>
  <c r="H40" i="8" s="1"/>
  <c r="H39" i="8" s="1"/>
  <c r="H38" i="8" s="1"/>
  <c r="C16" i="18"/>
  <c r="E13" i="8"/>
  <c r="H47" i="60"/>
  <c r="M18" i="60"/>
  <c r="N19" i="60"/>
  <c r="G19" i="60" s="1"/>
  <c r="L19" i="60" s="1"/>
  <c r="H9" i="65"/>
  <c r="O18" i="65"/>
  <c r="F20" i="65"/>
  <c r="O20" i="65" s="1"/>
  <c r="C41" i="65"/>
  <c r="E38" i="8"/>
  <c r="E36" i="8" s="1"/>
  <c r="H14" i="9"/>
  <c r="J14" i="9" s="1"/>
  <c r="J18" i="60"/>
  <c r="I41" i="12"/>
  <c r="J9" i="65"/>
  <c r="G9" i="65"/>
  <c r="G68" i="65"/>
  <c r="K69" i="65"/>
  <c r="N13" i="65"/>
  <c r="H183" i="24"/>
  <c r="H19" i="9"/>
  <c r="H35" i="8"/>
  <c r="H34" i="8" s="1"/>
  <c r="H33" i="8" s="1"/>
  <c r="H24" i="9"/>
  <c r="I24" i="9" s="1"/>
  <c r="J41" i="12"/>
  <c r="O99" i="65"/>
  <c r="L11" i="24"/>
  <c r="E15" i="11"/>
  <c r="E14" i="11" s="1"/>
  <c r="E11" i="11" s="1"/>
  <c r="D13" i="8"/>
  <c r="D11" i="8" s="1"/>
  <c r="N18" i="65"/>
  <c r="J41" i="65"/>
  <c r="O62" i="65"/>
  <c r="C13" i="8"/>
  <c r="C11" i="8" s="1"/>
  <c r="B10" i="63" s="1"/>
  <c r="L23" i="60"/>
  <c r="E11" i="8"/>
  <c r="F9" i="15"/>
  <c r="C68" i="65"/>
  <c r="N110" i="65"/>
  <c r="K34" i="65"/>
  <c r="O52" i="65"/>
  <c r="C98" i="65"/>
  <c r="O60" i="65"/>
  <c r="J22" i="9"/>
  <c r="I9" i="15"/>
  <c r="G44" i="8"/>
  <c r="I23" i="8"/>
  <c r="F30" i="63"/>
  <c r="G11" i="9"/>
  <c r="G9" i="9" s="1"/>
  <c r="H29" i="8"/>
  <c r="D11" i="9"/>
  <c r="D9" i="9" s="1"/>
  <c r="H16" i="9"/>
  <c r="J16" i="9" s="1"/>
  <c r="C16" i="11"/>
  <c r="C39" i="8"/>
  <c r="C38" i="8" s="1"/>
  <c r="C36" i="8" s="1"/>
  <c r="D39" i="8"/>
  <c r="H41" i="12"/>
  <c r="H39" i="12" s="1"/>
  <c r="H36" i="12" s="1"/>
  <c r="B43" i="12"/>
  <c r="D26" i="18"/>
  <c r="K18" i="60"/>
  <c r="D28" i="18"/>
  <c r="B28" i="18"/>
  <c r="B25" i="18" s="1"/>
  <c r="K30" i="60"/>
  <c r="G41" i="12"/>
  <c r="G39" i="12" s="1"/>
  <c r="G36" i="12" s="1"/>
  <c r="E26" i="18"/>
  <c r="E28" i="18"/>
  <c r="B47" i="60"/>
  <c r="B45" i="11" s="1"/>
  <c r="B43" i="11" s="1"/>
  <c r="C47" i="60"/>
  <c r="B16" i="11"/>
  <c r="E21" i="18"/>
  <c r="C28" i="63"/>
  <c r="C23" i="11"/>
  <c r="C22" i="11" s="1"/>
  <c r="I25" i="8"/>
  <c r="I19" i="8"/>
  <c r="I30" i="9"/>
  <c r="B41" i="12"/>
  <c r="K17" i="60"/>
  <c r="O81" i="65"/>
  <c r="J30" i="9"/>
  <c r="L17" i="60"/>
  <c r="J29" i="60"/>
  <c r="K38" i="60"/>
  <c r="I68" i="65"/>
  <c r="N107" i="65"/>
  <c r="H32" i="8"/>
  <c r="H25" i="8"/>
  <c r="I26" i="9"/>
  <c r="L35" i="60"/>
  <c r="J26" i="9"/>
  <c r="L26" i="60"/>
  <c r="J16" i="60"/>
  <c r="K37" i="60"/>
  <c r="H45" i="8"/>
  <c r="H19" i="8"/>
  <c r="L37" i="60"/>
  <c r="E68" i="65"/>
  <c r="N90" i="65"/>
  <c r="F11" i="9"/>
  <c r="F9" i="9" s="1"/>
  <c r="K29" i="60"/>
  <c r="C9" i="15"/>
  <c r="G40" i="8"/>
  <c r="I40" i="8" s="1"/>
  <c r="E9" i="9"/>
  <c r="D9" i="15"/>
  <c r="K8" i="60"/>
  <c r="J30" i="60"/>
  <c r="H103" i="65"/>
  <c r="K103" i="65" s="1"/>
  <c r="C43" i="12"/>
  <c r="H18" i="9"/>
  <c r="J18" i="9" s="1"/>
  <c r="N52" i="65"/>
  <c r="E30" i="18"/>
  <c r="O10" i="65"/>
  <c r="H9" i="15"/>
  <c r="J43" i="60"/>
  <c r="K43" i="60"/>
  <c r="O34" i="65"/>
  <c r="K62" i="65"/>
  <c r="I32" i="8"/>
  <c r="F43" i="12"/>
  <c r="K43" i="12" s="1"/>
  <c r="N39" i="65"/>
  <c r="K41" i="60"/>
  <c r="J41" i="60"/>
  <c r="D18" i="18"/>
  <c r="K21" i="15"/>
  <c r="K42" i="60"/>
  <c r="J42" i="60"/>
  <c r="O69" i="65"/>
  <c r="C11" i="9"/>
  <c r="B18" i="18"/>
  <c r="C22" i="9"/>
  <c r="G11" i="15"/>
  <c r="D42" i="12"/>
  <c r="D39" i="12" s="1"/>
  <c r="D36" i="12" s="1"/>
  <c r="K44" i="60"/>
  <c r="E105" i="65"/>
  <c r="B15" i="11"/>
  <c r="H18" i="8"/>
  <c r="I18" i="8"/>
  <c r="H15" i="9"/>
  <c r="H28" i="8"/>
  <c r="I28" i="8"/>
  <c r="D28" i="63"/>
  <c r="D26" i="63" s="1"/>
  <c r="I28" i="9"/>
  <c r="J28" i="9"/>
  <c r="M65" i="24"/>
  <c r="M89" i="24"/>
  <c r="O47" i="65"/>
  <c r="F15" i="11"/>
  <c r="H26" i="8"/>
  <c r="G17" i="11"/>
  <c r="F47" i="8"/>
  <c r="G47" i="8" s="1"/>
  <c r="I47" i="8" s="1"/>
  <c r="G49" i="8"/>
  <c r="I49" i="8" s="1"/>
  <c r="J42" i="12"/>
  <c r="B16" i="12"/>
  <c r="B37" i="11"/>
  <c r="M57" i="24"/>
  <c r="M63" i="24"/>
  <c r="M83" i="24"/>
  <c r="M113" i="24"/>
  <c r="M151" i="24"/>
  <c r="F16" i="11"/>
  <c r="I26" i="8"/>
  <c r="H31" i="8"/>
  <c r="I31" i="8"/>
  <c r="F28" i="63"/>
  <c r="I32" i="12"/>
  <c r="K32" i="12"/>
  <c r="M29" i="24"/>
  <c r="M38" i="24"/>
  <c r="M111" i="24"/>
  <c r="M144" i="24"/>
  <c r="D22" i="12"/>
  <c r="I17" i="8"/>
  <c r="H17" i="8"/>
  <c r="H23" i="8"/>
  <c r="G21" i="8"/>
  <c r="B23" i="11"/>
  <c r="B22" i="11" s="1"/>
  <c r="B28" i="63"/>
  <c r="I22" i="9"/>
  <c r="G18" i="11"/>
  <c r="J32" i="12"/>
  <c r="E15" i="12"/>
  <c r="M127" i="24"/>
  <c r="M136" i="24"/>
  <c r="M142" i="24"/>
  <c r="G20" i="12"/>
  <c r="M20" i="24"/>
  <c r="M24" i="24"/>
  <c r="M54" i="24"/>
  <c r="M66" i="24"/>
  <c r="M125" i="24"/>
  <c r="D39" i="11"/>
  <c r="C39" i="11"/>
  <c r="H27" i="8"/>
  <c r="D16" i="11"/>
  <c r="F22" i="12"/>
  <c r="M35" i="24"/>
  <c r="M108" i="24"/>
  <c r="M123" i="24"/>
  <c r="H32" i="12"/>
  <c r="H17" i="9"/>
  <c r="C18" i="11"/>
  <c r="M18" i="24"/>
  <c r="M26" i="24"/>
  <c r="C15" i="11"/>
  <c r="C17" i="11"/>
  <c r="E39" i="11"/>
  <c r="K41" i="12"/>
  <c r="M12" i="24"/>
  <c r="M17" i="24"/>
  <c r="M19" i="24"/>
  <c r="M23" i="24"/>
  <c r="M25" i="24"/>
  <c r="M40" i="24"/>
  <c r="M97" i="24"/>
  <c r="M106" i="24"/>
  <c r="M121" i="24"/>
  <c r="M138" i="24"/>
  <c r="M153" i="24"/>
  <c r="M156" i="24"/>
  <c r="F47" i="60"/>
  <c r="E42" i="12"/>
  <c r="E39" i="12" s="1"/>
  <c r="E36" i="12" s="1"/>
  <c r="K39" i="60"/>
  <c r="L39" i="60"/>
  <c r="J39" i="60"/>
  <c r="K47" i="65"/>
  <c r="L24" i="65"/>
  <c r="L20" i="65" s="1"/>
  <c r="L13" i="65" s="1"/>
  <c r="L12" i="65" s="1"/>
  <c r="L11" i="65" s="1"/>
  <c r="L10" i="65" s="1"/>
  <c r="L9" i="65" s="1"/>
  <c r="L29" i="65"/>
  <c r="M143" i="24"/>
  <c r="M160" i="24"/>
  <c r="J21" i="15"/>
  <c r="E9" i="15"/>
  <c r="N34" i="65"/>
  <c r="M67" i="24"/>
  <c r="M96" i="24"/>
  <c r="M98" i="24"/>
  <c r="M105" i="24"/>
  <c r="M107" i="24"/>
  <c r="M128" i="24"/>
  <c r="M150" i="24"/>
  <c r="M152" i="24"/>
  <c r="L21" i="15"/>
  <c r="D47" i="60"/>
  <c r="J36" i="60"/>
  <c r="L36" i="60"/>
  <c r="K36" i="60"/>
  <c r="C20" i="65"/>
  <c r="E47" i="60"/>
  <c r="J8" i="60"/>
  <c r="L28" i="60"/>
  <c r="K28" i="60"/>
  <c r="L31" i="60"/>
  <c r="K31" i="60"/>
  <c r="J31" i="60"/>
  <c r="G47" i="60"/>
  <c r="K10" i="65"/>
  <c r="E9" i="65"/>
  <c r="O29" i="65"/>
  <c r="K78" i="65"/>
  <c r="H68" i="65"/>
  <c r="E20" i="12"/>
  <c r="L8" i="60"/>
  <c r="L18" i="60"/>
  <c r="J28" i="60"/>
  <c r="L32" i="60"/>
  <c r="K32" i="60"/>
  <c r="K35" i="60"/>
  <c r="J35" i="60"/>
  <c r="O57" i="65"/>
  <c r="K98" i="65"/>
  <c r="K13" i="65"/>
  <c r="O13" i="65"/>
  <c r="N29" i="65"/>
  <c r="I41" i="65"/>
  <c r="K52" i="65"/>
  <c r="F41" i="65"/>
  <c r="K60" i="65"/>
  <c r="N78" i="65"/>
  <c r="D112" i="65"/>
  <c r="F98" i="65"/>
  <c r="K29" i="65"/>
  <c r="N40" i="65"/>
  <c r="N57" i="65"/>
  <c r="K107" i="65"/>
  <c r="F105" i="65"/>
  <c r="E41" i="65"/>
  <c r="N47" i="65"/>
  <c r="F68" i="65"/>
  <c r="J68" i="65"/>
  <c r="N85" i="65"/>
  <c r="O90" i="65"/>
  <c r="O107" i="65"/>
  <c r="H105" i="65"/>
  <c r="N69" i="65"/>
  <c r="K85" i="65"/>
  <c r="K90" i="65"/>
  <c r="G43" i="8" l="1"/>
  <c r="H43" i="8" s="1"/>
  <c r="I44" i="8"/>
  <c r="J19" i="9"/>
  <c r="I19" i="9"/>
  <c r="J20" i="9"/>
  <c r="I20" i="9"/>
  <c r="O98" i="65"/>
  <c r="I14" i="9"/>
  <c r="D21" i="63"/>
  <c r="D19" i="63" s="1"/>
  <c r="J24" i="9"/>
  <c r="C112" i="65"/>
  <c r="N98" i="65"/>
  <c r="I36" i="8"/>
  <c r="G39" i="8"/>
  <c r="G112" i="65"/>
  <c r="J19" i="60"/>
  <c r="K19" i="60"/>
  <c r="H112" i="65"/>
  <c r="H44" i="8"/>
  <c r="I15" i="8"/>
  <c r="F39" i="12"/>
  <c r="K39" i="12" s="1"/>
  <c r="D25" i="18"/>
  <c r="D16" i="18" s="1"/>
  <c r="E25" i="18"/>
  <c r="I112" i="65"/>
  <c r="N10" i="65"/>
  <c r="L11" i="15"/>
  <c r="G9" i="15"/>
  <c r="K11" i="15"/>
  <c r="L183" i="24"/>
  <c r="K183" i="24"/>
  <c r="B21" i="63"/>
  <c r="B19" i="63" s="1"/>
  <c r="B39" i="12"/>
  <c r="B36" i="12" s="1"/>
  <c r="J11" i="15"/>
  <c r="H15" i="8"/>
  <c r="I16" i="9"/>
  <c r="K20" i="65"/>
  <c r="K22" i="12"/>
  <c r="J112" i="65"/>
  <c r="F26" i="63"/>
  <c r="E9" i="8"/>
  <c r="F10" i="63"/>
  <c r="C30" i="63"/>
  <c r="C26" i="63" s="1"/>
  <c r="I18" i="9"/>
  <c r="B30" i="63"/>
  <c r="B26" i="63" s="1"/>
  <c r="D38" i="8"/>
  <c r="D36" i="8" s="1"/>
  <c r="D13" i="18" s="1"/>
  <c r="J43" i="12"/>
  <c r="J39" i="12" s="1"/>
  <c r="C39" i="12"/>
  <c r="C36" i="12" s="1"/>
  <c r="I43" i="12"/>
  <c r="C10" i="63"/>
  <c r="D11" i="18"/>
  <c r="C14" i="11"/>
  <c r="C11" i="11" s="1"/>
  <c r="C29" i="11" s="1"/>
  <c r="I42" i="12"/>
  <c r="B14" i="11"/>
  <c r="B11" i="11" s="1"/>
  <c r="B29" i="11" s="1"/>
  <c r="K41" i="65"/>
  <c r="K42" i="12"/>
  <c r="B16" i="18"/>
  <c r="K68" i="65"/>
  <c r="N41" i="65"/>
  <c r="E19" i="18"/>
  <c r="E18" i="18" s="1"/>
  <c r="N20" i="65"/>
  <c r="C9" i="9"/>
  <c r="K28" i="12"/>
  <c r="M134" i="24"/>
  <c r="O68" i="65"/>
  <c r="D18" i="12"/>
  <c r="F39" i="11"/>
  <c r="H18" i="12"/>
  <c r="B41" i="11"/>
  <c r="B15" i="63"/>
  <c r="M22" i="24"/>
  <c r="D38" i="11"/>
  <c r="C17" i="12"/>
  <c r="C38" i="11"/>
  <c r="E38" i="11"/>
  <c r="J17" i="9"/>
  <c r="I17" i="9"/>
  <c r="H20" i="12"/>
  <c r="H21" i="8"/>
  <c r="G16" i="11"/>
  <c r="F15" i="63"/>
  <c r="F41" i="11"/>
  <c r="H47" i="8"/>
  <c r="H17" i="11"/>
  <c r="O41" i="65"/>
  <c r="E18" i="12"/>
  <c r="J13" i="9"/>
  <c r="H11" i="9"/>
  <c r="I13" i="9"/>
  <c r="M120" i="24"/>
  <c r="F112" i="65"/>
  <c r="K9" i="65"/>
  <c r="O9" i="65"/>
  <c r="K47" i="60"/>
  <c r="D45" i="11"/>
  <c r="D43" i="11" s="1"/>
  <c r="C45" i="11"/>
  <c r="C43" i="11" s="1"/>
  <c r="C21" i="63"/>
  <c r="C19" i="63" s="1"/>
  <c r="E17" i="12"/>
  <c r="H16" i="12"/>
  <c r="M114" i="24"/>
  <c r="M159" i="24"/>
  <c r="G41" i="11"/>
  <c r="G15" i="63"/>
  <c r="C22" i="12"/>
  <c r="J22" i="12" s="1"/>
  <c r="J28" i="12"/>
  <c r="B13" i="18"/>
  <c r="D36" i="11"/>
  <c r="C15" i="12"/>
  <c r="C36" i="11"/>
  <c r="E36" i="11"/>
  <c r="E16" i="12"/>
  <c r="J15" i="9"/>
  <c r="I15" i="9"/>
  <c r="N9" i="65"/>
  <c r="E112" i="65"/>
  <c r="L47" i="60"/>
  <c r="G45" i="11"/>
  <c r="G21" i="63"/>
  <c r="J47" i="60"/>
  <c r="F21" i="63"/>
  <c r="F19" i="63" s="1"/>
  <c r="F45" i="11"/>
  <c r="F43" i="11" s="1"/>
  <c r="G16" i="12"/>
  <c r="N68" i="65"/>
  <c r="D37" i="11"/>
  <c r="C37" i="11"/>
  <c r="E37" i="11"/>
  <c r="C16" i="12"/>
  <c r="M16" i="24"/>
  <c r="D41" i="11"/>
  <c r="C20" i="12"/>
  <c r="C41" i="11"/>
  <c r="E41" i="11"/>
  <c r="C15" i="63"/>
  <c r="M58" i="24"/>
  <c r="F11" i="8"/>
  <c r="D16" i="12"/>
  <c r="F37" i="11"/>
  <c r="H15" i="11"/>
  <c r="G42" i="8"/>
  <c r="M45" i="24"/>
  <c r="E22" i="11"/>
  <c r="E29" i="11" s="1"/>
  <c r="B11" i="18"/>
  <c r="C9" i="8"/>
  <c r="O105" i="65"/>
  <c r="N105" i="65"/>
  <c r="K105" i="65"/>
  <c r="B17" i="12"/>
  <c r="B13" i="12" s="1"/>
  <c r="B38" i="11"/>
  <c r="B35" i="11" s="1"/>
  <c r="M95" i="24"/>
  <c r="D17" i="12"/>
  <c r="F38" i="11"/>
  <c r="G17" i="12"/>
  <c r="H18" i="11"/>
  <c r="I22" i="12"/>
  <c r="I28" i="12" s="1"/>
  <c r="H17" i="12"/>
  <c r="M76" i="24"/>
  <c r="H49" i="8"/>
  <c r="F14" i="11"/>
  <c r="F11" i="11" s="1"/>
  <c r="M155" i="24"/>
  <c r="G26" i="11" l="1"/>
  <c r="H26" i="11" s="1"/>
  <c r="I39" i="8"/>
  <c r="F23" i="11"/>
  <c r="I42" i="8"/>
  <c r="G28" i="63"/>
  <c r="H28" i="63" s="1"/>
  <c r="I43" i="8"/>
  <c r="B9" i="18"/>
  <c r="E16" i="18"/>
  <c r="F36" i="12"/>
  <c r="J36" i="12" s="1"/>
  <c r="G30" i="63"/>
  <c r="H30" i="63" s="1"/>
  <c r="G38" i="8"/>
  <c r="I38" i="8" s="1"/>
  <c r="E13" i="12"/>
  <c r="E11" i="12" s="1"/>
  <c r="E9" i="12" s="1"/>
  <c r="F9" i="8"/>
  <c r="G9" i="8" s="1"/>
  <c r="G25" i="11"/>
  <c r="H25" i="11" s="1"/>
  <c r="D9" i="8"/>
  <c r="I39" i="12"/>
  <c r="K9" i="15"/>
  <c r="L9" i="15"/>
  <c r="J9" i="15"/>
  <c r="D9" i="18"/>
  <c r="B14" i="63"/>
  <c r="B12" i="63" s="1"/>
  <c r="B11" i="12"/>
  <c r="B9" i="12" s="1"/>
  <c r="N112" i="65"/>
  <c r="K112" i="65"/>
  <c r="B33" i="11"/>
  <c r="B50" i="11" s="1"/>
  <c r="H41" i="11"/>
  <c r="H15" i="63"/>
  <c r="F35" i="11"/>
  <c r="F33" i="11" s="1"/>
  <c r="F50" i="11" s="1"/>
  <c r="G43" i="11"/>
  <c r="H45" i="11"/>
  <c r="F16" i="12"/>
  <c r="K16" i="12" s="1"/>
  <c r="M37" i="24"/>
  <c r="G37" i="11"/>
  <c r="H37" i="11" s="1"/>
  <c r="F18" i="12"/>
  <c r="I18" i="12" s="1"/>
  <c r="G39" i="11"/>
  <c r="M154" i="24"/>
  <c r="H42" i="8"/>
  <c r="D13" i="12"/>
  <c r="E35" i="11"/>
  <c r="D35" i="11"/>
  <c r="D33" i="11" s="1"/>
  <c r="D50" i="11" s="1"/>
  <c r="K20" i="12"/>
  <c r="O112" i="65"/>
  <c r="F12" i="63"/>
  <c r="H16" i="11"/>
  <c r="J20" i="12"/>
  <c r="M11" i="24"/>
  <c r="G36" i="11"/>
  <c r="F15" i="12"/>
  <c r="J15" i="12" s="1"/>
  <c r="C35" i="11"/>
  <c r="C33" i="11" s="1"/>
  <c r="C50" i="11" s="1"/>
  <c r="M94" i="24"/>
  <c r="G38" i="11"/>
  <c r="H38" i="11" s="1"/>
  <c r="F17" i="12"/>
  <c r="K17" i="12" s="1"/>
  <c r="J11" i="9"/>
  <c r="H9" i="9"/>
  <c r="I11" i="9"/>
  <c r="I20" i="12"/>
  <c r="I13" i="8"/>
  <c r="G14" i="11"/>
  <c r="G11" i="11" s="1"/>
  <c r="H13" i="8"/>
  <c r="G11" i="8"/>
  <c r="G13" i="12"/>
  <c r="G19" i="63"/>
  <c r="H19" i="63" s="1"/>
  <c r="H21" i="63"/>
  <c r="C13" i="12"/>
  <c r="H13" i="12"/>
  <c r="I36" i="12" l="1"/>
  <c r="F22" i="11"/>
  <c r="F29" i="11" s="1"/>
  <c r="H23" i="11"/>
  <c r="K36" i="12"/>
  <c r="I9" i="8"/>
  <c r="H11" i="12"/>
  <c r="H9" i="12" s="1"/>
  <c r="G26" i="63"/>
  <c r="H26" i="63" s="1"/>
  <c r="G22" i="11"/>
  <c r="H9" i="8"/>
  <c r="F13" i="12"/>
  <c r="F11" i="12" s="1"/>
  <c r="F9" i="12" s="1"/>
  <c r="J16" i="12"/>
  <c r="I16" i="12"/>
  <c r="G11" i="12"/>
  <c r="G9" i="12" s="1"/>
  <c r="J9" i="9"/>
  <c r="I9" i="9"/>
  <c r="G35" i="11"/>
  <c r="H36" i="11"/>
  <c r="H43" i="11"/>
  <c r="H14" i="11"/>
  <c r="E33" i="11"/>
  <c r="M183" i="24"/>
  <c r="G12" i="63"/>
  <c r="G14" i="63" s="1"/>
  <c r="J17" i="12"/>
  <c r="H39" i="11"/>
  <c r="C11" i="12"/>
  <c r="C14" i="63"/>
  <c r="H11" i="8"/>
  <c r="G10" i="63"/>
  <c r="I11" i="8"/>
  <c r="E11" i="18"/>
  <c r="H36" i="8"/>
  <c r="K15" i="12"/>
  <c r="I15" i="12"/>
  <c r="D11" i="12"/>
  <c r="F14" i="63"/>
  <c r="I17" i="12"/>
  <c r="K18" i="12"/>
  <c r="J18" i="12"/>
  <c r="H22" i="11" l="1"/>
  <c r="G17" i="63"/>
  <c r="G32" i="63" s="1"/>
  <c r="J13" i="12"/>
  <c r="E9" i="18"/>
  <c r="H12" i="63"/>
  <c r="H14" i="63"/>
  <c r="E50" i="11"/>
  <c r="E52" i="11" s="1"/>
  <c r="G33" i="11"/>
  <c r="H35" i="11"/>
  <c r="K13" i="12"/>
  <c r="J11" i="12"/>
  <c r="D9" i="12"/>
  <c r="H11" i="11"/>
  <c r="G29" i="11"/>
  <c r="I13" i="12"/>
  <c r="H10" i="63"/>
  <c r="C9" i="12"/>
  <c r="C12" i="63"/>
  <c r="H29" i="11" l="1"/>
  <c r="K9" i="12"/>
  <c r="K11" i="12"/>
  <c r="I11" i="12"/>
  <c r="G50" i="11"/>
  <c r="H50" i="11" s="1"/>
  <c r="H33" i="11"/>
  <c r="G52" i="11" l="1"/>
  <c r="I9" i="12"/>
  <c r="J9" i="12"/>
  <c r="E25" i="12"/>
  <c r="F25" i="12"/>
  <c r="F23" i="12"/>
  <c r="E23" i="12"/>
  <c r="V54" i="24"/>
  <c r="F26" i="12"/>
  <c r="E26" i="12"/>
  <c r="F24" i="12"/>
  <c r="E24" i="12"/>
</calcChain>
</file>

<file path=xl/sharedStrings.xml><?xml version="1.0" encoding="utf-8"?>
<sst xmlns="http://schemas.openxmlformats.org/spreadsheetml/2006/main" count="1261" uniqueCount="643">
  <si>
    <t>DETALLE</t>
  </si>
  <si>
    <t>P R E S U P U E S T O</t>
  </si>
  <si>
    <t>LEY</t>
  </si>
  <si>
    <t>MODIFICADO</t>
  </si>
  <si>
    <t>MODIFICAD0</t>
  </si>
  <si>
    <t>EJECUTADO</t>
  </si>
  <si>
    <t>INGRESOS</t>
  </si>
  <si>
    <t>Ingresos Corrientes</t>
  </si>
  <si>
    <t>Ingresos de Capital</t>
  </si>
  <si>
    <t>EGRESOS</t>
  </si>
  <si>
    <t>FUNCIONAMIENTO</t>
  </si>
  <si>
    <t xml:space="preserve">  </t>
  </si>
  <si>
    <t xml:space="preserve"> </t>
  </si>
  <si>
    <t>Dirección y Administración General</t>
  </si>
  <si>
    <t>Educación Superior Tecnológica</t>
  </si>
  <si>
    <t>Investigación, Post Grado y Extensión</t>
  </si>
  <si>
    <t>INVERSIONES</t>
  </si>
  <si>
    <t>Construcciones Educativas</t>
  </si>
  <si>
    <t>Mobiliario, Libros y Equipos Educ.</t>
  </si>
  <si>
    <t>Transferencia de Tecnología</t>
  </si>
  <si>
    <t xml:space="preserve">   Fuente: Dirección nacional de Presupuesto.</t>
  </si>
  <si>
    <t>TOTAL</t>
  </si>
  <si>
    <t>APORTE ESTATAL</t>
  </si>
  <si>
    <t>Fuente: Dirección Nacional de Presupuesto</t>
  </si>
  <si>
    <t>VARIACION</t>
  </si>
  <si>
    <t>ASIGNADO</t>
  </si>
  <si>
    <t>ABSOLUTA</t>
  </si>
  <si>
    <t>RELATIVA</t>
  </si>
  <si>
    <t xml:space="preserve">            T  O  T   A   L...</t>
  </si>
  <si>
    <t xml:space="preserve"> I  Ingresos Corrientes</t>
  </si>
  <si>
    <t xml:space="preserve">    3. Tasa y Derechos</t>
  </si>
  <si>
    <t xml:space="preserve"> II  Ingreso de Capital</t>
  </si>
  <si>
    <t>T   O   T   A   L</t>
  </si>
  <si>
    <t>INGRESOS PROPIOS</t>
  </si>
  <si>
    <t xml:space="preserve">   OTROS SER. AUTOGESTION</t>
  </si>
  <si>
    <t xml:space="preserve">   MATRICULA-DERECHOS</t>
  </si>
  <si>
    <t xml:space="preserve">   OTROS - BIBLIOTECA</t>
  </si>
  <si>
    <t xml:space="preserve">   TASAS</t>
  </si>
  <si>
    <t xml:space="preserve">   INGRESOS VARIOS</t>
  </si>
  <si>
    <t xml:space="preserve">   SALDO EN CAJA (CAPITAL)</t>
  </si>
  <si>
    <t>Fuente: Dirección Nacional de Presupuesto.</t>
  </si>
  <si>
    <t>EJECUCIÓN PORCENTUAL</t>
  </si>
  <si>
    <t>COMPROMETIDO</t>
  </si>
  <si>
    <t>PAGADO</t>
  </si>
  <si>
    <t xml:space="preserve">   Fuente: Dirección Nacional de Presupuesto.</t>
  </si>
  <si>
    <t>TRANSFERENCIAS CORRIENTES</t>
  </si>
  <si>
    <t>TRANSFERENCIAS DE CAPITAL</t>
  </si>
  <si>
    <t>DEVENGADO</t>
  </si>
  <si>
    <t xml:space="preserve">  Fuente: Dirección Nacional de Presupuesto.</t>
  </si>
  <si>
    <t>PRESUPUESTO</t>
  </si>
  <si>
    <t>SALDO</t>
  </si>
  <si>
    <t>A LA FECHA</t>
  </si>
  <si>
    <t>ANUAL</t>
  </si>
  <si>
    <t>DIRECCION Y ADMON  GENERAL</t>
  </si>
  <si>
    <t>EDUC. SUPERIOR TECNOLOGICA</t>
  </si>
  <si>
    <t>EJECUCION PORCENTUAL</t>
  </si>
  <si>
    <t xml:space="preserve"> I. Ingresos Corrientes</t>
  </si>
  <si>
    <t>GASTOS</t>
  </si>
  <si>
    <t xml:space="preserve"> I.   Gastos Corrientes</t>
  </si>
  <si>
    <t xml:space="preserve"> II     Gastos de Capital</t>
  </si>
  <si>
    <t>Resultados Presupuestarios</t>
  </si>
  <si>
    <t>UNIVERSIDAD TECNOLÓGICA DE PANAMÁ</t>
  </si>
  <si>
    <t>DIRECCIÓN NACIONAL DE PRESUPUESTO</t>
  </si>
  <si>
    <t>RECAUDACIÓN PRESUPUESTARIA SEGÚN GRUPO DE INGRESOS</t>
  </si>
  <si>
    <t>CODIFICACIÓN</t>
  </si>
  <si>
    <t>RECAUDACION</t>
  </si>
  <si>
    <t xml:space="preserve"> MODIFICADO</t>
  </si>
  <si>
    <t>MENSUAL</t>
  </si>
  <si>
    <t>ACUMULADO</t>
  </si>
  <si>
    <t>PORCENTUAL</t>
  </si>
  <si>
    <t>1.95.1</t>
  </si>
  <si>
    <t>1.95.1.2</t>
  </si>
  <si>
    <t xml:space="preserve">    1.  No Tributarios</t>
  </si>
  <si>
    <t>1.95.1.2.1</t>
  </si>
  <si>
    <t xml:space="preserve">      1.1  Renta de Activos</t>
  </si>
  <si>
    <t>1.95.1.2.1.4</t>
  </si>
  <si>
    <t xml:space="preserve">          1.1.1 Ing. por Vtas. de Servicios</t>
  </si>
  <si>
    <t>1.95.1.2.1.4.12</t>
  </si>
  <si>
    <t xml:space="preserve">              1.1.1.1 Lab. y C. Especializados.</t>
  </si>
  <si>
    <t>1.95.1.2.1.4.99</t>
  </si>
  <si>
    <t xml:space="preserve">              1.1.1.2 Otros Servicios-Autogestión.</t>
  </si>
  <si>
    <t>1.95.1.2.3</t>
  </si>
  <si>
    <t xml:space="preserve">    2.  Transferencias Corrientes</t>
  </si>
  <si>
    <t xml:space="preserve"> 1.95.1.2.3.1</t>
  </si>
  <si>
    <t xml:space="preserve">      2. 1  Gobierno Central</t>
  </si>
  <si>
    <t>1.95.2.3.1.07</t>
  </si>
  <si>
    <t xml:space="preserve">           2.1.1  Ministerio de Educación.</t>
  </si>
  <si>
    <t>1.95.1.2.4</t>
  </si>
  <si>
    <t>1.95.1.2.4.2.26</t>
  </si>
  <si>
    <t xml:space="preserve">      3.1 Tasas por Servicios</t>
  </si>
  <si>
    <t>1.95.1.2.4.1.24</t>
  </si>
  <si>
    <t xml:space="preserve">      3.2. Derechos</t>
  </si>
  <si>
    <t>1.95.1.2.4.1.97</t>
  </si>
  <si>
    <t xml:space="preserve">      3.3. Otros  -Biblioteca</t>
  </si>
  <si>
    <t>1.95.1.2.6</t>
  </si>
  <si>
    <t>1.95.1.2.6.1.99</t>
  </si>
  <si>
    <t xml:space="preserve">       4.1. Otros Ing. Varios</t>
  </si>
  <si>
    <t>1.95.2</t>
  </si>
  <si>
    <t>1.95.2.3</t>
  </si>
  <si>
    <t xml:space="preserve">    1. Otros Ingresos de Capital</t>
  </si>
  <si>
    <t>1.95.2.3.2</t>
  </si>
  <si>
    <t xml:space="preserve">      1.1  Transferencias de Capital</t>
  </si>
  <si>
    <t>1.95.2.3.2.1</t>
  </si>
  <si>
    <t xml:space="preserve">          1.1.1  Gobierno Central</t>
  </si>
  <si>
    <t>1.95.2.3.2.1.07</t>
  </si>
  <si>
    <t xml:space="preserve">             1.1.1.1 Ministerio de Educación</t>
  </si>
  <si>
    <t>1.95.2.4</t>
  </si>
  <si>
    <t xml:space="preserve">     2. Saldo en Caja y Banco</t>
  </si>
  <si>
    <t>1.95.2.4.1</t>
  </si>
  <si>
    <t xml:space="preserve">      2.1. Disponible en Caja y  Banco.</t>
  </si>
  <si>
    <t>1.95.2.4.1.2</t>
  </si>
  <si>
    <t xml:space="preserve">          2.1.1  Instituc. Descentralizadas</t>
  </si>
  <si>
    <t>1.95.2.4.1.2.01</t>
  </si>
  <si>
    <t xml:space="preserve">             2.1.1.1 Saldo de Capital</t>
  </si>
  <si>
    <t xml:space="preserve">   B. Transf. de Capital</t>
  </si>
  <si>
    <t xml:space="preserve">       Gobierno Central.</t>
  </si>
  <si>
    <t>RECAUDACIÓN PRESUPUESTARIA SEGÚN OBJETO DE INGRESOS</t>
  </si>
  <si>
    <t xml:space="preserve">  CODIFICACION PRESUPUESTARIA</t>
  </si>
  <si>
    <t xml:space="preserve"> RECAUDACION</t>
  </si>
  <si>
    <t>ACUMULADA</t>
  </si>
  <si>
    <t>ABOLUTA</t>
  </si>
  <si>
    <t xml:space="preserve"> 1.2.1.4.12</t>
  </si>
  <si>
    <t xml:space="preserve"> 1.2.1.4.99</t>
  </si>
  <si>
    <t>1.2.4.1.24</t>
  </si>
  <si>
    <t>1.2.4.1.97</t>
  </si>
  <si>
    <t>1.2.4.2.26</t>
  </si>
  <si>
    <t>1.2.6.1.99</t>
  </si>
  <si>
    <t xml:space="preserve">   SALDO EN CAJA  (CORRIENTE)</t>
  </si>
  <si>
    <t>1.4.1.2.01</t>
  </si>
  <si>
    <t>2.4.1.2.01</t>
  </si>
  <si>
    <t>1.2.3.1.07</t>
  </si>
  <si>
    <t xml:space="preserve">   APORTE LIBRE</t>
  </si>
  <si>
    <t xml:space="preserve">   I.D.A.A.N.</t>
  </si>
  <si>
    <t>CONTRIBUCIÓN A LA S. S</t>
  </si>
  <si>
    <t>2.3.2.1.07</t>
  </si>
  <si>
    <t xml:space="preserve">                                    ,   </t>
  </si>
  <si>
    <t>}</t>
  </si>
  <si>
    <t>.</t>
  </si>
  <si>
    <t xml:space="preserve">  FLUJO PRESUPUESTARIO DE INGRESOS Y GASTOS</t>
  </si>
  <si>
    <t xml:space="preserve">   A. Ingresos Tributarios</t>
  </si>
  <si>
    <t xml:space="preserve">   B. Ingresos No Tributarios</t>
  </si>
  <si>
    <t xml:space="preserve">       1.Renta de Activos.</t>
  </si>
  <si>
    <t xml:space="preserve">       2. Transf. Corrientes</t>
  </si>
  <si>
    <t xml:space="preserve">       3. Tasas y Derechos</t>
  </si>
  <si>
    <t xml:space="preserve">       4. Ingresos Varios</t>
  </si>
  <si>
    <t xml:space="preserve">   A.  Saldo Inicial en Caja y Bco.</t>
  </si>
  <si>
    <t xml:space="preserve">   B.  Recursos del Crédito</t>
  </si>
  <si>
    <t xml:space="preserve">   C.  Otros Rec. de Capital</t>
  </si>
  <si>
    <t xml:space="preserve">        1. Transf. de Capital</t>
  </si>
  <si>
    <t xml:space="preserve">   D.   Menos S. Final en Caja</t>
  </si>
  <si>
    <t xml:space="preserve">      Total Final en Caja</t>
  </si>
  <si>
    <t xml:space="preserve">    A. Operaciòn</t>
  </si>
  <si>
    <t xml:space="preserve">        1.  Servicios Personales</t>
  </si>
  <si>
    <t xml:space="preserve">        2.  Serv. No Personales</t>
  </si>
  <si>
    <t xml:space="preserve">        3.  Materiales y Suministro</t>
  </si>
  <si>
    <t xml:space="preserve">        4.  Inversiones Fínancieras</t>
  </si>
  <si>
    <t xml:space="preserve">    B.  Transf. Corrientes</t>
  </si>
  <si>
    <t xml:space="preserve">      A.  Inversiones Fìsicas</t>
  </si>
  <si>
    <t xml:space="preserve">      B.  Inversiones Financieras</t>
  </si>
  <si>
    <t xml:space="preserve">      C   Transf. de Capital</t>
  </si>
  <si>
    <t xml:space="preserve">      D  Amortización de la Deuda.</t>
  </si>
  <si>
    <t xml:space="preserve">           Total de Gastos </t>
  </si>
  <si>
    <t xml:space="preserve"> BALANCE PRESUPUESTARIO ACUMULADO DE GASTO</t>
  </si>
  <si>
    <t xml:space="preserve">         P R E S U P U E S T O</t>
  </si>
  <si>
    <t xml:space="preserve">                T   O   T    A    L</t>
  </si>
  <si>
    <t xml:space="preserve">    I  Gastos Corrientes</t>
  </si>
  <si>
    <t xml:space="preserve">       A. Operación</t>
  </si>
  <si>
    <t xml:space="preserve">          I.  Servicios Personales</t>
  </si>
  <si>
    <t xml:space="preserve">          2.  Serv. No Personales</t>
  </si>
  <si>
    <t xml:space="preserve">          3.  Materiales y Suministro</t>
  </si>
  <si>
    <t xml:space="preserve">          4.  Inversiones Directas</t>
  </si>
  <si>
    <t xml:space="preserve">       B. Transferencias</t>
  </si>
  <si>
    <t xml:space="preserve">     </t>
  </si>
  <si>
    <t xml:space="preserve">         1.  Al Sector Público.</t>
  </si>
  <si>
    <t xml:space="preserve">               a. Gobierno Central</t>
  </si>
  <si>
    <t xml:space="preserve">               b. Ent. Descentral.</t>
  </si>
  <si>
    <t xml:space="preserve">               c. Empresas Pùblicas</t>
  </si>
  <si>
    <t xml:space="preserve">               d. Municipios</t>
  </si>
  <si>
    <t xml:space="preserve">           a. Gobierno Central</t>
  </si>
  <si>
    <t xml:space="preserve">           b. Entidades   Descent.ral. </t>
  </si>
  <si>
    <t xml:space="preserve">           c. Empresasa Públicas</t>
  </si>
  <si>
    <t xml:space="preserve">        2. Transferencias al Exterior</t>
  </si>
  <si>
    <t xml:space="preserve">       A.  Inversiones Físicas</t>
  </si>
  <si>
    <t xml:space="preserve">          I. Obras y Construcciones</t>
  </si>
  <si>
    <t xml:space="preserve">          2. Maquinaria y Equipo.</t>
  </si>
  <si>
    <t xml:space="preserve">          3. Investig. Y Transf. de Tec.</t>
  </si>
  <si>
    <t xml:space="preserve">CUADRO A-6A. EJECUCION PRESUPUESTARIA  DE FUNCIONAMIENTO </t>
  </si>
  <si>
    <t>O/G</t>
  </si>
  <si>
    <t>EJECUCIÓN</t>
  </si>
  <si>
    <t>DEVENGADO ACUMULADO</t>
  </si>
  <si>
    <t>PAGADO ACUMULADO</t>
  </si>
  <si>
    <t>EJECUCIÓN  PORCENTUAL</t>
  </si>
  <si>
    <t>COLUMNA SUMATORIA</t>
  </si>
  <si>
    <t>0</t>
  </si>
  <si>
    <t>SERVICIOS PERSONALES</t>
  </si>
  <si>
    <t>000</t>
  </si>
  <si>
    <t>SUELDOS FIJOS</t>
  </si>
  <si>
    <t>001</t>
  </si>
  <si>
    <t>002</t>
  </si>
  <si>
    <t>SUELDO PERSONAL TRANS.</t>
  </si>
  <si>
    <t>003</t>
  </si>
  <si>
    <t>CONTINGENTE</t>
  </si>
  <si>
    <t>010</t>
  </si>
  <si>
    <t xml:space="preserve">SOBRESUELDOS </t>
  </si>
  <si>
    <t>011</t>
  </si>
  <si>
    <t>SOBRESUELDO POR ANTIG.</t>
  </si>
  <si>
    <t>013</t>
  </si>
  <si>
    <t>SOBRESUELDOS POR JEF.</t>
  </si>
  <si>
    <t>019</t>
  </si>
  <si>
    <t>OTROS SOBRESUELDOS</t>
  </si>
  <si>
    <t>030</t>
  </si>
  <si>
    <t>GASTOS DE REPRES.</t>
  </si>
  <si>
    <t>050</t>
  </si>
  <si>
    <t>XIII MES</t>
  </si>
  <si>
    <t>070</t>
  </si>
  <si>
    <t>CONTRIBUC. A LA S.S.</t>
  </si>
  <si>
    <t>071</t>
  </si>
  <si>
    <t>C.P. SEG. SOCIAL</t>
  </si>
  <si>
    <t>072</t>
  </si>
  <si>
    <t>C.P. SEG. EDUCATIVO</t>
  </si>
  <si>
    <t>073</t>
  </si>
  <si>
    <t>C.P. RIESGO PROF.</t>
  </si>
  <si>
    <t>074</t>
  </si>
  <si>
    <t>C.P. FDO COMPLEM.</t>
  </si>
  <si>
    <t>080</t>
  </si>
  <si>
    <t>OTROS SERV. PERSONALES</t>
  </si>
  <si>
    <t>081</t>
  </si>
  <si>
    <t>GRATIFICACIÓN O AGUINALDO</t>
  </si>
  <si>
    <t>090</t>
  </si>
  <si>
    <t>CR.REC.POR S. PERSONAL</t>
  </si>
  <si>
    <t>091</t>
  </si>
  <si>
    <t>CRED.REC.POR SUELDO</t>
  </si>
  <si>
    <t>092</t>
  </si>
  <si>
    <t>CRED. REC. POR SOBRESURLDOS</t>
  </si>
  <si>
    <t>094</t>
  </si>
  <si>
    <t>CRED. REC. GASTOS E REPRES.</t>
  </si>
  <si>
    <t>096</t>
  </si>
  <si>
    <t>CRED.REC.POR DECIMO III</t>
  </si>
  <si>
    <t>097</t>
  </si>
  <si>
    <t>CRE.REC.POR OTROS SERVICIOS ESP.</t>
  </si>
  <si>
    <t>099</t>
  </si>
  <si>
    <t>CRE.REC.POR CONT. SGURIDAD SOC.</t>
  </si>
  <si>
    <t>1</t>
  </si>
  <si>
    <t>SERV. NO PERSONALES</t>
  </si>
  <si>
    <t>ALQUILERES</t>
  </si>
  <si>
    <t>101</t>
  </si>
  <si>
    <t>DE EDIFICIOS</t>
  </si>
  <si>
    <t>102</t>
  </si>
  <si>
    <t>EQUIPO ELECTRONICO</t>
  </si>
  <si>
    <t>103</t>
  </si>
  <si>
    <t>EQUIPO DE OFICINA</t>
  </si>
  <si>
    <t>104</t>
  </si>
  <si>
    <t>ALQ. DE EQ. DE PROD.</t>
  </si>
  <si>
    <t>105</t>
  </si>
  <si>
    <t>ALQ. DE EQ. DE TRANSPORTE</t>
  </si>
  <si>
    <t>109</t>
  </si>
  <si>
    <t>OTROS ALQUILERES</t>
  </si>
  <si>
    <t>110</t>
  </si>
  <si>
    <t>SERVICIOS BASICOS</t>
  </si>
  <si>
    <t>111</t>
  </si>
  <si>
    <t>AGUA</t>
  </si>
  <si>
    <t>112</t>
  </si>
  <si>
    <t>ASEO</t>
  </si>
  <si>
    <t>113</t>
  </si>
  <si>
    <t>CORREO</t>
  </si>
  <si>
    <t>114</t>
  </si>
  <si>
    <t>ENERGIA ELECTRICA</t>
  </si>
  <si>
    <t>115</t>
  </si>
  <si>
    <t>TELECOMUNICACIONES</t>
  </si>
  <si>
    <t>SERVICIO TRASMISION DATOS</t>
  </si>
  <si>
    <t>SERVICIO DE TELEFONÍA CELULAR</t>
  </si>
  <si>
    <t>OTROS SERVICIOS BASICOS</t>
  </si>
  <si>
    <t>IMPRESOS Y ENCUADER.</t>
  </si>
  <si>
    <t>130</t>
  </si>
  <si>
    <t>INF.Y PUBLICIDAD</t>
  </si>
  <si>
    <t>131</t>
  </si>
  <si>
    <t>ANUNCIOS Y AVISOS</t>
  </si>
  <si>
    <t>132</t>
  </si>
  <si>
    <t>PROMOCION Y PUBLICIDAD</t>
  </si>
  <si>
    <t>140</t>
  </si>
  <si>
    <t>VIATICOS</t>
  </si>
  <si>
    <t>141</t>
  </si>
  <si>
    <t>DENTRO DEL PAIS</t>
  </si>
  <si>
    <t>142</t>
  </si>
  <si>
    <t>EN EL EXTERIOR</t>
  </si>
  <si>
    <t>A PERSONAS</t>
  </si>
  <si>
    <t>150</t>
  </si>
  <si>
    <t>TRANSPORTE</t>
  </si>
  <si>
    <t>151</t>
  </si>
  <si>
    <t>152</t>
  </si>
  <si>
    <t>DE OTRAS PERSONAS</t>
  </si>
  <si>
    <t>TRANSPORTE DE BIENES</t>
  </si>
  <si>
    <t>160</t>
  </si>
  <si>
    <t>S. COMERCIALES</t>
  </si>
  <si>
    <t>GASTOS BANCARIOS</t>
  </si>
  <si>
    <t>163</t>
  </si>
  <si>
    <t>GASTOS JUDICIALES</t>
  </si>
  <si>
    <t>164</t>
  </si>
  <si>
    <t>GASTOS DE SEGURO</t>
  </si>
  <si>
    <t>SERVICIOS ADUANEROS</t>
  </si>
  <si>
    <t>169</t>
  </si>
  <si>
    <t>OTROS SERVICIOS</t>
  </si>
  <si>
    <t>CONSULTORIAS Y SERV</t>
  </si>
  <si>
    <t xml:space="preserve">CONSULTORIAS </t>
  </si>
  <si>
    <t>172</t>
  </si>
  <si>
    <t>SERVICIOS ESPECIALES</t>
  </si>
  <si>
    <t>180</t>
  </si>
  <si>
    <t>MANTO Y REPARACION</t>
  </si>
  <si>
    <t>MANT. Y REPARACION  EDIF.</t>
  </si>
  <si>
    <t>182</t>
  </si>
  <si>
    <t>MANT. Y REPARACION MAQ. OTROS</t>
  </si>
  <si>
    <t>MANT. Y REPARACION  MOBILIARIOS</t>
  </si>
  <si>
    <t>MANT. Y REPARACION  OBRAS</t>
  </si>
  <si>
    <t>MANT. DE EQUIPOS DE COMP.</t>
  </si>
  <si>
    <t>OTROS MANTENIMIENTO</t>
  </si>
  <si>
    <t>CRED.REC. POR SERVICIOS NO PERS.</t>
  </si>
  <si>
    <t>CRED.REC.POR AlQUILERES</t>
  </si>
  <si>
    <t>CRED.REC.POR SERV. BÁSICOS</t>
  </si>
  <si>
    <t>CRED.REC.POR IMPRESIÓN Y ENC.</t>
  </si>
  <si>
    <t>CRED.REC.POR INFORMACIÓN Y PUB.</t>
  </si>
  <si>
    <t>CRED.REC.POR VIÁTICOS</t>
  </si>
  <si>
    <t>CRED.REC.POR TRANSP. PERSONAS</t>
  </si>
  <si>
    <t>CRED.REC.POR SERV. COMERCIALES</t>
  </si>
  <si>
    <t>CRED.REC.POR MANTO. Y REPARAC.</t>
  </si>
  <si>
    <t>2</t>
  </si>
  <si>
    <t>MATER.Y SUMINISTROS</t>
  </si>
  <si>
    <t>200</t>
  </si>
  <si>
    <t>ALIMENTOS Y BEBIDAS</t>
  </si>
  <si>
    <t>201</t>
  </si>
  <si>
    <t>PARA CONSUMO HUMANO</t>
  </si>
  <si>
    <t>203</t>
  </si>
  <si>
    <t>BEBIDAS</t>
  </si>
  <si>
    <t>210</t>
  </si>
  <si>
    <t>TEXTILES Y VESTUARIOS</t>
  </si>
  <si>
    <t>211</t>
  </si>
  <si>
    <t>ACABADO TEXTIL</t>
  </si>
  <si>
    <t>212</t>
  </si>
  <si>
    <t>CALZADOS</t>
  </si>
  <si>
    <t>213</t>
  </si>
  <si>
    <t>HILADOS Y TELAS</t>
  </si>
  <si>
    <t>214</t>
  </si>
  <si>
    <t>PRENDAS DE VESTIR</t>
  </si>
  <si>
    <t>219</t>
  </si>
  <si>
    <t>OTROS TEXTILES</t>
  </si>
  <si>
    <t>220</t>
  </si>
  <si>
    <t>COMBUSTIBLES Y LUB.</t>
  </si>
  <si>
    <t>221</t>
  </si>
  <si>
    <t>DIESEL</t>
  </si>
  <si>
    <t>GAS</t>
  </si>
  <si>
    <t>223</t>
  </si>
  <si>
    <t>GASOLINA</t>
  </si>
  <si>
    <t>224</t>
  </si>
  <si>
    <t>LUBRICANTES</t>
  </si>
  <si>
    <t>OTROS COMBUSTIBLES</t>
  </si>
  <si>
    <t>230</t>
  </si>
  <si>
    <t>PROD. DE PAPEL</t>
  </si>
  <si>
    <t>231</t>
  </si>
  <si>
    <t>IMPRESOS</t>
  </si>
  <si>
    <t>232</t>
  </si>
  <si>
    <t>PAPELERIA</t>
  </si>
  <si>
    <t>239</t>
  </si>
  <si>
    <t>OTROS PROD. DE PAPEL</t>
  </si>
  <si>
    <t>240</t>
  </si>
  <si>
    <t>OTROS PROD. QUIMICOS</t>
  </si>
  <si>
    <t>241</t>
  </si>
  <si>
    <t>ABONOS Y FERTILIZANTES</t>
  </si>
  <si>
    <t>242</t>
  </si>
  <si>
    <t>INSECT. FUMIGANTES Y OTROS</t>
  </si>
  <si>
    <t>243</t>
  </si>
  <si>
    <t>PINTURAS</t>
  </si>
  <si>
    <t>244</t>
  </si>
  <si>
    <t>PRODUCTOS MEDICINALES</t>
  </si>
  <si>
    <t>249</t>
  </si>
  <si>
    <t>OTROS P. QUIMICOS</t>
  </si>
  <si>
    <t>250</t>
  </si>
  <si>
    <t>MAT. DE CONSTRUCCION</t>
  </si>
  <si>
    <t>252</t>
  </si>
  <si>
    <t>CEMENTO</t>
  </si>
  <si>
    <t>253</t>
  </si>
  <si>
    <t>MADERAS</t>
  </si>
  <si>
    <t>M. DE PLOMERIA</t>
  </si>
  <si>
    <t>255</t>
  </si>
  <si>
    <t>M. DE ELECTRICIDAD</t>
  </si>
  <si>
    <t>256</t>
  </si>
  <si>
    <t>M. METALICOS</t>
  </si>
  <si>
    <t>PIEDRA Y ARENA</t>
  </si>
  <si>
    <t>259</t>
  </si>
  <si>
    <t>OROS MATERIALES</t>
  </si>
  <si>
    <t>260</t>
  </si>
  <si>
    <t>PRODUCTOS VARIOS</t>
  </si>
  <si>
    <t>ARTICULOS PARA RECEPCION</t>
  </si>
  <si>
    <t>262</t>
  </si>
  <si>
    <t>HERRAMIENTAS  E INSTRUMENTOS</t>
  </si>
  <si>
    <t>MAT. Y EQUIPO DE SEGURIDAD</t>
  </si>
  <si>
    <t>265</t>
  </si>
  <si>
    <t>MAT. Y SUMINISTROS DE COMP.</t>
  </si>
  <si>
    <t>269</t>
  </si>
  <si>
    <t>OTROS P. VARIOS</t>
  </si>
  <si>
    <t>270</t>
  </si>
  <si>
    <t>UTILES DE M. DIVERSOS</t>
  </si>
  <si>
    <t>271</t>
  </si>
  <si>
    <t>UTILES DE COCINA Y COMEDOR</t>
  </si>
  <si>
    <t>272</t>
  </si>
  <si>
    <t>UTILES DEPORTIVOS</t>
  </si>
  <si>
    <t>273</t>
  </si>
  <si>
    <t>274</t>
  </si>
  <si>
    <t>UTILES DE LABORATORIOS</t>
  </si>
  <si>
    <t>275</t>
  </si>
  <si>
    <t>INSTRUMENTOS MEDICOS</t>
  </si>
  <si>
    <t>ARTICULOS DE PROTESIS Y REHA.</t>
  </si>
  <si>
    <t>279</t>
  </si>
  <si>
    <t>OTROS U. Y MATERIALES</t>
  </si>
  <si>
    <t>280</t>
  </si>
  <si>
    <t>REPUESTOS</t>
  </si>
  <si>
    <t>CR.REC.POR MAT. Y SUM.</t>
  </si>
  <si>
    <t>CR.REC. POR ALIMENTOS</t>
  </si>
  <si>
    <t>CD.REC. TEXTILES Y VESTUARIOS</t>
  </si>
  <si>
    <t>CD.REC. COMB. Y LUB.</t>
  </si>
  <si>
    <t>CD.REC. PRODUCTO DE PAPEL</t>
  </si>
  <si>
    <t>CR.REC.PROD. QUIMICOS Y CONEXOS</t>
  </si>
  <si>
    <t>CD.REC.POR MATERIALES CONST.</t>
  </si>
  <si>
    <t>CD.REC. PROD. VARIOS</t>
  </si>
  <si>
    <t>CRED.REC.UTILES Y MAT.</t>
  </si>
  <si>
    <t>CRED.REC.POR REPUESTOS</t>
  </si>
  <si>
    <t>INV. FINANCIERAS</t>
  </si>
  <si>
    <t>COMPRA DE EXISTENCIA</t>
  </si>
  <si>
    <t>OTRAS EXISTENCIAS</t>
  </si>
  <si>
    <t>CR. REC. INVERSIONES FIN.</t>
  </si>
  <si>
    <t>CR. REC.  COMPRA EXISTENCIA</t>
  </si>
  <si>
    <t>6</t>
  </si>
  <si>
    <t>TRANSFERENCIAS CORR.</t>
  </si>
  <si>
    <t>600</t>
  </si>
  <si>
    <t>PENSIONES Y JUBILACIONES</t>
  </si>
  <si>
    <t>609</t>
  </si>
  <si>
    <t>OTRAS PENSIONES Y JUBILACIONES</t>
  </si>
  <si>
    <t>610</t>
  </si>
  <si>
    <t>DONATIVOS A PERSONAS</t>
  </si>
  <si>
    <t>INDEMNIZACIONES LABORALES</t>
  </si>
  <si>
    <t>INDEMNIZ. ESPECIALES</t>
  </si>
  <si>
    <t>INDEMNIZ. POR RETIRO VOL.</t>
  </si>
  <si>
    <t>OTRAS TRANSFERENCIAS</t>
  </si>
  <si>
    <t>BECAS DE ESTUDIO</t>
  </si>
  <si>
    <t>ADIEST. Y ESTUDIOS</t>
  </si>
  <si>
    <t>OTRAS BECAS</t>
  </si>
  <si>
    <t>TRANSF. CORRIENTES A INST. PUB.</t>
  </si>
  <si>
    <t>AL GOBIERNO CENTRAL</t>
  </si>
  <si>
    <t>660</t>
  </si>
  <si>
    <t>TRANSF. AL EXTERIOR</t>
  </si>
  <si>
    <t>CUOTA  ORG. CENTROAM.</t>
  </si>
  <si>
    <t>663</t>
  </si>
  <si>
    <t>CUOTA  ORG. INTERAM.</t>
  </si>
  <si>
    <t>664</t>
  </si>
  <si>
    <t>CUOTA A ORG. MUNDIALES</t>
  </si>
  <si>
    <t>CRED. REC. POR TRANSF.COM</t>
  </si>
  <si>
    <t>CR. REC.TRASNF. CORRIENTES</t>
  </si>
  <si>
    <t>CR. REC.P'OR BECAS DE ESTUDIOS</t>
  </si>
  <si>
    <t>CR. REC.TRASNF. EXTERIOR</t>
  </si>
  <si>
    <t>TOTAL FUNCIONAMIENTO</t>
  </si>
  <si>
    <t>P</t>
  </si>
  <si>
    <t xml:space="preserve">       T   O  T   A     L</t>
  </si>
  <si>
    <t>DIRECCION SUPERIOR</t>
  </si>
  <si>
    <t>PLANIFICACION UNIVERSITARIA</t>
  </si>
  <si>
    <t>ADMINISTRACION GENERAL</t>
  </si>
  <si>
    <t>SECRETARIA GENERAL</t>
  </si>
  <si>
    <t>ADMON DE LA EDUC.SUPERIOR</t>
  </si>
  <si>
    <t>DOCENCIA CENTRAL</t>
  </si>
  <si>
    <t>DOCENCIA REGIONAL</t>
  </si>
  <si>
    <t>3</t>
  </si>
  <si>
    <t>INV.POSTGRADO Y EXTENSION</t>
  </si>
  <si>
    <t xml:space="preserve">COMPROMISO PRESUPUESTARIO DE INVERSIONES </t>
  </si>
  <si>
    <t>PROGRAMAS-PROYECTOS</t>
  </si>
  <si>
    <t>PROGRAMA DE CONSTRUCCIONES</t>
  </si>
  <si>
    <t>CONSTRUCCION II FASE DEL PROYECTO DEL CAMPUS CENTRAL</t>
  </si>
  <si>
    <t>MANTENIMIENTO PREVENTIVO Y CORRECTIVO DE LA INFRAESTRUCTURA FISICA Y PATRIMONIAL DE LA UTP A NIVEL NACIONAL.</t>
  </si>
  <si>
    <t>REHABILITACIÓN DE LOS ESTACIONAMIENTOS DEL CENTRO REGIONAL CHIRIQUÍ</t>
  </si>
  <si>
    <t>CONSTRUCCIÓN II ETAPA DE EDIFICIO DE AULAS  DE PANAMA OESTE</t>
  </si>
  <si>
    <t>CONSTRUCCIÓN DE EDIFICIO DE FACILIDADES ESTUDIANTILES Y CAFETERIA COLÓN</t>
  </si>
  <si>
    <t>REPARACIÓN DEL EDIFICIO 70 Y TALLER DE METAL MECANICA DE COLÓN</t>
  </si>
  <si>
    <t>FORTALECIMIENTO DE LA SEDE REGIONAL</t>
  </si>
  <si>
    <t>PROGRAMA DE MOBILIARIO</t>
  </si>
  <si>
    <t>MEJORAMIENTO LABORATORIOS FACULTADES Y CENTROS REGIONALES</t>
  </si>
  <si>
    <t>MEJORAMIENTO DE LA INFRAESTRUCTURA TECNOLÓGICA DE LA UTP</t>
  </si>
  <si>
    <t>IMPLEMENTACIÓN DE LA MOVILIDAD ELECTRICA EN LA UTP</t>
  </si>
  <si>
    <t>FORTALECIMIENTO DE LA GESTIÓN ADMINISTRATIVA DE LA UTP</t>
  </si>
  <si>
    <t>MEJORAMIENTO DE LOS LABORATORIOS DE LA FAC. DE ING. MECÁNICA UTP</t>
  </si>
  <si>
    <t>MEJORAMIENTO DEL CENTRO DE DATOS DE LA UTP</t>
  </si>
  <si>
    <t>EQUIPAMIENTO DE LABORATORIO DE SUELDOS Y MATERIALES (LASYMA)</t>
  </si>
  <si>
    <t>EQUIPAMIENTO DE LABORATORIO ACADÉMICOS C.REG. DE BOCAS DEL TORO</t>
  </si>
  <si>
    <t>HABILITACIÓN DEL LABORATORIO DE ANÁLISIS INDUSTRIALES Y CIENCIA (LABAICA</t>
  </si>
  <si>
    <t>HABILITACIÓN DE LABORATORIOS DE DOCENCIA PARA EL CENTRO CITT</t>
  </si>
  <si>
    <t>FORTALECIMIENTO DE CAPACIDADES DEL LABORATORIO DE BIOSÓLIDOS</t>
  </si>
  <si>
    <t>MEJORAMIENTO DEL LABORATORIO DE SUELOS Y MAT. C.REG. CHIRIQUÍ</t>
  </si>
  <si>
    <t>MEJORAMIENTO DE LAB. ACADÉMICOS Y DE ÁREAS DOCENTES Y ADM. FII-UTP</t>
  </si>
  <si>
    <t>HABILITACIÓN DE LABORATORIOS DE QUÍMICA CAMPUS CENTRAL</t>
  </si>
  <si>
    <t>INVESTIGACION Y TRANSFERENCIA DE TECNOLOGÍA</t>
  </si>
  <si>
    <t>FORTALECIMIENTO DE LA GESTIÓN DE PATENTES TECNOLÓGICAS</t>
  </si>
  <si>
    <t>DESARROLLO DEL CENTRO DE ESTUDIOS MULTIDISCIPLINARIO EN CIENCIAS</t>
  </si>
  <si>
    <t>DESARROLLO DEL HUB DE FORMACIÓN PARA LA TRANSFORMACIÓN DIGITAL E INDUSTRA 4.0</t>
  </si>
  <si>
    <t>HABILITACIÓN DE INFRAEST. Y EQUIP. DE LAB. PARA EL IMPULSO DE INVESTIGACIÓN Y LA INNOVACIÓN.</t>
  </si>
  <si>
    <t>HABILITACIÓN DEL CENTRO NACIONALDE SUPERCOMPUTACIÓN PARA INV. DE DIFERENTES FENÓMENOS Y ESCALAS (IBEROGUN)-UTP</t>
  </si>
  <si>
    <t>HABILITACIÓN DE UN CENTRO DE TEC. AVANZADA PARA LA INDUSTRIA DE SEMICONDUCTORES DE PANAMA (C-TASC PANAMÁ)</t>
  </si>
  <si>
    <t>DESARROLLO DEL PLAN DE FORMACIÓN PARA DOCENTES INVESTIGADORES</t>
  </si>
  <si>
    <t xml:space="preserve"> COMPROMISO PRESUPUESTARIO DE INVERSIONES</t>
  </si>
  <si>
    <t>004</t>
  </si>
  <si>
    <t>PERSONAL TRANSITORIO</t>
  </si>
  <si>
    <t>DECIMO TERCER MES</t>
  </si>
  <si>
    <t>CONTRIBUCIÓN SEG. SOCIAL</t>
  </si>
  <si>
    <t>CUOTA PATRONAL DEL S. SOCIAL</t>
  </si>
  <si>
    <t>CUOTA PATRONAL DEL S. EDUCATIVO</t>
  </si>
  <si>
    <t>CUOTA PATRONAL DEL R. PROFESIONALES</t>
  </si>
  <si>
    <t>CUOTA PATRONAL F. COMPLEMENTARIO</t>
  </si>
  <si>
    <t>SERVICIOS BÁSICOS</t>
  </si>
  <si>
    <t>INFORMACIÓN Y PUBLICIDAD</t>
  </si>
  <si>
    <t>PRODUCTOS DE PAPEL Y CARTON</t>
  </si>
  <si>
    <t xml:space="preserve">MATERIALES DE CONSTRUCCION </t>
  </si>
  <si>
    <t>CRÉDITO REC.  MATER.Y SUMIN.</t>
  </si>
  <si>
    <t>MAQUINARIA Y EQUIPO</t>
  </si>
  <si>
    <t>EQUIPO DE LABORATORIO</t>
  </si>
  <si>
    <t>EQUIIPO MEDICO, LABORATORIOS</t>
  </si>
  <si>
    <t>MOBILIARIO DE OFICINA</t>
  </si>
  <si>
    <t>MAQ. Y EQUIPOS VARIOS</t>
  </si>
  <si>
    <t>EQUIPO DE COMPUTACION</t>
  </si>
  <si>
    <t>CRÉDITO REC. DE MAQ.Y EQUIPO</t>
  </si>
  <si>
    <t>CONSTRUCCIONES POR CONTRATO</t>
  </si>
  <si>
    <t>EDIFICACIONES</t>
  </si>
  <si>
    <t>TRANSFERECIAS CORR.</t>
  </si>
  <si>
    <t>BECAS DE ESTUDIOS</t>
  </si>
  <si>
    <t>TRANSF.CORRIENTES  INSTITUC.</t>
  </si>
  <si>
    <t>TOTAL INVERSION</t>
  </si>
  <si>
    <t>FINANCIAMIENTO PRESUPUESTARIO DE INGRESOS Y GASTOS</t>
  </si>
  <si>
    <t xml:space="preserve"> I.  Ingresos Corrientes</t>
  </si>
  <si>
    <t xml:space="preserve"> II. Gastos Corrientes</t>
  </si>
  <si>
    <t xml:space="preserve">        Gastos  de Operación ( 0-1-2-3-4)</t>
  </si>
  <si>
    <t xml:space="preserve">        Transferencias Corrientes  (6)</t>
  </si>
  <si>
    <t xml:space="preserve"> III. Ahorro  en Cta Corriente ( I-II )</t>
  </si>
  <si>
    <t xml:space="preserve"> IV.  Gasto  de Capital</t>
  </si>
  <si>
    <t xml:space="preserve">        Inversión Financiera</t>
  </si>
  <si>
    <t xml:space="preserve">        Transferencia de capital (7)</t>
  </si>
  <si>
    <t xml:space="preserve">        Amortización de la Deuda (8)</t>
  </si>
  <si>
    <t xml:space="preserve"> V.   Ingresos de Capital ( 2 )</t>
  </si>
  <si>
    <t xml:space="preserve">        Saldo Inicial en Caja y Banco</t>
  </si>
  <si>
    <t xml:space="preserve">        Recursos del Credito</t>
  </si>
  <si>
    <t xml:space="preserve">        Transferencias de Capital</t>
  </si>
  <si>
    <t xml:space="preserve"> VI. Resultado Presupuestario (III -1V + V)</t>
  </si>
  <si>
    <t xml:space="preserve">        Inversión Física  </t>
  </si>
  <si>
    <t>DESARROLLO DE CONSULTORÍAS PARA PROYECTOS DE ESTADO</t>
  </si>
  <si>
    <t xml:space="preserve">  EJECUCION PRESUPUESTARIA SEGÚN ESTRUCTURA PROGRAMÁTICA  </t>
  </si>
  <si>
    <t xml:space="preserve">   LABORATORIOS Y C. ESPECIALIZADOS</t>
  </si>
  <si>
    <t>CONTENCIÓN</t>
  </si>
  <si>
    <t>PROMOCIÓN Y PUBLICIDAD</t>
  </si>
  <si>
    <t>VIATICOS DENTRO DEL PAÍS</t>
  </si>
  <si>
    <t>VIATICOS EN EL EXTERIOR</t>
  </si>
  <si>
    <t>SERVICIOS COMERCIALES</t>
  </si>
  <si>
    <t>OTROS SERVICIOS COMERCIALES Y FINANCIERO</t>
  </si>
  <si>
    <t>CONSULTORÍA y SERVICIOS ESPECIALES</t>
  </si>
  <si>
    <t>CONSULTORÍAS</t>
  </si>
  <si>
    <t>MANTENIMIENTO Y REPARACION</t>
  </si>
  <si>
    <t>MANT. Y REPARACIÓN DE EDIFICIOS</t>
  </si>
  <si>
    <t>MANT. Y REP.DE MAQUINARIA Y OTROS EQUIPOS</t>
  </si>
  <si>
    <t>MANT. Y REPARACIÓN DE OBRAS</t>
  </si>
  <si>
    <t>CRED. REC. POR SERVICIOS NO PERSONALES</t>
  </si>
  <si>
    <t>CRED.REC. POR SERV. COMERCIALES Y FINAN.</t>
  </si>
  <si>
    <t>MATERIALES Y SUMINISTROS</t>
  </si>
  <si>
    <t>OTROS PRODUCTS DE PAEL Y CARTON</t>
  </si>
  <si>
    <t>MATERIAL DE PLOMERÍA</t>
  </si>
  <si>
    <t>MATERIAL ELECTRICO</t>
  </si>
  <si>
    <t>MATERIAL METALICO</t>
  </si>
  <si>
    <t>OTROS MATERIALES</t>
  </si>
  <si>
    <t>HERRAMIENTAS E INSTRUMENTOS</t>
  </si>
  <si>
    <t>MATERIALES Y SUMINISTROS DE COMPUTACIÓN</t>
  </si>
  <si>
    <t>OTROS PRODUCTOS VARIOS</t>
  </si>
  <si>
    <t>UTILES DE LABORATORIO</t>
  </si>
  <si>
    <t>OTROS UTILES Y MATERIALES</t>
  </si>
  <si>
    <t>CRED.REC. POR PRODUCTOS QUIMICOS Y CONEXOS</t>
  </si>
  <si>
    <t>CRED.REC. POR MATERIALES PARA CONSTRUCCIÓN</t>
  </si>
  <si>
    <t>CRED.REC. POR PRODUCTOS VARIOS</t>
  </si>
  <si>
    <t>CRED. REC. POR UTILES Y MATERIALES DIVERSOS</t>
  </si>
  <si>
    <t>CRED. REC. POR RESPUESTOS</t>
  </si>
  <si>
    <t>MAQUINARIA.Y EQUIPO. DE PRODUCCION</t>
  </si>
  <si>
    <t>MAQUINARIA Y EQUIPO DE COMUNICACIONES</t>
  </si>
  <si>
    <t>MAQUINARIA Y EQUIPO AGROPECUARIO</t>
  </si>
  <si>
    <t>MAQUINARIA Y QUIPO INDUSTRIAL</t>
  </si>
  <si>
    <t>MAQUINARIA Y EQUIPO DE CONSTRUCCIÓN</t>
  </si>
  <si>
    <t>MAQUINARIA Y EQUIPO DE ENERGÍA</t>
  </si>
  <si>
    <t>MAQUINARIA Y EQUIPO DE ACUEDUCTOS Y RIESGO</t>
  </si>
  <si>
    <t>MAQUINARIA Y EQUIPO VARIOS</t>
  </si>
  <si>
    <t>MAQUINARIA Y EQUIPO DE  TRANSPORTE</t>
  </si>
  <si>
    <t>MAQ. Y EQUIPO DE TRANSPORTE TERRESTRE</t>
  </si>
  <si>
    <t>EQUIPO EDUCACIONAL Y RECREAITIVO</t>
  </si>
  <si>
    <t>EQUIPO MEDICO Y ODONTOLOGICO</t>
  </si>
  <si>
    <t>OTROS EQUIPOS MEDICOS DE LAB. Y SANITARIO</t>
  </si>
  <si>
    <t>CRED.REC. POR MAQ. Y EQUIPO DE PRODUCCIÓN</t>
  </si>
  <si>
    <t>CRED.REC. POR MAQ. Y EQUIPO DE TRANSPORTE</t>
  </si>
  <si>
    <t>CRED.RC. POR EQUIPO EDUCACIONAL Y RECREATIVO</t>
  </si>
  <si>
    <t>CRED. REC. POR MAQ.Y EQUIPOS VARIOS</t>
  </si>
  <si>
    <t>CRED. REC. POR EQUIPO DE COMPUTACIÓN</t>
  </si>
  <si>
    <t>EDIFICIOS PARA EDUCACIÓN</t>
  </si>
  <si>
    <t>INSTALACIONES</t>
  </si>
  <si>
    <t>INSTALACIONES DE LINEAS ELECTRICAS</t>
  </si>
  <si>
    <t>CRED. RECONOCIDOS POR CONSTRUCCIONES Y OBRAS</t>
  </si>
  <si>
    <t>CRED. REC. POR EDIFICACIONES</t>
  </si>
  <si>
    <t>BECAS DE POST GRADOS</t>
  </si>
  <si>
    <t xml:space="preserve">ADIESTRAMIENTO Y ESTUDIOS </t>
  </si>
  <si>
    <t>SUBSIDIOS CULTURALES Y CIENTIFICOS</t>
  </si>
  <si>
    <t>TRANSPORTE DE PERSONAS Y  BIENES</t>
  </si>
  <si>
    <t>TRANS. DE PERSONAS Y BIENES DE O PARA EL EXTERIOR</t>
  </si>
  <si>
    <t>MATERIALES Y EQUIPO DE SEGURIDAD PUBLICA</t>
  </si>
  <si>
    <t>MAQ. Y EQUIPO DE TALLERES Y ALMACENES</t>
  </si>
  <si>
    <t>OTROS MANTENIMIENTOS Y REPARACIONES</t>
  </si>
  <si>
    <t>CONSTRUCCIÓN DE DORMITORIOS ESTUDIANTILES EN LA UTP</t>
  </si>
  <si>
    <t>C0NTENCIÓN</t>
  </si>
  <si>
    <t>OTROS SERVICIOS PERSONALES</t>
  </si>
  <si>
    <t>CRED. REC .POR CONSLTORÍAS</t>
  </si>
  <si>
    <t>UTILES DE ASEO Y LIMPIEZA</t>
  </si>
  <si>
    <t>UTILES Y MATERIALES DE OFICINA</t>
  </si>
  <si>
    <t>PRIMA DE ANTIGÜEDAD</t>
  </si>
  <si>
    <t xml:space="preserve">SALDO </t>
  </si>
  <si>
    <t xml:space="preserve">SALDO  </t>
  </si>
  <si>
    <t>CRED. REC, POR MOBILIARIO DE OFICINA</t>
  </si>
  <si>
    <t xml:space="preserve">ANUAL </t>
  </si>
  <si>
    <t>SECTOR EDUCATIVO 7%</t>
  </si>
  <si>
    <t>MEJORAMIENTO DE LABORATORIO ACADÉMICO DE LOS CENTROS REGIONALES</t>
  </si>
  <si>
    <t>MEJORAMIENTO DE LABORATORIO ACADÉMICO DEL CENTRO REGIONAL DE CHIRIQUÍ</t>
  </si>
  <si>
    <t xml:space="preserve">         4.Mejoramiento de Lab. Acad. De los C.R.</t>
  </si>
  <si>
    <t>Mejoramiento de Lab. Acad. de los C.R.</t>
  </si>
  <si>
    <t xml:space="preserve">    4. Ingresos por Fuentes Varias</t>
  </si>
  <si>
    <t>1.95.1.4.1.2.01</t>
  </si>
  <si>
    <t xml:space="preserve">    5. Saldo en Cajay Banco</t>
  </si>
  <si>
    <t>1.95.1.4.2</t>
  </si>
  <si>
    <t xml:space="preserve">        5.1 Diaponible Libre en Banco</t>
  </si>
  <si>
    <r>
      <t xml:space="preserve">            </t>
    </r>
    <r>
      <rPr>
        <sz val="10"/>
        <rFont val="Arial"/>
        <family val="2"/>
      </rPr>
      <t>5.1.1 . Salso Corriente</t>
    </r>
  </si>
  <si>
    <t xml:space="preserve">    II  Gastos de Capital</t>
  </si>
  <si>
    <t xml:space="preserve"> OBJETO DE GASTO: AL 27 DE FEBRERO DE 2026</t>
  </si>
  <si>
    <t>REVISAR CONTRA EL INFORME DE TESORERIA</t>
  </si>
  <si>
    <t>pasar con décimal</t>
  </si>
  <si>
    <t>AL 28 DE FEBRERO DE 2026 (En Miles de Balboas)</t>
  </si>
  <si>
    <t>AL 28 DE FEBRERO DE 2026 (En Balboas)</t>
  </si>
  <si>
    <t>AL 28 DE FEBRERO  DE 2026 (En Balboas)</t>
  </si>
  <si>
    <t>POR PROGRAMA  AL 28 DE FEBRERO DE 2026 (En Balboas)</t>
  </si>
  <si>
    <t>AL 28 DE  FEBRERO DE 2026 (En Balboas)</t>
  </si>
  <si>
    <t xml:space="preserve">   C.  Otros Ingresos</t>
  </si>
  <si>
    <t xml:space="preserve">       1. Saldo inicial en caja</t>
  </si>
  <si>
    <t xml:space="preserve">  A NIVEL DE OBJETO DE GASTO AL 28 DE FEBRERO DE 2026 (En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</si>
</sst>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&quot; B/.&quot;#,##0.00\ ;&quot; B/.(&quot;#,##0.00\);&quot; B/.-&quot;#\ ;@\ "/>
    <numFmt numFmtId="165" formatCode="[$€]#,##0.00\ ;[$€]\(#,##0.00\);[$€]\-#\ ;@\ "/>
    <numFmt numFmtId="166" formatCode="0.00\ "/>
    <numFmt numFmtId="167" formatCode="#,##0.0\ ;\(#,###\)"/>
    <numFmt numFmtId="168" formatCode="0.0"/>
    <numFmt numFmtId="169" formatCode="#,##0\ ;[Red]\-#,##0\ "/>
    <numFmt numFmtId="170" formatCode="#,##0.0"/>
    <numFmt numFmtId="171" formatCode="#,##0\ ;\(#,##0\)"/>
    <numFmt numFmtId="172" formatCode="#,##0.000000000"/>
    <numFmt numFmtId="173" formatCode="#,##0.0\ ;\(#,##0.0\)"/>
    <numFmt numFmtId="174" formatCode="#,##0.0_);[Red]\(#,##0.0\)"/>
    <numFmt numFmtId="175" formatCode="dd/mmm"/>
  </numFmts>
  <fonts count="99">
    <font>
      <sz val="10"/>
      <name val="Arial"/>
      <charset val="134"/>
    </font>
    <font>
      <sz val="10"/>
      <color rgb="FFFF0000"/>
      <name val="Arial"/>
      <family val="2"/>
    </font>
    <font>
      <sz val="10"/>
      <color rgb="FF002060"/>
      <name val="Arial"/>
      <family val="2"/>
    </font>
    <font>
      <b/>
      <sz val="10"/>
      <color rgb="FF002060"/>
      <name val="Arial"/>
      <family val="2"/>
    </font>
    <font>
      <b/>
      <sz val="11"/>
      <color rgb="FF002060"/>
      <name val="Arial"/>
      <family val="2"/>
    </font>
    <font>
      <sz val="8"/>
      <color rgb="FF002060"/>
      <name val="Arial"/>
      <family val="2"/>
    </font>
    <font>
      <b/>
      <sz val="10"/>
      <name val="Arial"/>
      <family val="2"/>
    </font>
    <font>
      <sz val="10"/>
      <name val="Franklin Gothic Book"/>
      <family val="2"/>
    </font>
    <font>
      <b/>
      <sz val="12"/>
      <name val="Arial"/>
      <family val="2"/>
    </font>
    <font>
      <b/>
      <sz val="11"/>
      <name val="Arial"/>
      <family val="2"/>
    </font>
    <font>
      <sz val="9"/>
      <name val="Arial Black"/>
      <family val="2"/>
    </font>
    <font>
      <sz val="11"/>
      <name val="Arial"/>
      <family val="2"/>
    </font>
    <font>
      <sz val="11"/>
      <name val="Arial Black"/>
      <family val="2"/>
    </font>
    <font>
      <b/>
      <sz val="11"/>
      <name val="Arial Black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9"/>
      <color indexed="18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10"/>
      <name val="Arial Black"/>
      <family val="2"/>
    </font>
    <font>
      <b/>
      <sz val="9"/>
      <name val="Franklin Gothic Book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7"/>
      <color indexed="18"/>
      <name val="Arial"/>
      <family val="2"/>
    </font>
    <font>
      <b/>
      <sz val="9"/>
      <color indexed="18"/>
      <name val="Arial"/>
      <family val="2"/>
    </font>
    <font>
      <sz val="10"/>
      <color indexed="18"/>
      <name val="Arial"/>
      <family val="2"/>
    </font>
    <font>
      <b/>
      <sz val="8"/>
      <color indexed="18"/>
      <name val="Arial"/>
      <family val="2"/>
    </font>
    <font>
      <b/>
      <sz val="8"/>
      <color indexed="18"/>
      <name val="Franklin Gothic Book"/>
      <family val="2"/>
    </font>
    <font>
      <b/>
      <sz val="8"/>
      <name val="Arial"/>
      <family val="2"/>
    </font>
    <font>
      <sz val="9"/>
      <color indexed="8"/>
      <name val="Arial"/>
      <family val="2"/>
    </font>
    <font>
      <b/>
      <sz val="8"/>
      <name val="Franklin Gothic Book"/>
      <family val="2"/>
    </font>
    <font>
      <sz val="12"/>
      <name val="Arial"/>
      <family val="2"/>
    </font>
    <font>
      <sz val="12"/>
      <color theme="1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b/>
      <u/>
      <sz val="12"/>
      <name val="Arial"/>
      <family val="2"/>
    </font>
    <font>
      <b/>
      <i/>
      <sz val="10"/>
      <name val="Arial"/>
      <family val="2"/>
    </font>
    <font>
      <b/>
      <sz val="10.5"/>
      <name val="Arial"/>
      <family val="2"/>
    </font>
    <font>
      <sz val="9"/>
      <color rgb="FF00206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9"/>
      <color rgb="FF002060"/>
      <name val="Arial"/>
      <family val="2"/>
    </font>
    <font>
      <sz val="8"/>
      <color rgb="FFFF0000"/>
      <name val="Arial"/>
      <family val="2"/>
    </font>
    <font>
      <b/>
      <sz val="12"/>
      <color rgb="FF002060"/>
      <name val="Georgia"/>
      <family val="1"/>
    </font>
    <font>
      <sz val="12"/>
      <color rgb="FF002060"/>
      <name val="Georgia"/>
      <family val="1"/>
    </font>
    <font>
      <sz val="10.5"/>
      <name val="Arial"/>
      <family val="2"/>
    </font>
    <font>
      <sz val="10.5"/>
      <color theme="1"/>
      <name val="Arial"/>
      <family val="2"/>
    </font>
    <font>
      <b/>
      <sz val="10.5"/>
      <color theme="1"/>
      <name val="Arial"/>
      <family val="2"/>
    </font>
    <font>
      <sz val="10.5"/>
      <name val="Arial Black"/>
      <family val="2"/>
    </font>
    <font>
      <i/>
      <sz val="10.5"/>
      <name val="Arial Black"/>
      <family val="2"/>
    </font>
    <font>
      <sz val="10"/>
      <name val="Arial"/>
      <family val="2"/>
    </font>
    <font>
      <sz val="9"/>
      <color rgb="FF000099"/>
      <name val="Arial"/>
      <family val="2"/>
    </font>
    <font>
      <b/>
      <sz val="12"/>
      <color rgb="FF002060"/>
      <name val="Arial"/>
      <family val="2"/>
    </font>
    <font>
      <sz val="10"/>
      <color theme="3" tint="-0.499984740745262"/>
      <name val="Arial"/>
      <family val="2"/>
    </font>
    <font>
      <b/>
      <sz val="8"/>
      <color rgb="FF0000FF"/>
      <name val="Arial"/>
      <family val="2"/>
    </font>
    <font>
      <sz val="10.5"/>
      <color rgb="FF062948"/>
      <name val="Arial Black"/>
      <family val="2"/>
    </font>
    <font>
      <sz val="10.5"/>
      <color rgb="FF062948"/>
      <name val="Arial"/>
      <family val="2"/>
    </font>
    <font>
      <b/>
      <sz val="10.5"/>
      <color rgb="FFFF0000"/>
      <name val="Arial"/>
      <family val="2"/>
    </font>
    <font>
      <sz val="10.5"/>
      <color rgb="FFFF0000"/>
      <name val="Arial"/>
      <family val="2"/>
    </font>
    <font>
      <sz val="10.5"/>
      <color rgb="FF002060"/>
      <name val="Arial"/>
      <family val="2"/>
    </font>
    <font>
      <sz val="10.5"/>
      <color rgb="FF002060"/>
      <name val="Arial Black"/>
      <family val="2"/>
    </font>
    <font>
      <b/>
      <sz val="10.5"/>
      <color rgb="FF00206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39"/>
      <name val="Arial"/>
      <family val="2"/>
    </font>
    <font>
      <sz val="10"/>
      <color theme="1"/>
      <name val="Arial"/>
      <family val="2"/>
    </font>
    <font>
      <b/>
      <i/>
      <sz val="10"/>
      <color rgb="FF002060"/>
      <name val="Arial"/>
      <family val="2"/>
    </font>
    <font>
      <b/>
      <sz val="10"/>
      <color indexed="39"/>
      <name val="Arial"/>
      <family val="2"/>
    </font>
    <font>
      <b/>
      <sz val="11"/>
      <color rgb="FF000000"/>
      <name val="Arial"/>
      <family val="2"/>
    </font>
    <font>
      <sz val="10"/>
      <color rgb="FF000066"/>
      <name val="Arial"/>
      <family val="2"/>
    </font>
    <font>
      <b/>
      <sz val="10"/>
      <name val="Arial Rounded MT Bold"/>
      <family val="2"/>
    </font>
    <font>
      <sz val="10"/>
      <name val="Arial Rounded MT Bold"/>
      <family val="2"/>
    </font>
    <font>
      <b/>
      <u/>
      <sz val="10"/>
      <name val="Arial Rounded MT Bold"/>
      <family val="2"/>
    </font>
    <font>
      <b/>
      <u/>
      <sz val="11"/>
      <name val="Arial"/>
      <family val="2"/>
    </font>
    <font>
      <sz val="10"/>
      <name val="Arial"/>
      <family val="2"/>
    </font>
    <font>
      <b/>
      <sz val="12"/>
      <color rgb="FF002060"/>
      <name val="Georgia"/>
      <family val="1"/>
    </font>
    <font>
      <sz val="12"/>
      <color rgb="FF002060"/>
      <name val="Georgia"/>
      <family val="1"/>
    </font>
    <font>
      <b/>
      <sz val="12"/>
      <name val="Arial"/>
      <family val="2"/>
    </font>
    <font>
      <b/>
      <sz val="12"/>
      <color rgb="FF00206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0.5"/>
      <name val="Arial"/>
      <family val="2"/>
    </font>
    <font>
      <sz val="10.5"/>
      <name val="Arial Black"/>
      <family val="2"/>
    </font>
    <font>
      <sz val="10.5"/>
      <name val="Arial"/>
      <family val="2"/>
    </font>
    <font>
      <i/>
      <sz val="10.5"/>
      <name val="Arial Black"/>
      <family val="2"/>
    </font>
    <font>
      <b/>
      <sz val="10"/>
      <color rgb="FF002060"/>
      <name val="Arial"/>
      <family val="2"/>
    </font>
    <font>
      <sz val="10"/>
      <color rgb="FF002060"/>
      <name val="Arial"/>
      <family val="2"/>
    </font>
    <font>
      <b/>
      <sz val="10"/>
      <color rgb="FF062948"/>
      <name val="Arial"/>
      <family val="2"/>
    </font>
    <font>
      <sz val="10"/>
      <color theme="3" tint="-0.499984740745262"/>
      <name val="Arial"/>
      <family val="2"/>
    </font>
    <font>
      <sz val="10.5"/>
      <color theme="1"/>
      <name val="Arial Black"/>
      <family val="2"/>
    </font>
    <font>
      <b/>
      <sz val="11"/>
      <color theme="1"/>
      <name val="Arial"/>
      <family val="2"/>
    </font>
    <font>
      <sz val="9"/>
      <name val="Calibri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indexed="39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indexed="31"/>
      </patternFill>
    </fill>
    <fill>
      <patternFill patternType="solid">
        <fgColor theme="0" tint="-0.249977111117893"/>
        <bgColor indexed="64"/>
      </patternFill>
    </fill>
  </fills>
  <borders count="176">
    <border>
      <left/>
      <right/>
      <top/>
      <bottom/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theme="3" tint="-0.4999847407452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rgb="FF000066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2060"/>
      </right>
      <top style="thin">
        <color auto="1"/>
      </top>
      <bottom/>
      <diagonal/>
    </border>
    <border>
      <left style="thin">
        <color rgb="FF002060"/>
      </left>
      <right style="thin">
        <color rgb="FF002060"/>
      </right>
      <top style="thin">
        <color auto="1"/>
      </top>
      <bottom/>
      <diagonal/>
    </border>
    <border>
      <left style="thin">
        <color rgb="FF002060"/>
      </left>
      <right/>
      <top style="thin">
        <color auto="1"/>
      </top>
      <bottom style="thin">
        <color auto="1"/>
      </bottom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 style="thin">
        <color auto="1"/>
      </bottom>
      <diagonal/>
    </border>
    <border>
      <left/>
      <right style="thin">
        <color rgb="FF002060"/>
      </right>
      <top/>
      <bottom style="thin">
        <color auto="1"/>
      </bottom>
      <diagonal/>
    </border>
    <border>
      <left/>
      <right style="thin">
        <color rgb="FF002060"/>
      </right>
      <top style="thin">
        <color auto="1"/>
      </top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auto="1"/>
      </top>
      <bottom style="thin">
        <color auto="1"/>
      </bottom>
      <diagonal/>
    </border>
    <border>
      <left/>
      <right style="thin">
        <color rgb="FF002060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rgb="FF002060"/>
      </left>
      <right style="thin">
        <color rgb="FF002060"/>
      </right>
      <top style="thin">
        <color theme="3" tint="-0.499984740745262"/>
      </top>
      <bottom style="thin">
        <color theme="3" tint="-0.499984740745262"/>
      </bottom>
      <diagonal/>
    </border>
    <border>
      <left/>
      <right style="thin">
        <color rgb="FF002060"/>
      </right>
      <top style="thin">
        <color theme="3" tint="-0.499984740745262"/>
      </top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theme="3" tint="-0.499984740745262"/>
      </top>
      <bottom style="thin">
        <color auto="1"/>
      </bottom>
      <diagonal/>
    </border>
    <border>
      <left style="thin">
        <color rgb="FF002060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002060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2060"/>
      </left>
      <right/>
      <top/>
      <bottom/>
      <diagonal/>
    </border>
    <border>
      <left style="thin">
        <color rgb="FF002060"/>
      </left>
      <right/>
      <top style="thin">
        <color theme="3" tint="-0.499984740745262"/>
      </top>
      <bottom style="thin">
        <color theme="3" tint="-0.499984740745262"/>
      </bottom>
      <diagonal/>
    </border>
    <border>
      <left style="thin">
        <color rgb="FF002060"/>
      </left>
      <right/>
      <top style="thin">
        <color theme="3" tint="-0.499984740745262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/>
      <diagonal/>
    </border>
    <border>
      <left/>
      <right style="thin">
        <color theme="3" tint="-0.499984740745262"/>
      </right>
      <top/>
      <bottom/>
      <diagonal/>
    </border>
    <border>
      <left/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/>
      <right style="thin">
        <color theme="3" tint="-0.499984740745262"/>
      </right>
      <top/>
      <bottom style="thin">
        <color auto="1"/>
      </bottom>
      <diagonal/>
    </border>
    <border>
      <left/>
      <right style="thin">
        <color rgb="FF000066"/>
      </right>
      <top/>
      <bottom/>
      <diagonal/>
    </border>
    <border>
      <left style="thin">
        <color theme="3" tint="-0.499984740745262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auto="1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auto="1"/>
      </left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auto="1"/>
      </bottom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/>
      <diagonal/>
    </border>
    <border>
      <left style="thin">
        <color theme="3" tint="-0.499984740745262"/>
      </left>
      <right/>
      <top style="thin">
        <color theme="3" tint="-0.499984740745262"/>
      </top>
      <bottom style="thin">
        <color theme="3" tint="-0.499984740745262"/>
      </bottom>
      <diagonal/>
    </border>
    <border>
      <left style="thin">
        <color rgb="FF000066"/>
      </left>
      <right style="thin">
        <color rgb="FF000066"/>
      </right>
      <top/>
      <bottom style="medium">
        <color rgb="FF000066"/>
      </bottom>
      <diagonal/>
    </border>
    <border>
      <left style="thin">
        <color auto="1"/>
      </left>
      <right style="thin">
        <color indexed="62"/>
      </right>
      <top/>
      <bottom/>
      <diagonal/>
    </border>
    <border>
      <left style="thin">
        <color indexed="62"/>
      </left>
      <right style="thin">
        <color auto="1"/>
      </right>
      <top/>
      <bottom/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  <border>
      <left/>
      <right style="thin">
        <color theme="3" tint="-0.499984740745262"/>
      </right>
      <top style="medium">
        <color theme="3" tint="-0.499984740745262"/>
      </top>
      <bottom/>
      <diagonal/>
    </border>
    <border>
      <left style="thin">
        <color theme="3" tint="-0.499984740745262"/>
      </left>
      <right/>
      <top style="medium">
        <color theme="3" tint="-0.499984740745262"/>
      </top>
      <bottom style="thin">
        <color auto="1"/>
      </bottom>
      <diagonal/>
    </border>
    <border>
      <left/>
      <right/>
      <top style="medium">
        <color theme="3" tint="-0.499984740745262"/>
      </top>
      <bottom style="thin">
        <color auto="1"/>
      </bottom>
      <diagonal/>
    </border>
    <border>
      <left/>
      <right style="thin">
        <color theme="3" tint="-0.499984740745262"/>
      </right>
      <top style="medium">
        <color theme="3" tint="-0.499984740745262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18"/>
      </bottom>
      <diagonal/>
    </border>
    <border>
      <left style="thin">
        <color theme="3" tint="-0.499984740745262"/>
      </left>
      <right/>
      <top style="medium">
        <color theme="3" tint="-0.499984740745262"/>
      </top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theme="3" tint="-0.499984740745262"/>
      </bottom>
      <diagonal/>
    </border>
    <border>
      <left/>
      <right style="thin">
        <color rgb="FF000066"/>
      </right>
      <top style="medium">
        <color theme="3" tint="-0.499984740745262"/>
      </top>
      <bottom/>
      <diagonal/>
    </border>
    <border>
      <left style="thin">
        <color rgb="FF000066"/>
      </left>
      <right style="thin">
        <color rgb="FF000066"/>
      </right>
      <top style="medium">
        <color theme="3" tint="-0.499984740745262"/>
      </top>
      <bottom/>
      <diagonal/>
    </border>
    <border>
      <left style="thin">
        <color rgb="FF000066"/>
      </left>
      <right/>
      <top style="medium">
        <color theme="3" tint="-0.499984740745262"/>
      </top>
      <bottom style="thin">
        <color auto="1"/>
      </bottom>
      <diagonal/>
    </border>
    <border>
      <left/>
      <right style="thin">
        <color rgb="FF000066"/>
      </right>
      <top style="medium">
        <color theme="3" tint="-0.499984740745262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medium">
        <color theme="3" tint="-0.499984740745262"/>
      </top>
      <bottom style="thin">
        <color theme="3" tint="-0.499984740745262"/>
      </bottom>
      <diagonal/>
    </border>
    <border>
      <left/>
      <right style="thin">
        <color rgb="FF000066"/>
      </right>
      <top/>
      <bottom style="medium">
        <color theme="3" tint="-0.499984740745262"/>
      </bottom>
      <diagonal/>
    </border>
    <border>
      <left style="thin">
        <color rgb="FF000066"/>
      </left>
      <right style="thin">
        <color rgb="FF000066"/>
      </right>
      <top/>
      <bottom style="medium">
        <color theme="3" tint="-0.499984740745262"/>
      </bottom>
      <diagonal/>
    </border>
    <border>
      <left/>
      <right style="thin">
        <color rgb="FF000066"/>
      </right>
      <top/>
      <bottom style="medium">
        <color rgb="FF000066"/>
      </bottom>
      <diagonal/>
    </border>
    <border>
      <left style="thin">
        <color rgb="FF000066"/>
      </left>
      <right/>
      <top/>
      <bottom/>
      <diagonal/>
    </border>
    <border>
      <left style="thin">
        <color rgb="FF000066"/>
      </left>
      <right/>
      <top style="medium">
        <color theme="3" tint="-0.499984740745262"/>
      </top>
      <bottom style="thin">
        <color theme="3" tint="-0.499984740745262"/>
      </bottom>
      <diagonal/>
    </border>
    <border>
      <left style="thin">
        <color rgb="FF000066"/>
      </left>
      <right/>
      <top style="thin">
        <color theme="3" tint="-0.499984740745262"/>
      </top>
      <bottom style="medium">
        <color theme="3" tint="-0.499984740745262"/>
      </bottom>
      <diagonal/>
    </border>
    <border>
      <left style="thin">
        <color rgb="FF000066"/>
      </left>
      <right/>
      <top style="medium">
        <color theme="3" tint="-0.499984740745262"/>
      </top>
      <bottom/>
      <diagonal/>
    </border>
    <border>
      <left style="thin">
        <color rgb="FF002060"/>
      </left>
      <right style="thin">
        <color auto="1"/>
      </right>
      <top/>
      <bottom/>
      <diagonal/>
    </border>
    <border>
      <left style="thin">
        <color rgb="FF000066"/>
      </left>
      <right/>
      <top/>
      <bottom style="medium">
        <color rgb="FF000066"/>
      </bottom>
      <diagonal/>
    </border>
    <border>
      <left style="thin">
        <color auto="1"/>
      </left>
      <right style="thin">
        <color rgb="FF002060"/>
      </right>
      <top/>
      <bottom style="thin">
        <color auto="1"/>
      </bottom>
      <diagonal/>
    </border>
    <border>
      <left style="thin">
        <color rgb="FF002060"/>
      </left>
      <right style="thin">
        <color rgb="FF002060"/>
      </right>
      <top/>
      <bottom style="thin">
        <color indexed="64"/>
      </bottom>
      <diagonal/>
    </border>
    <border>
      <left style="thin">
        <color rgb="FF000066"/>
      </left>
      <right style="thin">
        <color auto="1"/>
      </right>
      <top/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2"/>
      </right>
      <top/>
      <bottom/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/>
      <diagonal/>
    </border>
    <border>
      <left style="thin">
        <color indexed="64"/>
      </left>
      <right style="thin">
        <color theme="3" tint="-0.499984740745262"/>
      </right>
      <top/>
      <bottom/>
      <diagonal/>
    </border>
    <border>
      <left style="thin">
        <color indexed="64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theme="3" tint="-0.499984740745262"/>
      </left>
      <right/>
      <top style="medium">
        <color auto="1"/>
      </top>
      <bottom style="thin">
        <color auto="1"/>
      </bottom>
      <diagonal/>
    </border>
    <border>
      <left style="thin">
        <color theme="3" tint="-0.24994659260841701"/>
      </left>
      <right/>
      <top/>
      <bottom/>
      <diagonal/>
    </border>
    <border>
      <left style="thin">
        <color indexed="64"/>
      </left>
      <right style="thin">
        <color theme="3" tint="-0.2499465926084170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3" tint="-0.499984740745262"/>
      </right>
      <top/>
      <bottom style="thin">
        <color theme="3" tint="-0.499984740745262"/>
      </bottom>
      <diagonal/>
    </border>
    <border>
      <left/>
      <right/>
      <top/>
      <bottom style="thin">
        <color indexed="64"/>
      </bottom>
      <diagonal/>
    </border>
    <border>
      <left style="thin">
        <color rgb="FF002060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rgb="FF002060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66"/>
      </left>
      <right style="thin">
        <color rgb="FF000066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66"/>
      </right>
      <top/>
      <bottom/>
      <diagonal/>
    </border>
    <border>
      <left style="thin">
        <color indexed="64"/>
      </left>
      <right style="thin">
        <color rgb="FF000066"/>
      </right>
      <top style="thin">
        <color indexed="64"/>
      </top>
      <bottom/>
      <diagonal/>
    </border>
    <border>
      <left style="thin">
        <color indexed="64"/>
      </left>
      <right style="thin">
        <color rgb="FF000066"/>
      </right>
      <top style="thin">
        <color indexed="64"/>
      </top>
      <bottom/>
      <diagonal/>
    </border>
    <border>
      <left style="thin">
        <color indexed="64"/>
      </left>
      <right style="thin">
        <color theme="3" tint="-0.499984740745262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theme="3" tint="-0.499984740745262"/>
      </left>
      <right/>
      <top/>
      <bottom style="thin">
        <color auto="1"/>
      </bottom>
      <diagonal/>
    </border>
    <border>
      <left style="thin">
        <color rgb="FF000066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3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auto="1"/>
      </bottom>
      <diagonal/>
    </border>
    <border>
      <left/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3" tint="-0.499984740745262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/>
      <top style="thin">
        <color auto="1"/>
      </top>
      <bottom style="thin">
        <color auto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indexed="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indexed="62"/>
      </top>
      <bottom style="thin">
        <color indexed="62"/>
      </bottom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/>
      <bottom style="thin">
        <color indexed="18"/>
      </bottom>
      <diagonal/>
    </border>
    <border>
      <left style="thin">
        <color theme="1"/>
      </left>
      <right/>
      <top/>
      <bottom style="thin">
        <color theme="3" tint="-0.499984740745262"/>
      </bottom>
      <diagonal/>
    </border>
    <border>
      <left style="thin">
        <color theme="1"/>
      </left>
      <right style="thin">
        <color theme="1"/>
      </right>
      <top style="thin">
        <color theme="3" tint="-0.499984740745262"/>
      </top>
      <bottom/>
      <diagonal/>
    </border>
    <border>
      <left style="thin">
        <color theme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3" tint="-0.499984740745262"/>
      </right>
      <top style="thin">
        <color indexed="64"/>
      </top>
      <bottom style="thin">
        <color auto="1"/>
      </bottom>
      <diagonal/>
    </border>
    <border>
      <left/>
      <right style="thin">
        <color theme="3" tint="-0.499984740745262"/>
      </right>
      <top style="thin">
        <color indexed="64"/>
      </top>
      <bottom/>
      <diagonal/>
    </border>
    <border>
      <left style="thin">
        <color theme="3" tint="-0.499984740745262"/>
      </left>
      <right/>
      <top style="thin">
        <color indexed="64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/>
      <top style="thin">
        <color indexed="64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 style="thin">
        <color indexed="62"/>
      </bottom>
      <diagonal/>
    </border>
    <border>
      <left style="thin">
        <color theme="3" tint="-0.499984740745262"/>
      </left>
      <right/>
      <top style="thin">
        <color auto="1"/>
      </top>
      <bottom style="medium">
        <color indexed="64"/>
      </bottom>
      <diagonal/>
    </border>
    <border>
      <left/>
      <right style="thin">
        <color theme="3" tint="-0.499984740745262"/>
      </right>
      <top style="thin">
        <color auto="1"/>
      </top>
      <bottom style="medium">
        <color indexed="64"/>
      </bottom>
      <diagonal/>
    </border>
    <border>
      <left style="thin">
        <color theme="3" tint="-0.499984740745262"/>
      </left>
      <right/>
      <top style="thin">
        <color auto="1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/>
      <diagonal/>
    </border>
    <border>
      <left style="thin">
        <color theme="3" tint="-0.499984740745262"/>
      </left>
      <right/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/>
      <top style="thin">
        <color indexed="62"/>
      </top>
      <bottom style="thin">
        <color auto="1"/>
      </bottom>
      <diagonal/>
    </border>
    <border>
      <left/>
      <right style="thin">
        <color theme="3" tint="-0.499984740745262"/>
      </right>
      <top/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62"/>
      </bottom>
      <diagonal/>
    </border>
    <border>
      <left style="thin">
        <color theme="3" tint="-0.499984740745262"/>
      </left>
      <right/>
      <top/>
      <bottom style="thin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2"/>
      </bottom>
      <diagonal/>
    </border>
    <border>
      <left style="thin">
        <color indexed="64"/>
      </left>
      <right style="thin">
        <color theme="3" tint="-0.499984740745262"/>
      </right>
      <top style="thin">
        <color auto="1"/>
      </top>
      <bottom style="thin">
        <color indexed="62"/>
      </bottom>
      <diagonal/>
    </border>
    <border>
      <left/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/>
      <top style="thin">
        <color indexed="62"/>
      </top>
      <bottom style="thin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2"/>
      </top>
      <bottom style="thin">
        <color indexed="62"/>
      </bottom>
      <diagonal/>
    </border>
    <border>
      <left style="thin">
        <color indexed="64"/>
      </left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 style="thin">
        <color indexed="62"/>
      </bottom>
      <diagonal/>
    </border>
    <border>
      <left style="medium">
        <color indexed="64"/>
      </left>
      <right style="thin">
        <color indexed="62"/>
      </right>
      <top style="thin">
        <color indexed="64"/>
      </top>
      <bottom style="thin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4"/>
      </top>
      <bottom style="thin">
        <color indexed="64"/>
      </bottom>
      <diagonal/>
    </border>
    <border>
      <left style="thin">
        <color indexed="6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2"/>
      </right>
      <top style="thin">
        <color indexed="64"/>
      </top>
      <bottom style="thin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2"/>
      </left>
      <right style="thin">
        <color indexed="62"/>
      </right>
      <top/>
      <bottom style="thin">
        <color auto="1"/>
      </bottom>
      <diagonal/>
    </border>
    <border>
      <left style="thin">
        <color indexed="62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2"/>
      </right>
      <top/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/>
      <right style="thin">
        <color indexed="62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164" fontId="53" fillId="0" borderId="0" applyFill="0" applyBorder="0" applyAlignment="0" applyProtection="0"/>
    <xf numFmtId="165" fontId="53" fillId="0" borderId="0" applyFill="0" applyBorder="0" applyAlignment="0" applyProtection="0"/>
    <xf numFmtId="0" fontId="53" fillId="0" borderId="0"/>
    <xf numFmtId="0" fontId="53" fillId="0" borderId="0"/>
    <xf numFmtId="0" fontId="77" fillId="0" borderId="0"/>
    <xf numFmtId="0" fontId="53" fillId="0" borderId="0"/>
  </cellStyleXfs>
  <cellXfs count="882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0" fontId="0" fillId="0" borderId="0" xfId="0" applyAlignment="1">
      <alignment horizontal="center"/>
    </xf>
    <xf numFmtId="0" fontId="2" fillId="0" borderId="0" xfId="0" applyFont="1"/>
    <xf numFmtId="0" fontId="0" fillId="0" borderId="5" xfId="0" applyBorder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center"/>
    </xf>
    <xf numFmtId="0" fontId="10" fillId="0" borderId="0" xfId="0" applyFont="1"/>
    <xf numFmtId="3" fontId="9" fillId="0" borderId="22" xfId="0" applyNumberFormat="1" applyFont="1" applyBorder="1" applyAlignment="1">
      <alignment horizontal="left"/>
    </xf>
    <xf numFmtId="3" fontId="9" fillId="0" borderId="23" xfId="0" applyNumberFormat="1" applyFont="1" applyBorder="1" applyAlignment="1">
      <alignment horizontal="left"/>
    </xf>
    <xf numFmtId="3" fontId="9" fillId="0" borderId="23" xfId="0" applyNumberFormat="1" applyFont="1" applyBorder="1"/>
    <xf numFmtId="3" fontId="9" fillId="0" borderId="18" xfId="0" applyNumberFormat="1" applyFont="1" applyBorder="1" applyAlignment="1">
      <alignment horizontal="left"/>
    </xf>
    <xf numFmtId="3" fontId="9" fillId="0" borderId="19" xfId="0" applyNumberFormat="1" applyFont="1" applyBorder="1" applyAlignment="1">
      <alignment horizontal="left"/>
    </xf>
    <xf numFmtId="3" fontId="9" fillId="0" borderId="19" xfId="0" applyNumberFormat="1" applyFont="1" applyBorder="1"/>
    <xf numFmtId="49" fontId="11" fillId="0" borderId="18" xfId="0" applyNumberFormat="1" applyFont="1" applyBorder="1" applyAlignment="1">
      <alignment horizontal="left"/>
    </xf>
    <xf numFmtId="3" fontId="11" fillId="0" borderId="19" xfId="0" applyNumberFormat="1" applyFont="1" applyBorder="1" applyAlignment="1">
      <alignment horizontal="left"/>
    </xf>
    <xf numFmtId="3" fontId="11" fillId="0" borderId="19" xfId="0" applyNumberFormat="1" applyFont="1" applyBorder="1"/>
    <xf numFmtId="3" fontId="12" fillId="0" borderId="19" xfId="0" applyNumberFormat="1" applyFont="1" applyBorder="1"/>
    <xf numFmtId="3" fontId="13" fillId="0" borderId="19" xfId="0" applyNumberFormat="1" applyFont="1" applyBorder="1"/>
    <xf numFmtId="3" fontId="9" fillId="0" borderId="24" xfId="0" applyNumberFormat="1" applyFont="1" applyBorder="1" applyAlignment="1">
      <alignment horizontal="left"/>
    </xf>
    <xf numFmtId="3" fontId="9" fillId="0" borderId="25" xfId="0" applyNumberFormat="1" applyFont="1" applyBorder="1" applyAlignment="1">
      <alignment horizontal="left"/>
    </xf>
    <xf numFmtId="3" fontId="9" fillId="0" borderId="25" xfId="0" applyNumberFormat="1" applyFont="1" applyBorder="1"/>
    <xf numFmtId="3" fontId="11" fillId="0" borderId="18" xfId="0" applyNumberFormat="1" applyFont="1" applyBorder="1" applyAlignment="1">
      <alignment horizontal="left"/>
    </xf>
    <xf numFmtId="3" fontId="11" fillId="0" borderId="18" xfId="0" applyNumberFormat="1" applyFont="1" applyBorder="1"/>
    <xf numFmtId="3" fontId="11" fillId="0" borderId="19" xfId="0" applyNumberFormat="1" applyFont="1" applyBorder="1" applyAlignment="1">
      <alignment vertical="center"/>
    </xf>
    <xf numFmtId="3" fontId="9" fillId="0" borderId="26" xfId="0" applyNumberFormat="1" applyFont="1" applyBorder="1" applyAlignment="1">
      <alignment horizontal="left"/>
    </xf>
    <xf numFmtId="3" fontId="9" fillId="0" borderId="27" xfId="0" applyNumberFormat="1" applyFont="1" applyBorder="1" applyAlignment="1">
      <alignment horizontal="left"/>
    </xf>
    <xf numFmtId="3" fontId="9" fillId="0" borderId="27" xfId="0" applyNumberFormat="1" applyFont="1" applyBorder="1"/>
    <xf numFmtId="3" fontId="12" fillId="0" borderId="22" xfId="0" applyNumberFormat="1" applyFont="1" applyBorder="1" applyAlignment="1">
      <alignment horizontal="left"/>
    </xf>
    <xf numFmtId="3" fontId="9" fillId="0" borderId="23" xfId="0" applyNumberFormat="1" applyFont="1" applyBorder="1" applyAlignment="1">
      <alignment horizontal="center" vertical="center"/>
    </xf>
    <xf numFmtId="3" fontId="9" fillId="0" borderId="23" xfId="0" applyNumberFormat="1" applyFont="1" applyBorder="1" applyAlignment="1">
      <alignment vertical="center"/>
    </xf>
    <xf numFmtId="166" fontId="14" fillId="0" borderId="0" xfId="0" applyNumberFormat="1" applyFont="1" applyAlignment="1">
      <alignment horizontal="left"/>
    </xf>
    <xf numFmtId="166" fontId="15" fillId="0" borderId="0" xfId="0" applyNumberFormat="1" applyFont="1" applyAlignment="1">
      <alignment horizontal="left"/>
    </xf>
    <xf numFmtId="3" fontId="16" fillId="0" borderId="0" xfId="0" applyNumberFormat="1" applyFont="1"/>
    <xf numFmtId="4" fontId="0" fillId="0" borderId="0" xfId="0" applyNumberFormat="1"/>
    <xf numFmtId="166" fontId="17" fillId="0" borderId="0" xfId="0" applyNumberFormat="1" applyFont="1" applyAlignment="1">
      <alignment horizontal="left"/>
    </xf>
    <xf numFmtId="0" fontId="15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4" fillId="0" borderId="0" xfId="0" applyFont="1"/>
    <xf numFmtId="0" fontId="20" fillId="0" borderId="0" xfId="0" applyFont="1"/>
    <xf numFmtId="169" fontId="16" fillId="0" borderId="0" xfId="0" applyNumberFormat="1" applyFont="1"/>
    <xf numFmtId="168" fontId="21" fillId="0" borderId="0" xfId="0" applyNumberFormat="1" applyFont="1" applyAlignment="1">
      <alignment horizontal="right"/>
    </xf>
    <xf numFmtId="4" fontId="18" fillId="0" borderId="0" xfId="0" applyNumberFormat="1" applyFont="1" applyAlignment="1">
      <alignment vertical="center"/>
    </xf>
    <xf numFmtId="4" fontId="19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4" fontId="22" fillId="0" borderId="0" xfId="0" applyNumberFormat="1" applyFont="1" applyAlignment="1">
      <alignment vertical="center"/>
    </xf>
    <xf numFmtId="4" fontId="23" fillId="0" borderId="0" xfId="0" applyNumberFormat="1" applyFont="1" applyAlignment="1">
      <alignment vertical="center"/>
    </xf>
    <xf numFmtId="49" fontId="17" fillId="0" borderId="0" xfId="0" applyNumberFormat="1" applyFont="1" applyAlignment="1">
      <alignment horizontal="left"/>
    </xf>
    <xf numFmtId="0" fontId="26" fillId="0" borderId="0" xfId="0" applyFont="1"/>
    <xf numFmtId="0" fontId="24" fillId="0" borderId="0" xfId="0" applyFont="1"/>
    <xf numFmtId="169" fontId="27" fillId="0" borderId="0" xfId="0" applyNumberFormat="1" applyFont="1" applyAlignment="1">
      <alignment horizontal="center"/>
    </xf>
    <xf numFmtId="3" fontId="28" fillId="0" borderId="0" xfId="0" applyNumberFormat="1" applyFont="1" applyAlignment="1">
      <alignment horizontal="center"/>
    </xf>
    <xf numFmtId="3" fontId="29" fillId="0" borderId="0" xfId="0" applyNumberFormat="1" applyFont="1" applyAlignment="1">
      <alignment horizontal="center"/>
    </xf>
    <xf numFmtId="3" fontId="27" fillId="0" borderId="0" xfId="0" applyNumberFormat="1" applyFont="1" applyAlignment="1">
      <alignment horizontal="center"/>
    </xf>
    <xf numFmtId="3" fontId="31" fillId="0" borderId="0" xfId="0" applyNumberFormat="1" applyFont="1" applyAlignment="1">
      <alignment horizontal="center"/>
    </xf>
    <xf numFmtId="0" fontId="32" fillId="0" borderId="0" xfId="0" applyFont="1"/>
    <xf numFmtId="0" fontId="6" fillId="0" borderId="3" xfId="0" applyFont="1" applyBorder="1" applyAlignment="1">
      <alignment horizontal="center" vertical="center"/>
    </xf>
    <xf numFmtId="3" fontId="8" fillId="0" borderId="12" xfId="0" applyNumberFormat="1" applyFont="1" applyBorder="1"/>
    <xf numFmtId="3" fontId="8" fillId="0" borderId="39" xfId="0" applyNumberFormat="1" applyFont="1" applyBorder="1"/>
    <xf numFmtId="3" fontId="32" fillId="0" borderId="4" xfId="0" applyNumberFormat="1" applyFont="1" applyBorder="1"/>
    <xf numFmtId="3" fontId="32" fillId="0" borderId="40" xfId="0" applyNumberFormat="1" applyFont="1" applyBorder="1"/>
    <xf numFmtId="4" fontId="32" fillId="0" borderId="40" xfId="0" applyNumberFormat="1" applyFont="1" applyBorder="1"/>
    <xf numFmtId="0" fontId="0" fillId="0" borderId="41" xfId="0" applyBorder="1" applyAlignment="1">
      <alignment horizontal="left" vertical="center" wrapText="1"/>
    </xf>
    <xf numFmtId="3" fontId="32" fillId="0" borderId="4" xfId="0" applyNumberFormat="1" applyFont="1" applyBorder="1" applyAlignment="1">
      <alignment vertical="center"/>
    </xf>
    <xf numFmtId="3" fontId="32" fillId="0" borderId="40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6" fillId="0" borderId="42" xfId="0" applyFont="1" applyBorder="1" applyAlignment="1">
      <alignment horizontal="center" vertical="center"/>
    </xf>
    <xf numFmtId="3" fontId="8" fillId="3" borderId="43" xfId="0" applyNumberFormat="1" applyFont="1" applyFill="1" applyBorder="1"/>
    <xf numFmtId="0" fontId="0" fillId="0" borderId="41" xfId="0" applyBorder="1" applyAlignment="1">
      <alignment wrapText="1"/>
    </xf>
    <xf numFmtId="3" fontId="32" fillId="3" borderId="4" xfId="0" applyNumberFormat="1" applyFont="1" applyFill="1" applyBorder="1"/>
    <xf numFmtId="3" fontId="32" fillId="3" borderId="40" xfId="0" applyNumberFormat="1" applyFont="1" applyFill="1" applyBorder="1"/>
    <xf numFmtId="3" fontId="33" fillId="0" borderId="40" xfId="0" applyNumberFormat="1" applyFont="1" applyBorder="1"/>
    <xf numFmtId="3" fontId="32" fillId="3" borderId="0" xfId="0" applyNumberFormat="1" applyFont="1" applyFill="1"/>
    <xf numFmtId="0" fontId="0" fillId="0" borderId="31" xfId="0" applyBorder="1"/>
    <xf numFmtId="0" fontId="0" fillId="0" borderId="8" xfId="0" applyBorder="1"/>
    <xf numFmtId="0" fontId="0" fillId="0" borderId="13" xfId="0" applyBorder="1"/>
    <xf numFmtId="3" fontId="0" fillId="0" borderId="8" xfId="0" applyNumberFormat="1" applyBorder="1"/>
    <xf numFmtId="0" fontId="0" fillId="0" borderId="29" xfId="0" applyBorder="1"/>
    <xf numFmtId="0" fontId="0" fillId="0" borderId="6" xfId="0" applyBorder="1"/>
    <xf numFmtId="3" fontId="0" fillId="0" borderId="29" xfId="0" applyNumberFormat="1" applyBorder="1"/>
    <xf numFmtId="3" fontId="0" fillId="0" borderId="6" xfId="0" applyNumberFormat="1" applyBorder="1"/>
    <xf numFmtId="3" fontId="33" fillId="0" borderId="0" xfId="0" applyNumberFormat="1" applyFont="1"/>
    <xf numFmtId="0" fontId="0" fillId="0" borderId="41" xfId="0" applyBorder="1" applyAlignment="1">
      <alignment vertical="center"/>
    </xf>
    <xf numFmtId="3" fontId="32" fillId="3" borderId="7" xfId="0" applyNumberFormat="1" applyFont="1" applyFill="1" applyBorder="1"/>
    <xf numFmtId="0" fontId="0" fillId="0" borderId="5" xfId="0" applyBorder="1" applyAlignment="1">
      <alignment horizontal="left" vertical="center" wrapText="1"/>
    </xf>
    <xf numFmtId="3" fontId="33" fillId="0" borderId="7" xfId="0" applyNumberFormat="1" applyFont="1" applyBorder="1"/>
    <xf numFmtId="0" fontId="14" fillId="0" borderId="0" xfId="0" applyFont="1"/>
    <xf numFmtId="0" fontId="16" fillId="0" borderId="0" xfId="0" applyFont="1" applyAlignment="1">
      <alignment horizontal="left" vertical="center" wrapText="1"/>
    </xf>
    <xf numFmtId="170" fontId="0" fillId="0" borderId="0" xfId="0" applyNumberFormat="1"/>
    <xf numFmtId="3" fontId="8" fillId="0" borderId="2" xfId="0" applyNumberFormat="1" applyFont="1" applyBorder="1"/>
    <xf numFmtId="171" fontId="32" fillId="0" borderId="40" xfId="0" applyNumberFormat="1" applyFont="1" applyBorder="1"/>
    <xf numFmtId="3" fontId="32" fillId="0" borderId="0" xfId="0" applyNumberFormat="1" applyFont="1"/>
    <xf numFmtId="171" fontId="32" fillId="0" borderId="40" xfId="0" applyNumberFormat="1" applyFont="1" applyBorder="1" applyAlignment="1">
      <alignment vertical="center" wrapText="1"/>
    </xf>
    <xf numFmtId="3" fontId="32" fillId="0" borderId="0" xfId="0" applyNumberFormat="1" applyFont="1" applyAlignment="1">
      <alignment vertical="center"/>
    </xf>
    <xf numFmtId="171" fontId="32" fillId="0" borderId="40" xfId="0" applyNumberFormat="1" applyFont="1" applyBorder="1" applyAlignment="1">
      <alignment vertical="center"/>
    </xf>
    <xf numFmtId="4" fontId="0" fillId="0" borderId="0" xfId="0" applyNumberFormat="1" applyAlignment="1">
      <alignment vertical="center"/>
    </xf>
    <xf numFmtId="3" fontId="2" fillId="0" borderId="0" xfId="0" applyNumberFormat="1" applyFont="1"/>
    <xf numFmtId="0" fontId="14" fillId="4" borderId="41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/>
    </xf>
    <xf numFmtId="0" fontId="34" fillId="3" borderId="4" xfId="0" applyFont="1" applyFill="1" applyBorder="1" applyAlignment="1">
      <alignment horizontal="center" vertical="center"/>
    </xf>
    <xf numFmtId="0" fontId="34" fillId="3" borderId="4" xfId="0" applyFont="1" applyFill="1" applyBorder="1" applyAlignment="1">
      <alignment horizontal="center" vertical="center" wrapText="1"/>
    </xf>
    <xf numFmtId="3" fontId="34" fillId="3" borderId="4" xfId="0" applyNumberFormat="1" applyFont="1" applyFill="1" applyBorder="1" applyAlignment="1">
      <alignment horizontal="center" vertical="center" wrapText="1"/>
    </xf>
    <xf numFmtId="0" fontId="16" fillId="0" borderId="41" xfId="0" applyFont="1" applyBorder="1"/>
    <xf numFmtId="0" fontId="6" fillId="0" borderId="4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36" fillId="0" borderId="41" xfId="0" applyFont="1" applyBorder="1" applyAlignment="1">
      <alignment horizontal="center"/>
    </xf>
    <xf numFmtId="0" fontId="16" fillId="0" borderId="4" xfId="0" applyFont="1" applyBorder="1" applyAlignment="1">
      <alignment horizontal="center" vertical="center"/>
    </xf>
    <xf numFmtId="0" fontId="14" fillId="0" borderId="4" xfId="0" applyFont="1" applyBorder="1"/>
    <xf numFmtId="3" fontId="0" fillId="0" borderId="4" xfId="0" applyNumberFormat="1" applyBorder="1" applyAlignment="1">
      <alignment horizontal="right"/>
    </xf>
    <xf numFmtId="3" fontId="0" fillId="0" borderId="4" xfId="0" applyNumberFormat="1" applyBorder="1" applyAlignment="1">
      <alignment horizontal="center"/>
    </xf>
    <xf numFmtId="0" fontId="0" fillId="0" borderId="41" xfId="0" applyBorder="1" applyAlignment="1">
      <alignment horizontal="right"/>
    </xf>
    <xf numFmtId="3" fontId="0" fillId="0" borderId="4" xfId="0" applyNumberFormat="1" applyBorder="1"/>
    <xf numFmtId="0" fontId="14" fillId="0" borderId="4" xfId="0" applyFont="1" applyBorder="1" applyAlignment="1">
      <alignment horizontal="left"/>
    </xf>
    <xf numFmtId="3" fontId="6" fillId="0" borderId="4" xfId="0" applyNumberFormat="1" applyFont="1" applyBorder="1" applyAlignment="1">
      <alignment vertical="center"/>
    </xf>
    <xf numFmtId="0" fontId="6" fillId="0" borderId="41" xfId="0" applyFont="1" applyBorder="1" applyAlignment="1">
      <alignment horizontal="right"/>
    </xf>
    <xf numFmtId="49" fontId="0" fillId="0" borderId="41" xfId="0" applyNumberFormat="1" applyBorder="1" applyAlignment="1">
      <alignment horizontal="right"/>
    </xf>
    <xf numFmtId="49" fontId="6" fillId="0" borderId="41" xfId="0" applyNumberFormat="1" applyFont="1" applyBorder="1" applyAlignment="1">
      <alignment horizontal="right"/>
    </xf>
    <xf numFmtId="49" fontId="36" fillId="0" borderId="41" xfId="0" applyNumberFormat="1" applyFont="1" applyBorder="1" applyAlignment="1">
      <alignment horizontal="center"/>
    </xf>
    <xf numFmtId="49" fontId="6" fillId="0" borderId="44" xfId="0" applyNumberFormat="1" applyFont="1" applyBorder="1" applyAlignment="1">
      <alignment horizontal="right"/>
    </xf>
    <xf numFmtId="0" fontId="14" fillId="0" borderId="48" xfId="0" applyFont="1" applyBorder="1"/>
    <xf numFmtId="3" fontId="0" fillId="0" borderId="48" xfId="0" applyNumberFormat="1" applyBorder="1"/>
    <xf numFmtId="49" fontId="6" fillId="0" borderId="0" xfId="0" applyNumberFormat="1" applyFont="1" applyAlignment="1">
      <alignment horizontal="right"/>
    </xf>
    <xf numFmtId="0" fontId="16" fillId="0" borderId="0" xfId="0" applyFont="1" applyAlignment="1">
      <alignment horizontal="left"/>
    </xf>
    <xf numFmtId="3" fontId="34" fillId="0" borderId="0" xfId="0" applyNumberFormat="1" applyFont="1"/>
    <xf numFmtId="49" fontId="37" fillId="0" borderId="0" xfId="0" applyNumberFormat="1" applyFont="1"/>
    <xf numFmtId="37" fontId="29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0" fontId="34" fillId="3" borderId="46" xfId="0" applyFont="1" applyFill="1" applyBorder="1" applyAlignment="1">
      <alignment horizontal="center" vertical="center" wrapText="1"/>
    </xf>
    <xf numFmtId="4" fontId="6" fillId="0" borderId="0" xfId="0" applyNumberFormat="1" applyFont="1"/>
    <xf numFmtId="172" fontId="0" fillId="0" borderId="0" xfId="0" applyNumberFormat="1"/>
    <xf numFmtId="0" fontId="34" fillId="0" borderId="0" xfId="0" applyFont="1"/>
    <xf numFmtId="0" fontId="0" fillId="0" borderId="0" xfId="0" applyAlignment="1">
      <alignment horizontal="left"/>
    </xf>
    <xf numFmtId="0" fontId="16" fillId="0" borderId="0" xfId="0" applyFont="1"/>
    <xf numFmtId="168" fontId="0" fillId="0" borderId="0" xfId="0" applyNumberFormat="1"/>
    <xf numFmtId="0" fontId="5" fillId="0" borderId="0" xfId="0" applyFont="1"/>
    <xf numFmtId="0" fontId="39" fillId="0" borderId="0" xfId="0" applyFont="1"/>
    <xf numFmtId="3" fontId="16" fillId="0" borderId="41" xfId="0" applyNumberFormat="1" applyFont="1" applyBorder="1" applyAlignment="1">
      <alignment horizontal="left"/>
    </xf>
    <xf numFmtId="3" fontId="16" fillId="0" borderId="4" xfId="0" applyNumberFormat="1" applyFont="1" applyBorder="1" applyAlignment="1">
      <alignment horizontal="left"/>
    </xf>
    <xf numFmtId="3" fontId="16" fillId="0" borderId="4" xfId="0" applyNumberFormat="1" applyFont="1" applyBorder="1"/>
    <xf numFmtId="3" fontId="14" fillId="0" borderId="41" xfId="0" applyNumberFormat="1" applyFont="1" applyBorder="1" applyAlignment="1">
      <alignment horizontal="left"/>
    </xf>
    <xf numFmtId="3" fontId="14" fillId="0" borderId="4" xfId="0" applyNumberFormat="1" applyFont="1" applyBorder="1" applyAlignment="1">
      <alignment horizontal="left"/>
    </xf>
    <xf numFmtId="3" fontId="14" fillId="0" borderId="4" xfId="0" applyNumberFormat="1" applyFont="1" applyBorder="1"/>
    <xf numFmtId="49" fontId="16" fillId="0" borderId="41" xfId="0" applyNumberFormat="1" applyFont="1" applyBorder="1" applyAlignment="1">
      <alignment horizontal="left"/>
    </xf>
    <xf numFmtId="49" fontId="14" fillId="0" borderId="41" xfId="0" applyNumberFormat="1" applyFont="1" applyBorder="1" applyAlignment="1">
      <alignment horizontal="left"/>
    </xf>
    <xf numFmtId="3" fontId="14" fillId="0" borderId="41" xfId="0" applyNumberFormat="1" applyFont="1" applyBorder="1"/>
    <xf numFmtId="3" fontId="16" fillId="0" borderId="41" xfId="0" applyNumberFormat="1" applyFont="1" applyBorder="1"/>
    <xf numFmtId="168" fontId="16" fillId="0" borderId="46" xfId="0" applyNumberFormat="1" applyFont="1" applyBorder="1" applyAlignment="1">
      <alignment horizontal="center"/>
    </xf>
    <xf numFmtId="168" fontId="14" fillId="0" borderId="46" xfId="0" applyNumberFormat="1" applyFont="1" applyBorder="1" applyAlignment="1">
      <alignment horizontal="center"/>
    </xf>
    <xf numFmtId="168" fontId="16" fillId="0" borderId="55" xfId="0" applyNumberFormat="1" applyFont="1" applyBorder="1" applyAlignment="1">
      <alignment horizontal="center" vertical="center"/>
    </xf>
    <xf numFmtId="0" fontId="0" fillId="3" borderId="0" xfId="0" applyFill="1"/>
    <xf numFmtId="3" fontId="16" fillId="0" borderId="41" xfId="0" applyNumberFormat="1" applyFont="1" applyBorder="1" applyAlignment="1">
      <alignment horizontal="left" vertical="center" wrapText="1"/>
    </xf>
    <xf numFmtId="3" fontId="16" fillId="0" borderId="4" xfId="0" applyNumberFormat="1" applyFont="1" applyBorder="1" applyAlignment="1">
      <alignment vertical="center" wrapText="1"/>
    </xf>
    <xf numFmtId="3" fontId="14" fillId="0" borderId="41" xfId="0" applyNumberFormat="1" applyFont="1" applyBorder="1" applyAlignment="1">
      <alignment horizontal="left" vertical="center" wrapText="1"/>
    </xf>
    <xf numFmtId="3" fontId="14" fillId="0" borderId="4" xfId="0" applyNumberFormat="1" applyFont="1" applyBorder="1" applyAlignment="1">
      <alignment vertical="center" wrapText="1"/>
    </xf>
    <xf numFmtId="3" fontId="14" fillId="0" borderId="0" xfId="0" applyNumberFormat="1" applyFont="1"/>
    <xf numFmtId="3" fontId="14" fillId="0" borderId="40" xfId="0" applyNumberFormat="1" applyFont="1" applyBorder="1" applyAlignment="1">
      <alignment horizontal="left"/>
    </xf>
    <xf numFmtId="3" fontId="16" fillId="0" borderId="52" xfId="0" applyNumberFormat="1" applyFont="1" applyBorder="1" applyAlignment="1">
      <alignment horizontal="left" vertical="center"/>
    </xf>
    <xf numFmtId="3" fontId="16" fillId="0" borderId="53" xfId="0" applyNumberFormat="1" applyFont="1" applyBorder="1" applyAlignment="1">
      <alignment vertical="center"/>
    </xf>
    <xf numFmtId="3" fontId="16" fillId="0" borderId="4" xfId="0" applyNumberFormat="1" applyFont="1" applyBorder="1" applyAlignment="1">
      <alignment vertical="center"/>
    </xf>
    <xf numFmtId="3" fontId="14" fillId="0" borderId="53" xfId="0" applyNumberFormat="1" applyFont="1" applyBorder="1"/>
    <xf numFmtId="3" fontId="14" fillId="0" borderId="53" xfId="0" applyNumberFormat="1" applyFont="1" applyBorder="1" applyAlignment="1">
      <alignment horizontal="left"/>
    </xf>
    <xf numFmtId="3" fontId="16" fillId="0" borderId="53" xfId="0" applyNumberFormat="1" applyFont="1" applyBorder="1"/>
    <xf numFmtId="168" fontId="16" fillId="0" borderId="54" xfId="0" applyNumberFormat="1" applyFont="1" applyBorder="1" applyAlignment="1">
      <alignment horizontal="center" vertical="center"/>
    </xf>
    <xf numFmtId="3" fontId="42" fillId="0" borderId="0" xfId="0" applyNumberFormat="1" applyFont="1"/>
    <xf numFmtId="168" fontId="14" fillId="0" borderId="54" xfId="0" applyNumberFormat="1" applyFont="1" applyBorder="1" applyAlignment="1">
      <alignment horizontal="center"/>
    </xf>
    <xf numFmtId="3" fontId="14" fillId="0" borderId="19" xfId="0" applyNumberFormat="1" applyFont="1" applyBorder="1"/>
    <xf numFmtId="3" fontId="14" fillId="0" borderId="58" xfId="0" applyNumberFormat="1" applyFont="1" applyBorder="1" applyAlignment="1">
      <alignment horizontal="left"/>
    </xf>
    <xf numFmtId="3" fontId="16" fillId="0" borderId="58" xfId="0" applyNumberFormat="1" applyFont="1" applyBorder="1" applyAlignment="1">
      <alignment vertical="center"/>
    </xf>
    <xf numFmtId="3" fontId="16" fillId="0" borderId="59" xfId="0" applyNumberFormat="1" applyFont="1" applyBorder="1"/>
    <xf numFmtId="3" fontId="14" fillId="0" borderId="59" xfId="0" applyNumberFormat="1" applyFont="1" applyBorder="1" applyAlignment="1">
      <alignment horizontal="left"/>
    </xf>
    <xf numFmtId="3" fontId="14" fillId="0" borderId="59" xfId="0" applyNumberFormat="1" applyFont="1" applyBorder="1"/>
    <xf numFmtId="3" fontId="16" fillId="0" borderId="53" xfId="0" applyNumberFormat="1" applyFont="1" applyBorder="1" applyAlignment="1">
      <alignment horizontal="left"/>
    </xf>
    <xf numFmtId="4" fontId="5" fillId="0" borderId="0" xfId="0" applyNumberFormat="1" applyFont="1"/>
    <xf numFmtId="168" fontId="16" fillId="0" borderId="54" xfId="0" applyNumberFormat="1" applyFont="1" applyBorder="1" applyAlignment="1">
      <alignment horizontal="center"/>
    </xf>
    <xf numFmtId="4" fontId="44" fillId="0" borderId="0" xfId="0" applyNumberFormat="1" applyFont="1" applyAlignment="1">
      <alignment vertical="center"/>
    </xf>
    <xf numFmtId="4" fontId="1" fillId="0" borderId="0" xfId="0" applyNumberFormat="1" applyFont="1"/>
    <xf numFmtId="0" fontId="46" fillId="0" borderId="0" xfId="0" applyFont="1" applyAlignment="1">
      <alignment horizontal="center"/>
    </xf>
    <xf numFmtId="0" fontId="46" fillId="0" borderId="0" xfId="0" applyFont="1"/>
    <xf numFmtId="0" fontId="47" fillId="0" borderId="0" xfId="0" applyFont="1"/>
    <xf numFmtId="0" fontId="38" fillId="0" borderId="41" xfId="0" applyFont="1" applyBorder="1"/>
    <xf numFmtId="3" fontId="38" fillId="0" borderId="4" xfId="0" applyNumberFormat="1" applyFont="1" applyBorder="1"/>
    <xf numFmtId="3" fontId="50" fillId="0" borderId="4" xfId="0" applyNumberFormat="1" applyFont="1" applyBorder="1"/>
    <xf numFmtId="4" fontId="38" fillId="0" borderId="0" xfId="0" applyNumberFormat="1" applyFont="1"/>
    <xf numFmtId="0" fontId="8" fillId="0" borderId="0" xfId="0" applyFont="1"/>
    <xf numFmtId="0" fontId="3" fillId="0" borderId="0" xfId="0" applyFont="1"/>
    <xf numFmtId="170" fontId="38" fillId="0" borderId="46" xfId="0" applyNumberFormat="1" applyFont="1" applyBorder="1" applyAlignment="1">
      <alignment horizontal="center"/>
    </xf>
    <xf numFmtId="170" fontId="9" fillId="0" borderId="46" xfId="0" applyNumberFormat="1" applyFont="1" applyBorder="1" applyAlignment="1">
      <alignment horizontal="center"/>
    </xf>
    <xf numFmtId="170" fontId="48" fillId="0" borderId="46" xfId="0" applyNumberFormat="1" applyFont="1" applyBorder="1" applyAlignment="1">
      <alignment horizontal="center"/>
    </xf>
    <xf numFmtId="170" fontId="38" fillId="0" borderId="46" xfId="0" applyNumberFormat="1" applyFont="1" applyBorder="1" applyAlignment="1">
      <alignment horizontal="center" vertical="center"/>
    </xf>
    <xf numFmtId="0" fontId="53" fillId="0" borderId="0" xfId="0" applyFont="1"/>
    <xf numFmtId="3" fontId="54" fillId="0" borderId="0" xfId="0" applyNumberFormat="1" applyFont="1"/>
    <xf numFmtId="170" fontId="38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3" fontId="17" fillId="0" borderId="0" xfId="0" applyNumberFormat="1" applyFont="1"/>
    <xf numFmtId="0" fontId="38" fillId="0" borderId="18" xfId="0" applyFont="1" applyBorder="1"/>
    <xf numFmtId="0" fontId="48" fillId="0" borderId="18" xfId="0" applyFont="1" applyBorder="1"/>
    <xf numFmtId="170" fontId="55" fillId="0" borderId="0" xfId="0" applyNumberFormat="1" applyFont="1"/>
    <xf numFmtId="0" fontId="55" fillId="0" borderId="0" xfId="0" applyFont="1"/>
    <xf numFmtId="2" fontId="55" fillId="0" borderId="0" xfId="0" applyNumberFormat="1" applyFont="1"/>
    <xf numFmtId="0" fontId="11" fillId="0" borderId="0" xfId="0" applyFont="1"/>
    <xf numFmtId="0" fontId="0" fillId="0" borderId="68" xfId="0" applyBorder="1"/>
    <xf numFmtId="0" fontId="16" fillId="0" borderId="45" xfId="0" applyFont="1" applyBorder="1" applyAlignment="1">
      <alignment horizontal="center"/>
    </xf>
    <xf numFmtId="0" fontId="16" fillId="0" borderId="40" xfId="0" applyFont="1" applyBorder="1"/>
    <xf numFmtId="4" fontId="16" fillId="0" borderId="40" xfId="0" applyNumberFormat="1" applyFont="1" applyBorder="1"/>
    <xf numFmtId="4" fontId="16" fillId="0" borderId="40" xfId="0" applyNumberFormat="1" applyFont="1" applyBorder="1" applyAlignment="1">
      <alignment horizontal="left"/>
    </xf>
    <xf numFmtId="4" fontId="16" fillId="0" borderId="40" xfId="0" applyNumberFormat="1" applyFont="1" applyBorder="1" applyAlignment="1">
      <alignment horizontal="center"/>
    </xf>
    <xf numFmtId="0" fontId="38" fillId="0" borderId="45" xfId="0" applyFont="1" applyBorder="1" applyAlignment="1">
      <alignment horizontal="center"/>
    </xf>
    <xf numFmtId="0" fontId="38" fillId="0" borderId="40" xfId="0" applyFont="1" applyBorder="1"/>
    <xf numFmtId="3" fontId="38" fillId="0" borderId="40" xfId="0" applyNumberFormat="1" applyFont="1" applyBorder="1"/>
    <xf numFmtId="0" fontId="51" fillId="0" borderId="45" xfId="0" applyFont="1" applyBorder="1" applyAlignment="1">
      <alignment horizontal="left"/>
    </xf>
    <xf numFmtId="0" fontId="51" fillId="0" borderId="40" xfId="0" applyFont="1" applyBorder="1"/>
    <xf numFmtId="3" fontId="51" fillId="0" borderId="40" xfId="0" applyNumberFormat="1" applyFont="1" applyBorder="1"/>
    <xf numFmtId="0" fontId="48" fillId="0" borderId="45" xfId="0" applyFont="1" applyBorder="1" applyAlignment="1">
      <alignment horizontal="left"/>
    </xf>
    <xf numFmtId="0" fontId="48" fillId="0" borderId="40" xfId="0" applyFont="1" applyBorder="1" applyAlignment="1">
      <alignment horizontal="center"/>
    </xf>
    <xf numFmtId="3" fontId="48" fillId="0" borderId="40" xfId="0" applyNumberFormat="1" applyFont="1" applyBorder="1"/>
    <xf numFmtId="0" fontId="48" fillId="0" borderId="45" xfId="0" applyFont="1" applyBorder="1"/>
    <xf numFmtId="0" fontId="51" fillId="0" borderId="40" xfId="0" applyFont="1" applyBorder="1" applyAlignment="1">
      <alignment horizontal="center"/>
    </xf>
    <xf numFmtId="3" fontId="51" fillId="0" borderId="40" xfId="0" applyNumberFormat="1" applyFont="1" applyBorder="1" applyAlignment="1">
      <alignment horizontal="center"/>
    </xf>
    <xf numFmtId="0" fontId="38" fillId="0" borderId="40" xfId="0" applyFont="1" applyBorder="1" applyAlignment="1">
      <alignment horizontal="center"/>
    </xf>
    <xf numFmtId="3" fontId="38" fillId="0" borderId="40" xfId="0" applyNumberFormat="1" applyFont="1" applyBorder="1" applyAlignment="1">
      <alignment horizontal="right"/>
    </xf>
    <xf numFmtId="3" fontId="38" fillId="0" borderId="40" xfId="0" applyNumberFormat="1" applyFont="1" applyBorder="1" applyAlignment="1">
      <alignment horizontal="center"/>
    </xf>
    <xf numFmtId="0" fontId="38" fillId="0" borderId="45" xfId="0" applyFont="1" applyBorder="1" applyAlignment="1">
      <alignment horizontal="center" vertical="center" wrapText="1"/>
    </xf>
    <xf numFmtId="0" fontId="51" fillId="0" borderId="45" xfId="0" applyFont="1" applyBorder="1"/>
    <xf numFmtId="0" fontId="51" fillId="0" borderId="76" xfId="0" applyFont="1" applyBorder="1"/>
    <xf numFmtId="0" fontId="51" fillId="0" borderId="56" xfId="0" applyFont="1" applyBorder="1" applyAlignment="1">
      <alignment horizontal="center"/>
    </xf>
    <xf numFmtId="3" fontId="48" fillId="0" borderId="56" xfId="0" applyNumberFormat="1" applyFont="1" applyBorder="1"/>
    <xf numFmtId="3" fontId="51" fillId="0" borderId="56" xfId="0" applyNumberFormat="1" applyFont="1" applyBorder="1"/>
    <xf numFmtId="0" fontId="51" fillId="0" borderId="0" xfId="0" applyFont="1"/>
    <xf numFmtId="3" fontId="48" fillId="0" borderId="9" xfId="0" applyNumberFormat="1" applyFont="1" applyBorder="1"/>
    <xf numFmtId="3" fontId="48" fillId="0" borderId="0" xfId="0" applyNumberFormat="1" applyFont="1"/>
    <xf numFmtId="0" fontId="57" fillId="4" borderId="0" xfId="0" applyFont="1" applyFill="1" applyAlignment="1">
      <alignment horizontal="center"/>
    </xf>
    <xf numFmtId="167" fontId="38" fillId="2" borderId="81" xfId="0" applyNumberFormat="1" applyFont="1" applyFill="1" applyBorder="1"/>
    <xf numFmtId="4" fontId="58" fillId="0" borderId="0" xfId="0" applyNumberFormat="1" applyFont="1"/>
    <xf numFmtId="167" fontId="48" fillId="2" borderId="81" xfId="0" applyNumberFormat="1" applyFont="1" applyFill="1" applyBorder="1"/>
    <xf numFmtId="4" fontId="59" fillId="0" borderId="0" xfId="0" applyNumberFormat="1" applyFont="1"/>
    <xf numFmtId="3" fontId="6" fillId="0" borderId="0" xfId="0" applyNumberFormat="1" applyFont="1" applyAlignment="1">
      <alignment horizontal="center"/>
    </xf>
    <xf numFmtId="3" fontId="48" fillId="0" borderId="40" xfId="0" applyNumberFormat="1" applyFont="1" applyBorder="1" applyAlignment="1">
      <alignment horizontal="right"/>
    </xf>
    <xf numFmtId="3" fontId="51" fillId="0" borderId="40" xfId="0" applyNumberFormat="1" applyFont="1" applyBorder="1" applyAlignment="1">
      <alignment horizontal="right"/>
    </xf>
    <xf numFmtId="4" fontId="60" fillId="0" borderId="0" xfId="0" applyNumberFormat="1" applyFont="1"/>
    <xf numFmtId="4" fontId="61" fillId="0" borderId="0" xfId="0" applyNumberFormat="1" applyFont="1"/>
    <xf numFmtId="4" fontId="62" fillId="0" borderId="0" xfId="0" applyNumberFormat="1" applyFont="1"/>
    <xf numFmtId="3" fontId="63" fillId="3" borderId="0" xfId="0" applyNumberFormat="1" applyFont="1" applyFill="1"/>
    <xf numFmtId="3" fontId="64" fillId="0" borderId="0" xfId="0" applyNumberFormat="1" applyFont="1"/>
    <xf numFmtId="0" fontId="65" fillId="0" borderId="0" xfId="0" applyFont="1"/>
    <xf numFmtId="4" fontId="65" fillId="0" borderId="0" xfId="0" applyNumberFormat="1" applyFont="1"/>
    <xf numFmtId="0" fontId="66" fillId="0" borderId="0" xfId="0" applyFont="1" applyAlignment="1">
      <alignment horizontal="center"/>
    </xf>
    <xf numFmtId="0" fontId="66" fillId="0" borderId="0" xfId="0" applyFont="1"/>
    <xf numFmtId="0" fontId="67" fillId="0" borderId="0" xfId="0" applyFont="1"/>
    <xf numFmtId="0" fontId="9" fillId="0" borderId="0" xfId="0" applyFont="1"/>
    <xf numFmtId="3" fontId="38" fillId="0" borderId="19" xfId="0" applyNumberFormat="1" applyFont="1" applyBorder="1"/>
    <xf numFmtId="3" fontId="48" fillId="0" borderId="19" xfId="0" applyNumberFormat="1" applyFont="1" applyBorder="1"/>
    <xf numFmtId="3" fontId="48" fillId="0" borderId="20" xfId="0" applyNumberFormat="1" applyFont="1" applyBorder="1"/>
    <xf numFmtId="0" fontId="38" fillId="0" borderId="18" xfId="0" applyFont="1" applyBorder="1" applyAlignment="1">
      <alignment horizontal="left"/>
    </xf>
    <xf numFmtId="171" fontId="38" fillId="2" borderId="19" xfId="0" applyNumberFormat="1" applyFont="1" applyFill="1" applyBorder="1"/>
    <xf numFmtId="171" fontId="48" fillId="2" borderId="19" xfId="0" applyNumberFormat="1" applyFont="1" applyFill="1" applyBorder="1"/>
    <xf numFmtId="0" fontId="48" fillId="0" borderId="21" xfId="0" applyFont="1" applyBorder="1"/>
    <xf numFmtId="0" fontId="48" fillId="0" borderId="20" xfId="0" applyFont="1" applyBorder="1"/>
    <xf numFmtId="0" fontId="48" fillId="0" borderId="29" xfId="0" applyFont="1" applyBorder="1"/>
    <xf numFmtId="0" fontId="48" fillId="0" borderId="0" xfId="0" applyFont="1"/>
    <xf numFmtId="3" fontId="48" fillId="0" borderId="29" xfId="0" applyNumberFormat="1" applyFont="1" applyBorder="1"/>
    <xf numFmtId="37" fontId="48" fillId="0" borderId="29" xfId="0" applyNumberFormat="1" applyFont="1" applyBorder="1"/>
    <xf numFmtId="37" fontId="0" fillId="0" borderId="0" xfId="0" applyNumberFormat="1"/>
    <xf numFmtId="0" fontId="44" fillId="0" borderId="0" xfId="0" applyFont="1"/>
    <xf numFmtId="0" fontId="69" fillId="0" borderId="0" xfId="0" applyFont="1"/>
    <xf numFmtId="3" fontId="44" fillId="0" borderId="0" xfId="0" applyNumberFormat="1" applyFont="1"/>
    <xf numFmtId="4" fontId="67" fillId="0" borderId="0" xfId="0" applyNumberFormat="1" applyFont="1"/>
    <xf numFmtId="0" fontId="70" fillId="0" borderId="0" xfId="0" applyFont="1"/>
    <xf numFmtId="168" fontId="48" fillId="0" borderId="13" xfId="0" applyNumberFormat="1" applyFont="1" applyBorder="1" applyAlignment="1">
      <alignment horizontal="center"/>
    </xf>
    <xf numFmtId="3" fontId="9" fillId="0" borderId="19" xfId="0" applyNumberFormat="1" applyFont="1" applyBorder="1" applyAlignment="1">
      <alignment horizontal="right"/>
    </xf>
    <xf numFmtId="0" fontId="0" fillId="0" borderId="7" xfId="0" applyBorder="1" applyAlignment="1">
      <alignment horizontal="left"/>
    </xf>
    <xf numFmtId="0" fontId="9" fillId="0" borderId="5" xfId="0" applyFont="1" applyBorder="1" applyAlignment="1">
      <alignment horizontal="center" vertical="center"/>
    </xf>
    <xf numFmtId="3" fontId="76" fillId="0" borderId="0" xfId="0" applyNumberFormat="1" applyFont="1" applyAlignment="1">
      <alignment horizontal="right" vertical="center"/>
    </xf>
    <xf numFmtId="3" fontId="76" fillId="0" borderId="7" xfId="0" applyNumberFormat="1" applyFont="1" applyBorder="1" applyAlignment="1">
      <alignment horizontal="right" vertical="center"/>
    </xf>
    <xf numFmtId="0" fontId="20" fillId="0" borderId="5" xfId="0" applyFont="1" applyBorder="1"/>
    <xf numFmtId="3" fontId="20" fillId="0" borderId="7" xfId="0" applyNumberFormat="1" applyFont="1" applyBorder="1" applyAlignment="1">
      <alignment horizontal="left"/>
    </xf>
    <xf numFmtId="3" fontId="20" fillId="0" borderId="0" xfId="0" applyNumberFormat="1" applyFont="1" applyAlignment="1">
      <alignment horizontal="left"/>
    </xf>
    <xf numFmtId="0" fontId="0" fillId="0" borderId="5" xfId="0" applyBorder="1" applyAlignment="1">
      <alignment vertical="center"/>
    </xf>
    <xf numFmtId="3" fontId="0" fillId="0" borderId="7" xfId="0" applyNumberFormat="1" applyBorder="1" applyAlignment="1">
      <alignment horizontal="right"/>
    </xf>
    <xf numFmtId="3" fontId="0" fillId="0" borderId="0" xfId="0" applyNumberFormat="1" applyAlignment="1">
      <alignment horizontal="right"/>
    </xf>
    <xf numFmtId="0" fontId="72" fillId="0" borderId="0" xfId="0" applyFont="1"/>
    <xf numFmtId="3" fontId="20" fillId="0" borderId="7" xfId="0" applyNumberFormat="1" applyFont="1" applyBorder="1" applyAlignment="1">
      <alignment horizontal="right"/>
    </xf>
    <xf numFmtId="3" fontId="20" fillId="0" borderId="0" xfId="0" applyNumberFormat="1" applyFont="1" applyAlignment="1">
      <alignment horizontal="right"/>
    </xf>
    <xf numFmtId="3" fontId="9" fillId="0" borderId="7" xfId="0" applyNumberFormat="1" applyFont="1" applyBorder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3" fontId="35" fillId="0" borderId="0" xfId="0" applyNumberFormat="1" applyFont="1" applyAlignment="1">
      <alignment horizontal="right" vertical="center"/>
    </xf>
    <xf numFmtId="3" fontId="35" fillId="0" borderId="7" xfId="0" applyNumberFormat="1" applyFont="1" applyBorder="1" applyAlignment="1">
      <alignment horizontal="right" vertical="center"/>
    </xf>
    <xf numFmtId="3" fontId="0" fillId="0" borderId="7" xfId="0" applyNumberFormat="1" applyBorder="1"/>
    <xf numFmtId="0" fontId="20" fillId="0" borderId="7" xfId="0" applyFont="1" applyBorder="1"/>
    <xf numFmtId="3" fontId="20" fillId="0" borderId="0" xfId="0" applyNumberFormat="1" applyFont="1"/>
    <xf numFmtId="0" fontId="78" fillId="0" borderId="0" xfId="5" applyFont="1"/>
    <xf numFmtId="0" fontId="78" fillId="0" borderId="0" xfId="5" applyFont="1" applyAlignment="1">
      <alignment horizontal="left"/>
    </xf>
    <xf numFmtId="0" fontId="79" fillId="0" borderId="0" xfId="5" applyFont="1" applyAlignment="1">
      <alignment horizontal="center"/>
    </xf>
    <xf numFmtId="0" fontId="77" fillId="0" borderId="0" xfId="5"/>
    <xf numFmtId="0" fontId="81" fillId="0" borderId="0" xfId="5" applyFont="1"/>
    <xf numFmtId="0" fontId="77" fillId="0" borderId="0" xfId="5" applyAlignment="1">
      <alignment horizontal="center"/>
    </xf>
    <xf numFmtId="0" fontId="77" fillId="0" borderId="53" xfId="5" applyBorder="1"/>
    <xf numFmtId="0" fontId="77" fillId="6" borderId="0" xfId="5" applyFill="1"/>
    <xf numFmtId="3" fontId="77" fillId="0" borderId="0" xfId="5" applyNumberFormat="1"/>
    <xf numFmtId="0" fontId="89" fillId="0" borderId="0" xfId="5" applyFont="1"/>
    <xf numFmtId="0" fontId="90" fillId="0" borderId="0" xfId="5" applyFont="1"/>
    <xf numFmtId="0" fontId="91" fillId="0" borderId="0" xfId="5" applyFont="1"/>
    <xf numFmtId="3" fontId="92" fillId="0" borderId="0" xfId="5" applyNumberFormat="1" applyFont="1" applyAlignment="1">
      <alignment horizontal="left"/>
    </xf>
    <xf numFmtId="0" fontId="89" fillId="0" borderId="0" xfId="5" applyFont="1" applyAlignment="1">
      <alignment horizontal="center"/>
    </xf>
    <xf numFmtId="0" fontId="90" fillId="0" borderId="0" xfId="5" applyFont="1" applyAlignment="1">
      <alignment horizontal="center"/>
    </xf>
    <xf numFmtId="170" fontId="51" fillId="0" borderId="0" xfId="0" applyNumberFormat="1" applyFont="1" applyAlignment="1">
      <alignment horizontal="center"/>
    </xf>
    <xf numFmtId="170" fontId="34" fillId="0" borderId="0" xfId="0" applyNumberFormat="1" applyFont="1" applyAlignment="1">
      <alignment horizontal="center"/>
    </xf>
    <xf numFmtId="168" fontId="6" fillId="0" borderId="46" xfId="0" applyNumberFormat="1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168" fontId="0" fillId="0" borderId="46" xfId="0" applyNumberFormat="1" applyBorder="1" applyAlignment="1">
      <alignment horizontal="center"/>
    </xf>
    <xf numFmtId="0" fontId="0" fillId="0" borderId="51" xfId="0" applyBorder="1" applyAlignment="1">
      <alignment horizontal="center"/>
    </xf>
    <xf numFmtId="3" fontId="35" fillId="0" borderId="4" xfId="0" applyNumberFormat="1" applyFont="1" applyBorder="1" applyAlignment="1">
      <alignment horizontal="right" vertical="center"/>
    </xf>
    <xf numFmtId="0" fontId="20" fillId="0" borderId="0" xfId="0" applyFont="1" applyAlignment="1">
      <alignment horizontal="center"/>
    </xf>
    <xf numFmtId="4" fontId="6" fillId="0" borderId="0" xfId="0" applyNumberFormat="1" applyFont="1" applyAlignment="1">
      <alignment vertical="center"/>
    </xf>
    <xf numFmtId="4" fontId="53" fillId="0" borderId="0" xfId="0" applyNumberFormat="1" applyFont="1"/>
    <xf numFmtId="0" fontId="53" fillId="0" borderId="41" xfId="0" applyFont="1" applyBorder="1" applyAlignment="1">
      <alignment horizontal="left" vertical="center"/>
    </xf>
    <xf numFmtId="3" fontId="49" fillId="0" borderId="40" xfId="0" applyNumberFormat="1" applyFont="1" applyBorder="1"/>
    <xf numFmtId="3" fontId="93" fillId="0" borderId="40" xfId="0" applyNumberFormat="1" applyFont="1" applyBorder="1"/>
    <xf numFmtId="3" fontId="50" fillId="0" borderId="40" xfId="0" applyNumberFormat="1" applyFont="1" applyBorder="1"/>
    <xf numFmtId="3" fontId="93" fillId="3" borderId="40" xfId="0" applyNumberFormat="1" applyFont="1" applyFill="1" applyBorder="1"/>
    <xf numFmtId="3" fontId="93" fillId="0" borderId="56" xfId="0" applyNumberFormat="1" applyFont="1" applyBorder="1"/>
    <xf numFmtId="3" fontId="68" fillId="0" borderId="0" xfId="0" applyNumberFormat="1" applyFont="1"/>
    <xf numFmtId="3" fontId="43" fillId="0" borderId="0" xfId="0" applyNumberFormat="1" applyFont="1"/>
    <xf numFmtId="3" fontId="25" fillId="0" borderId="0" xfId="0" applyNumberFormat="1" applyFont="1"/>
    <xf numFmtId="3" fontId="29" fillId="0" borderId="0" xfId="0" applyNumberFormat="1" applyFont="1" applyAlignment="1">
      <alignment horizontal="left" vertical="center"/>
    </xf>
    <xf numFmtId="4" fontId="29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4" fontId="34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66" fontId="24" fillId="0" borderId="0" xfId="0" applyNumberFormat="1" applyFont="1" applyAlignment="1">
      <alignment horizontal="left"/>
    </xf>
    <xf numFmtId="169" fontId="25" fillId="0" borderId="0" xfId="0" applyNumberFormat="1" applyFont="1"/>
    <xf numFmtId="3" fontId="9" fillId="0" borderId="18" xfId="0" applyNumberFormat="1" applyFont="1" applyBorder="1"/>
    <xf numFmtId="3" fontId="11" fillId="0" borderId="32" xfId="0" applyNumberFormat="1" applyFont="1" applyBorder="1"/>
    <xf numFmtId="3" fontId="9" fillId="0" borderId="84" xfId="0" applyNumberFormat="1" applyFont="1" applyBorder="1" applyAlignment="1">
      <alignment vertical="center"/>
    </xf>
    <xf numFmtId="3" fontId="11" fillId="0" borderId="8" xfId="0" applyNumberFormat="1" applyFont="1" applyBorder="1"/>
    <xf numFmtId="49" fontId="9" fillId="0" borderId="18" xfId="0" applyNumberFormat="1" applyFont="1" applyBorder="1" applyAlignment="1">
      <alignment horizontal="left"/>
    </xf>
    <xf numFmtId="3" fontId="33" fillId="3" borderId="7" xfId="0" applyNumberFormat="1" applyFont="1" applyFill="1" applyBorder="1"/>
    <xf numFmtId="3" fontId="32" fillId="3" borderId="46" xfId="0" applyNumberFormat="1" applyFont="1" applyFill="1" applyBorder="1"/>
    <xf numFmtId="3" fontId="32" fillId="3" borderId="10" xfId="0" applyNumberFormat="1" applyFont="1" applyFill="1" applyBorder="1"/>
    <xf numFmtId="3" fontId="32" fillId="3" borderId="47" xfId="0" applyNumberFormat="1" applyFont="1" applyFill="1" applyBorder="1"/>
    <xf numFmtId="3" fontId="68" fillId="0" borderId="4" xfId="0" applyNumberFormat="1" applyFont="1" applyBorder="1" applyAlignment="1">
      <alignment horizontal="right"/>
    </xf>
    <xf numFmtId="3" fontId="50" fillId="0" borderId="41" xfId="0" applyNumberFormat="1" applyFont="1" applyBorder="1"/>
    <xf numFmtId="3" fontId="9" fillId="0" borderId="19" xfId="0" applyNumberFormat="1" applyFont="1" applyBorder="1" applyAlignment="1">
      <alignment vertical="center"/>
    </xf>
    <xf numFmtId="3" fontId="11" fillId="0" borderId="19" xfId="0" applyNumberFormat="1" applyFont="1" applyBorder="1" applyAlignment="1">
      <alignment horizontal="right"/>
    </xf>
    <xf numFmtId="3" fontId="9" fillId="0" borderId="23" xfId="0" applyNumberFormat="1" applyFont="1" applyBorder="1" applyAlignment="1">
      <alignment horizontal="right"/>
    </xf>
    <xf numFmtId="3" fontId="9" fillId="0" borderId="25" xfId="0" applyNumberFormat="1" applyFont="1" applyBorder="1" applyAlignment="1">
      <alignment horizontal="right"/>
    </xf>
    <xf numFmtId="0" fontId="20" fillId="0" borderId="0" xfId="0" applyFont="1" applyAlignment="1">
      <alignment horizontal="right"/>
    </xf>
    <xf numFmtId="3" fontId="12" fillId="0" borderId="19" xfId="0" applyNumberFormat="1" applyFont="1" applyBorder="1" applyAlignment="1">
      <alignment horizontal="right"/>
    </xf>
    <xf numFmtId="3" fontId="9" fillId="0" borderId="27" xfId="0" applyNumberFormat="1" applyFont="1" applyBorder="1" applyAlignment="1">
      <alignment horizontal="right"/>
    </xf>
    <xf numFmtId="3" fontId="9" fillId="0" borderId="23" xfId="0" applyNumberFormat="1" applyFont="1" applyBorder="1" applyAlignment="1">
      <alignment horizontal="right" vertical="center"/>
    </xf>
    <xf numFmtId="4" fontId="16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4" fontId="18" fillId="0" borderId="0" xfId="0" applyNumberFormat="1" applyFont="1"/>
    <xf numFmtId="168" fontId="0" fillId="0" borderId="0" xfId="0" applyNumberFormat="1" applyAlignment="1">
      <alignment horizontal="center"/>
    </xf>
    <xf numFmtId="168" fontId="8" fillId="0" borderId="11" xfId="0" applyNumberFormat="1" applyFont="1" applyBorder="1" applyAlignment="1">
      <alignment horizontal="center"/>
    </xf>
    <xf numFmtId="168" fontId="32" fillId="0" borderId="10" xfId="0" applyNumberFormat="1" applyFont="1" applyBorder="1" applyAlignment="1">
      <alignment horizontal="center"/>
    </xf>
    <xf numFmtId="168" fontId="32" fillId="0" borderId="10" xfId="0" applyNumberFormat="1" applyFont="1" applyBorder="1" applyAlignment="1">
      <alignment horizontal="center" vertical="center"/>
    </xf>
    <xf numFmtId="168" fontId="0" fillId="0" borderId="31" xfId="0" applyNumberFormat="1" applyBorder="1" applyAlignment="1">
      <alignment horizontal="center"/>
    </xf>
    <xf numFmtId="168" fontId="0" fillId="0" borderId="29" xfId="0" applyNumberFormat="1" applyBorder="1" applyAlignment="1">
      <alignment horizontal="center"/>
    </xf>
    <xf numFmtId="3" fontId="5" fillId="0" borderId="0" xfId="0" applyNumberFormat="1" applyFont="1"/>
    <xf numFmtId="3" fontId="68" fillId="0" borderId="4" xfId="0" applyNumberFormat="1" applyFont="1" applyBorder="1"/>
    <xf numFmtId="4" fontId="0" fillId="0" borderId="8" xfId="0" applyNumberFormat="1" applyBorder="1"/>
    <xf numFmtId="3" fontId="32" fillId="0" borderId="45" xfId="0" applyNumberFormat="1" applyFont="1" applyBorder="1"/>
    <xf numFmtId="3" fontId="16" fillId="0" borderId="94" xfId="0" applyNumberFormat="1" applyFont="1" applyBorder="1"/>
    <xf numFmtId="3" fontId="14" fillId="0" borderId="94" xfId="0" applyNumberFormat="1" applyFont="1" applyBorder="1"/>
    <xf numFmtId="4" fontId="95" fillId="0" borderId="94" xfId="0" applyNumberFormat="1" applyFont="1" applyBorder="1"/>
    <xf numFmtId="0" fontId="14" fillId="0" borderId="94" xfId="0" applyFont="1" applyBorder="1"/>
    <xf numFmtId="3" fontId="16" fillId="0" borderId="94" xfId="0" applyNumberFormat="1" applyFont="1" applyBorder="1" applyAlignment="1">
      <alignment vertical="center"/>
    </xf>
    <xf numFmtId="3" fontId="11" fillId="0" borderId="83" xfId="0" applyNumberFormat="1" applyFont="1" applyBorder="1"/>
    <xf numFmtId="3" fontId="71" fillId="0" borderId="0" xfId="0" applyNumberFormat="1" applyFont="1"/>
    <xf numFmtId="3" fontId="11" fillId="0" borderId="0" xfId="0" applyNumberFormat="1" applyFont="1"/>
    <xf numFmtId="4" fontId="19" fillId="0" borderId="0" xfId="0" applyNumberFormat="1" applyFont="1"/>
    <xf numFmtId="4" fontId="4" fillId="0" borderId="0" xfId="0" applyNumberFormat="1" applyFont="1"/>
    <xf numFmtId="4" fontId="4" fillId="0" borderId="0" xfId="0" applyNumberFormat="1" applyFont="1" applyAlignment="1">
      <alignment vertical="center"/>
    </xf>
    <xf numFmtId="4" fontId="2" fillId="0" borderId="0" xfId="0" applyNumberFormat="1" applyFont="1"/>
    <xf numFmtId="3" fontId="33" fillId="0" borderId="46" xfId="0" applyNumberFormat="1" applyFont="1" applyBorder="1"/>
    <xf numFmtId="3" fontId="33" fillId="0" borderId="10" xfId="0" applyNumberFormat="1" applyFont="1" applyBorder="1"/>
    <xf numFmtId="3" fontId="16" fillId="0" borderId="87" xfId="0" applyNumberFormat="1" applyFont="1" applyBorder="1"/>
    <xf numFmtId="3" fontId="16" fillId="0" borderId="46" xfId="0" applyNumberFormat="1" applyFont="1" applyBorder="1"/>
    <xf numFmtId="3" fontId="14" fillId="0" borderId="46" xfId="0" applyNumberFormat="1" applyFont="1" applyBorder="1"/>
    <xf numFmtId="0" fontId="14" fillId="0" borderId="77" xfId="0" applyFont="1" applyBorder="1"/>
    <xf numFmtId="3" fontId="16" fillId="0" borderId="54" xfId="0" applyNumberFormat="1" applyFont="1" applyBorder="1" applyAlignment="1">
      <alignment vertical="center"/>
    </xf>
    <xf numFmtId="3" fontId="14" fillId="0" borderId="54" xfId="0" applyNumberFormat="1" applyFont="1" applyBorder="1"/>
    <xf numFmtId="3" fontId="16" fillId="0" borderId="54" xfId="0" applyNumberFormat="1" applyFont="1" applyBorder="1"/>
    <xf numFmtId="3" fontId="16" fillId="0" borderId="92" xfId="0" applyNumberFormat="1" applyFont="1" applyBorder="1"/>
    <xf numFmtId="0" fontId="14" fillId="0" borderId="92" xfId="0" applyFont="1" applyBorder="1"/>
    <xf numFmtId="3" fontId="14" fillId="0" borderId="92" xfId="0" applyNumberFormat="1" applyFont="1" applyBorder="1"/>
    <xf numFmtId="3" fontId="16" fillId="0" borderId="52" xfId="0" applyNumberFormat="1" applyFont="1" applyBorder="1"/>
    <xf numFmtId="3" fontId="16" fillId="0" borderId="32" xfId="0" applyNumberFormat="1" applyFont="1" applyBorder="1" applyAlignment="1">
      <alignment vertical="center"/>
    </xf>
    <xf numFmtId="3" fontId="14" fillId="0" borderId="4" xfId="0" applyNumberFormat="1" applyFont="1" applyBorder="1" applyAlignment="1">
      <alignment horizontal="right"/>
    </xf>
    <xf numFmtId="3" fontId="16" fillId="0" borderId="57" xfId="0" applyNumberFormat="1" applyFont="1" applyBorder="1" applyAlignment="1">
      <alignment vertical="center"/>
    </xf>
    <xf numFmtId="3" fontId="41" fillId="0" borderId="32" xfId="0" applyNumberFormat="1" applyFont="1" applyBorder="1" applyAlignment="1">
      <alignment vertical="center"/>
    </xf>
    <xf numFmtId="3" fontId="16" fillId="8" borderId="46" xfId="0" applyNumberFormat="1" applyFont="1" applyFill="1" applyBorder="1" applyAlignment="1">
      <alignment vertical="center"/>
    </xf>
    <xf numFmtId="3" fontId="16" fillId="8" borderId="89" xfId="0" applyNumberFormat="1" applyFont="1" applyFill="1" applyBorder="1" applyAlignment="1">
      <alignment vertical="center"/>
    </xf>
    <xf numFmtId="0" fontId="16" fillId="7" borderId="91" xfId="0" applyFont="1" applyFill="1" applyBorder="1" applyAlignment="1">
      <alignment horizontal="center" vertical="center" wrapText="1"/>
    </xf>
    <xf numFmtId="0" fontId="16" fillId="8" borderId="67" xfId="0" applyFont="1" applyFill="1" applyBorder="1" applyAlignment="1">
      <alignment horizontal="center" vertical="center" wrapText="1"/>
    </xf>
    <xf numFmtId="3" fontId="16" fillId="8" borderId="90" xfId="0" applyNumberFormat="1" applyFont="1" applyFill="1" applyBorder="1" applyAlignment="1">
      <alignment horizontal="center" vertical="center"/>
    </xf>
    <xf numFmtId="0" fontId="16" fillId="8" borderId="48" xfId="0" applyFont="1" applyFill="1" applyBorder="1" applyAlignment="1">
      <alignment horizontal="center" vertical="center"/>
    </xf>
    <xf numFmtId="0" fontId="16" fillId="8" borderId="44" xfId="0" applyFont="1" applyFill="1" applyBorder="1" applyAlignment="1">
      <alignment horizontal="center" vertical="center" wrapText="1"/>
    </xf>
    <xf numFmtId="0" fontId="16" fillId="8" borderId="48" xfId="0" applyFont="1" applyFill="1" applyBorder="1" applyAlignment="1">
      <alignment horizontal="center" vertical="center" wrapText="1"/>
    </xf>
    <xf numFmtId="0" fontId="16" fillId="8" borderId="51" xfId="0" applyFont="1" applyFill="1" applyBorder="1" applyAlignment="1">
      <alignment vertical="center" wrapText="1"/>
    </xf>
    <xf numFmtId="0" fontId="6" fillId="7" borderId="19" xfId="0" applyFont="1" applyFill="1" applyBorder="1" applyAlignment="1">
      <alignment horizontal="center" vertical="center"/>
    </xf>
    <xf numFmtId="0" fontId="6" fillId="7" borderId="20" xfId="0" applyFont="1" applyFill="1" applyBorder="1" applyAlignment="1">
      <alignment horizontal="center" vertical="center"/>
    </xf>
    <xf numFmtId="0" fontId="6" fillId="7" borderId="31" xfId="0" applyFont="1" applyFill="1" applyBorder="1" applyAlignment="1">
      <alignment vertical="center" wrapText="1"/>
    </xf>
    <xf numFmtId="168" fontId="9" fillId="0" borderId="17" xfId="0" applyNumberFormat="1" applyFont="1" applyBorder="1" applyAlignment="1">
      <alignment horizontal="center"/>
    </xf>
    <xf numFmtId="168" fontId="11" fillId="0" borderId="32" xfId="0" applyNumberFormat="1" applyFont="1" applyBorder="1" applyAlignment="1">
      <alignment horizontal="center"/>
    </xf>
    <xf numFmtId="168" fontId="9" fillId="0" borderId="33" xfId="0" applyNumberFormat="1" applyFont="1" applyBorder="1" applyAlignment="1">
      <alignment horizontal="center"/>
    </xf>
    <xf numFmtId="168" fontId="12" fillId="0" borderId="32" xfId="0" applyNumberFormat="1" applyFont="1" applyBorder="1" applyAlignment="1">
      <alignment horizontal="center"/>
    </xf>
    <xf numFmtId="168" fontId="9" fillId="0" borderId="34" xfId="0" applyNumberFormat="1" applyFont="1" applyBorder="1" applyAlignment="1">
      <alignment horizontal="center"/>
    </xf>
    <xf numFmtId="168" fontId="9" fillId="0" borderId="17" xfId="0" applyNumberFormat="1" applyFont="1" applyBorder="1" applyAlignment="1">
      <alignment horizontal="center" vertical="center"/>
    </xf>
    <xf numFmtId="4" fontId="30" fillId="0" borderId="0" xfId="0" applyNumberFormat="1" applyFont="1" applyAlignment="1">
      <alignment horizontal="center"/>
    </xf>
    <xf numFmtId="4" fontId="30" fillId="0" borderId="35" xfId="0" applyNumberFormat="1" applyFont="1" applyBorder="1" applyAlignment="1">
      <alignment horizontal="center"/>
    </xf>
    <xf numFmtId="3" fontId="33" fillId="3" borderId="0" xfId="0" applyNumberFormat="1" applyFont="1" applyFill="1"/>
    <xf numFmtId="0" fontId="14" fillId="0" borderId="5" xfId="0" applyFont="1" applyBorder="1" applyAlignment="1">
      <alignment horizontal="left" vertical="center" wrapText="1"/>
    </xf>
    <xf numFmtId="0" fontId="0" fillId="0" borderId="100" xfId="0" applyBorder="1" applyAlignment="1">
      <alignment horizontal="left" vertical="center" wrapText="1"/>
    </xf>
    <xf numFmtId="3" fontId="32" fillId="3" borderId="101" xfId="0" applyNumberFormat="1" applyFont="1" applyFill="1" applyBorder="1" applyAlignment="1">
      <alignment vertical="center"/>
    </xf>
    <xf numFmtId="3" fontId="33" fillId="0" borderId="101" xfId="0" applyNumberFormat="1" applyFont="1" applyBorder="1" applyAlignment="1">
      <alignment vertical="center"/>
    </xf>
    <xf numFmtId="171" fontId="32" fillId="0" borderId="102" xfId="0" applyNumberFormat="1" applyFont="1" applyBorder="1" applyAlignment="1">
      <alignment vertical="center" wrapText="1"/>
    </xf>
    <xf numFmtId="168" fontId="32" fillId="0" borderId="103" xfId="0" applyNumberFormat="1" applyFont="1" applyBorder="1" applyAlignment="1">
      <alignment horizontal="center"/>
    </xf>
    <xf numFmtId="3" fontId="33" fillId="3" borderId="101" xfId="0" applyNumberFormat="1" applyFont="1" applyFill="1" applyBorder="1" applyAlignment="1">
      <alignment vertical="center"/>
    </xf>
    <xf numFmtId="3" fontId="32" fillId="0" borderId="102" xfId="0" applyNumberFormat="1" applyFont="1" applyBorder="1" applyAlignment="1">
      <alignment vertical="center"/>
    </xf>
    <xf numFmtId="3" fontId="33" fillId="0" borderId="102" xfId="0" applyNumberFormat="1" applyFont="1" applyBorder="1" applyAlignment="1">
      <alignment vertical="center"/>
    </xf>
    <xf numFmtId="0" fontId="6" fillId="0" borderId="100" xfId="0" applyFont="1" applyBorder="1" applyAlignment="1">
      <alignment horizontal="left" vertical="center" wrapText="1"/>
    </xf>
    <xf numFmtId="3" fontId="8" fillId="3" borderId="101" xfId="0" applyNumberFormat="1" applyFont="1" applyFill="1" applyBorder="1"/>
    <xf numFmtId="3" fontId="32" fillId="3" borderId="96" xfId="0" applyNumberFormat="1" applyFont="1" applyFill="1" applyBorder="1"/>
    <xf numFmtId="3" fontId="96" fillId="0" borderId="96" xfId="0" applyNumberFormat="1" applyFont="1" applyBorder="1"/>
    <xf numFmtId="0" fontId="6" fillId="0" borderId="96" xfId="0" applyFont="1" applyBorder="1" applyAlignment="1">
      <alignment horizontal="center" vertical="center"/>
    </xf>
    <xf numFmtId="3" fontId="8" fillId="0" borderId="96" xfId="0" applyNumberFormat="1" applyFont="1" applyBorder="1"/>
    <xf numFmtId="3" fontId="8" fillId="0" borderId="103" xfId="0" applyNumberFormat="1" applyFont="1" applyBorder="1"/>
    <xf numFmtId="3" fontId="8" fillId="0" borderId="101" xfId="0" applyNumberFormat="1" applyFont="1" applyBorder="1"/>
    <xf numFmtId="3" fontId="32" fillId="0" borderId="104" xfId="0" applyNumberFormat="1" applyFont="1" applyBorder="1"/>
    <xf numFmtId="3" fontId="33" fillId="3" borderId="47" xfId="0" applyNumberFormat="1" applyFont="1" applyFill="1" applyBorder="1"/>
    <xf numFmtId="3" fontId="32" fillId="0" borderId="105" xfId="0" applyNumberFormat="1" applyFont="1" applyBorder="1"/>
    <xf numFmtId="3" fontId="96" fillId="3" borderId="103" xfId="0" applyNumberFormat="1" applyFont="1" applyFill="1" applyBorder="1"/>
    <xf numFmtId="3" fontId="8" fillId="3" borderId="103" xfId="0" applyNumberFormat="1" applyFont="1" applyFill="1" applyBorder="1"/>
    <xf numFmtId="3" fontId="33" fillId="0" borderId="106" xfId="0" applyNumberFormat="1" applyFont="1" applyBorder="1"/>
    <xf numFmtId="168" fontId="0" fillId="0" borderId="80" xfId="0" applyNumberFormat="1" applyBorder="1"/>
    <xf numFmtId="168" fontId="38" fillId="0" borderId="77" xfId="0" applyNumberFormat="1" applyFont="1" applyBorder="1"/>
    <xf numFmtId="168" fontId="51" fillId="0" borderId="77" xfId="0" applyNumberFormat="1" applyFont="1" applyBorder="1"/>
    <xf numFmtId="168" fontId="48" fillId="0" borderId="77" xfId="0" applyNumberFormat="1" applyFont="1" applyBorder="1"/>
    <xf numFmtId="168" fontId="51" fillId="0" borderId="82" xfId="0" applyNumberFormat="1" applyFont="1" applyBorder="1"/>
    <xf numFmtId="168" fontId="51" fillId="0" borderId="0" xfId="0" applyNumberFormat="1" applyFont="1"/>
    <xf numFmtId="0" fontId="16" fillId="8" borderId="107" xfId="0" applyFont="1" applyFill="1" applyBorder="1" applyAlignment="1">
      <alignment horizontal="center" vertical="center" wrapText="1"/>
    </xf>
    <xf numFmtId="170" fontId="48" fillId="0" borderId="108" xfId="0" applyNumberFormat="1" applyFont="1" applyBorder="1" applyAlignment="1">
      <alignment horizontal="center"/>
    </xf>
    <xf numFmtId="170" fontId="38" fillId="0" borderId="103" xfId="0" applyNumberFormat="1" applyFont="1" applyBorder="1" applyAlignment="1">
      <alignment horizontal="center"/>
    </xf>
    <xf numFmtId="170" fontId="2" fillId="0" borderId="0" xfId="0" applyNumberFormat="1" applyFont="1"/>
    <xf numFmtId="170" fontId="3" fillId="0" borderId="0" xfId="0" applyNumberFormat="1" applyFont="1"/>
    <xf numFmtId="3" fontId="14" fillId="0" borderId="4" xfId="0" applyNumberFormat="1" applyFont="1" applyBorder="1" applyAlignment="1">
      <alignment vertical="center"/>
    </xf>
    <xf numFmtId="3" fontId="14" fillId="0" borderId="53" xfId="0" applyNumberFormat="1" applyFont="1" applyBorder="1" applyAlignment="1">
      <alignment vertical="center"/>
    </xf>
    <xf numFmtId="3" fontId="38" fillId="0" borderId="41" xfId="0" applyNumberFormat="1" applyFont="1" applyBorder="1"/>
    <xf numFmtId="171" fontId="8" fillId="0" borderId="102" xfId="0" applyNumberFormat="1" applyFont="1" applyBorder="1" applyAlignment="1">
      <alignment vertical="center" wrapText="1"/>
    </xf>
    <xf numFmtId="0" fontId="16" fillId="8" borderId="75" xfId="0" applyFont="1" applyFill="1" applyBorder="1" applyAlignment="1">
      <alignment horizontal="center" vertical="center" wrapText="1"/>
    </xf>
    <xf numFmtId="0" fontId="16" fillId="8" borderId="75" xfId="0" applyFont="1" applyFill="1" applyBorder="1" applyAlignment="1">
      <alignment horizontal="center" vertical="center"/>
    </xf>
    <xf numFmtId="168" fontId="16" fillId="8" borderId="79" xfId="0" applyNumberFormat="1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/>
    </xf>
    <xf numFmtId="0" fontId="16" fillId="8" borderId="64" xfId="0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 wrapText="1"/>
    </xf>
    <xf numFmtId="0" fontId="16" fillId="8" borderId="95" xfId="0" applyFont="1" applyFill="1" applyBorder="1" applyAlignment="1">
      <alignment horizontal="center" vertical="center" wrapText="1"/>
    </xf>
    <xf numFmtId="0" fontId="74" fillId="7" borderId="29" xfId="0" applyFont="1" applyFill="1" applyBorder="1"/>
    <xf numFmtId="0" fontId="73" fillId="7" borderId="0" xfId="0" applyFont="1" applyFill="1" applyAlignment="1">
      <alignment horizontal="center"/>
    </xf>
    <xf numFmtId="0" fontId="73" fillId="7" borderId="7" xfId="0" applyFont="1" applyFill="1" applyBorder="1" applyAlignment="1">
      <alignment horizontal="center"/>
    </xf>
    <xf numFmtId="0" fontId="74" fillId="7" borderId="31" xfId="0" applyFont="1" applyFill="1" applyBorder="1"/>
    <xf numFmtId="0" fontId="74" fillId="7" borderId="8" xfId="0" applyFont="1" applyFill="1" applyBorder="1"/>
    <xf numFmtId="0" fontId="16" fillId="8" borderId="66" xfId="0" applyFont="1" applyFill="1" applyBorder="1" applyAlignment="1">
      <alignment horizontal="center" vertical="center" wrapText="1"/>
    </xf>
    <xf numFmtId="0" fontId="20" fillId="0" borderId="8" xfId="0" applyFont="1" applyBorder="1"/>
    <xf numFmtId="0" fontId="6" fillId="7" borderId="30" xfId="0" applyFont="1" applyFill="1" applyBorder="1" applyAlignment="1">
      <alignment horizontal="center" vertical="center" wrapText="1"/>
    </xf>
    <xf numFmtId="0" fontId="6" fillId="7" borderId="83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/>
    </xf>
    <xf numFmtId="0" fontId="6" fillId="7" borderId="31" xfId="0" applyFont="1" applyFill="1" applyBorder="1" applyAlignment="1">
      <alignment horizontal="center" vertical="center"/>
    </xf>
    <xf numFmtId="0" fontId="6" fillId="7" borderId="38" xfId="0" applyFont="1" applyFill="1" applyBorder="1" applyAlignment="1">
      <alignment horizontal="center" vertical="center" wrapText="1"/>
    </xf>
    <xf numFmtId="0" fontId="6" fillId="7" borderId="85" xfId="0" applyFont="1" applyFill="1" applyBorder="1" applyAlignment="1">
      <alignment horizontal="center" vertical="center" wrapText="1"/>
    </xf>
    <xf numFmtId="168" fontId="32" fillId="0" borderId="109" xfId="0" applyNumberFormat="1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170" fontId="9" fillId="0" borderId="94" xfId="0" applyNumberFormat="1" applyFont="1" applyBorder="1" applyAlignment="1">
      <alignment horizontal="center"/>
    </xf>
    <xf numFmtId="3" fontId="14" fillId="0" borderId="7" xfId="0" applyNumberFormat="1" applyFont="1" applyBorder="1"/>
    <xf numFmtId="0" fontId="16" fillId="8" borderId="118" xfId="0" applyFont="1" applyFill="1" applyBorder="1" applyAlignment="1">
      <alignment horizontal="center" vertical="center" wrapText="1"/>
    </xf>
    <xf numFmtId="0" fontId="16" fillId="8" borderId="119" xfId="0" applyFont="1" applyFill="1" applyBorder="1" applyAlignment="1">
      <alignment horizontal="center" vertical="center" wrapText="1"/>
    </xf>
    <xf numFmtId="0" fontId="16" fillId="8" borderId="120" xfId="0" applyFont="1" applyFill="1" applyBorder="1" applyAlignment="1">
      <alignment horizontal="center" vertical="center" wrapText="1"/>
    </xf>
    <xf numFmtId="0" fontId="0" fillId="0" borderId="121" xfId="0" applyBorder="1"/>
    <xf numFmtId="0" fontId="6" fillId="0" borderId="122" xfId="0" applyFont="1" applyBorder="1"/>
    <xf numFmtId="3" fontId="0" fillId="0" borderId="122" xfId="0" applyNumberFormat="1" applyBorder="1"/>
    <xf numFmtId="0" fontId="0" fillId="0" borderId="123" xfId="0" applyBorder="1"/>
    <xf numFmtId="0" fontId="38" fillId="0" borderId="122" xfId="0" applyFont="1" applyBorder="1"/>
    <xf numFmtId="3" fontId="50" fillId="0" borderId="122" xfId="0" applyNumberFormat="1" applyFont="1" applyBorder="1"/>
    <xf numFmtId="3" fontId="50" fillId="2" borderId="122" xfId="0" applyNumberFormat="1" applyFont="1" applyFill="1" applyBorder="1"/>
    <xf numFmtId="167" fontId="38" fillId="2" borderId="122" xfId="0" applyNumberFormat="1" applyFont="1" applyFill="1" applyBorder="1"/>
    <xf numFmtId="168" fontId="38" fillId="0" borderId="123" xfId="0" applyNumberFormat="1" applyFont="1" applyBorder="1" applyAlignment="1">
      <alignment horizontal="center"/>
    </xf>
    <xf numFmtId="3" fontId="38" fillId="0" borderId="122" xfId="0" applyNumberFormat="1" applyFont="1" applyBorder="1"/>
    <xf numFmtId="0" fontId="38" fillId="0" borderId="121" xfId="0" applyFont="1" applyBorder="1" applyAlignment="1">
      <alignment horizontal="left"/>
    </xf>
    <xf numFmtId="0" fontId="38" fillId="0" borderId="122" xfId="0" applyFont="1" applyBorder="1" applyAlignment="1">
      <alignment horizontal="left"/>
    </xf>
    <xf numFmtId="3" fontId="50" fillId="0" borderId="122" xfId="0" applyNumberFormat="1" applyFont="1" applyBorder="1" applyAlignment="1">
      <alignment horizontal="right"/>
    </xf>
    <xf numFmtId="0" fontId="48" fillId="0" borderId="122" xfId="0" applyFont="1" applyBorder="1" applyAlignment="1">
      <alignment horizontal="left"/>
    </xf>
    <xf numFmtId="3" fontId="49" fillId="0" borderId="122" xfId="0" applyNumberFormat="1" applyFont="1" applyBorder="1" applyAlignment="1">
      <alignment horizontal="left"/>
    </xf>
    <xf numFmtId="3" fontId="49" fillId="0" borderId="122" xfId="0" applyNumberFormat="1" applyFont="1" applyBorder="1"/>
    <xf numFmtId="3" fontId="48" fillId="0" borderId="122" xfId="0" applyNumberFormat="1" applyFont="1" applyBorder="1"/>
    <xf numFmtId="0" fontId="48" fillId="0" borderId="122" xfId="0" applyFont="1" applyBorder="1"/>
    <xf numFmtId="164" fontId="38" fillId="0" borderId="122" xfId="1" applyFont="1" applyFill="1" applyBorder="1" applyAlignment="1" applyProtection="1"/>
    <xf numFmtId="3" fontId="50" fillId="0" borderId="122" xfId="1" applyNumberFormat="1" applyFont="1" applyFill="1" applyBorder="1" applyAlignment="1" applyProtection="1"/>
    <xf numFmtId="0" fontId="48" fillId="0" borderId="121" xfId="0" applyFont="1" applyBorder="1" applyAlignment="1">
      <alignment horizontal="left"/>
    </xf>
    <xf numFmtId="167" fontId="48" fillId="2" borderId="122" xfId="0" applyNumberFormat="1" applyFont="1" applyFill="1" applyBorder="1"/>
    <xf numFmtId="3" fontId="48" fillId="2" borderId="122" xfId="0" applyNumberFormat="1" applyFont="1" applyFill="1" applyBorder="1"/>
    <xf numFmtId="3" fontId="38" fillId="2" borderId="122" xfId="0" applyNumberFormat="1" applyFont="1" applyFill="1" applyBorder="1"/>
    <xf numFmtId="0" fontId="38" fillId="0" borderId="124" xfId="0" applyFont="1" applyBorder="1" applyAlignment="1">
      <alignment horizontal="left"/>
    </xf>
    <xf numFmtId="0" fontId="48" fillId="0" borderId="125" xfId="0" applyFont="1" applyBorder="1"/>
    <xf numFmtId="3" fontId="48" fillId="0" borderId="125" xfId="0" applyNumberFormat="1" applyFont="1" applyBorder="1"/>
    <xf numFmtId="3" fontId="48" fillId="2" borderId="125" xfId="0" applyNumberFormat="1" applyFont="1" applyFill="1" applyBorder="1"/>
    <xf numFmtId="0" fontId="83" fillId="8" borderId="119" xfId="5" applyFont="1" applyFill="1" applyBorder="1" applyAlignment="1">
      <alignment horizontal="center" vertical="center"/>
    </xf>
    <xf numFmtId="0" fontId="83" fillId="8" borderId="130" xfId="5" applyFont="1" applyFill="1" applyBorder="1" applyAlignment="1">
      <alignment horizontal="center" vertical="center" wrapText="1"/>
    </xf>
    <xf numFmtId="0" fontId="83" fillId="8" borderId="131" xfId="5" applyFont="1" applyFill="1" applyBorder="1" applyAlignment="1">
      <alignment horizontal="center" vertical="center" wrapText="1"/>
    </xf>
    <xf numFmtId="0" fontId="77" fillId="0" borderId="121" xfId="5" applyBorder="1"/>
    <xf numFmtId="0" fontId="77" fillId="0" borderId="122" xfId="5" applyBorder="1"/>
    <xf numFmtId="0" fontId="77" fillId="0" borderId="133" xfId="5" applyBorder="1"/>
    <xf numFmtId="0" fontId="84" fillId="0" borderId="122" xfId="5" applyFont="1" applyBorder="1" applyAlignment="1">
      <alignment horizontal="center"/>
    </xf>
    <xf numFmtId="175" fontId="84" fillId="0" borderId="123" xfId="5" applyNumberFormat="1" applyFont="1" applyBorder="1" applyAlignment="1">
      <alignment horizontal="center"/>
    </xf>
    <xf numFmtId="0" fontId="85" fillId="0" borderId="121" xfId="5" applyFont="1" applyBorder="1"/>
    <xf numFmtId="3" fontId="85" fillId="3" borderId="122" xfId="5" applyNumberFormat="1" applyFont="1" applyFill="1" applyBorder="1"/>
    <xf numFmtId="3" fontId="85" fillId="0" borderId="122" xfId="5" applyNumberFormat="1" applyFont="1" applyBorder="1"/>
    <xf numFmtId="170" fontId="85" fillId="3" borderId="123" xfId="5" applyNumberFormat="1" applyFont="1" applyFill="1" applyBorder="1" applyAlignment="1">
      <alignment horizontal="center"/>
    </xf>
    <xf numFmtId="0" fontId="85" fillId="0" borderId="122" xfId="5" applyFont="1" applyBorder="1"/>
    <xf numFmtId="170" fontId="85" fillId="0" borderId="123" xfId="5" applyNumberFormat="1" applyFont="1" applyBorder="1" applyAlignment="1">
      <alignment horizontal="center"/>
    </xf>
    <xf numFmtId="0" fontId="85" fillId="3" borderId="121" xfId="5" applyFont="1" applyFill="1" applyBorder="1" applyAlignment="1">
      <alignment horizontal="left"/>
    </xf>
    <xf numFmtId="0" fontId="86" fillId="3" borderId="121" xfId="5" applyFont="1" applyFill="1" applyBorder="1" applyAlignment="1">
      <alignment horizontal="left"/>
    </xf>
    <xf numFmtId="0" fontId="86" fillId="3" borderId="122" xfId="5" applyFont="1" applyFill="1" applyBorder="1" applyAlignment="1">
      <alignment horizontal="left"/>
    </xf>
    <xf numFmtId="3" fontId="86" fillId="3" borderId="122" xfId="5" applyNumberFormat="1" applyFont="1" applyFill="1" applyBorder="1"/>
    <xf numFmtId="170" fontId="86" fillId="3" borderId="123" xfId="5" applyNumberFormat="1" applyFont="1" applyFill="1" applyBorder="1" applyAlignment="1">
      <alignment horizontal="center"/>
    </xf>
    <xf numFmtId="0" fontId="87" fillId="3" borderId="121" xfId="5" applyFont="1" applyFill="1" applyBorder="1"/>
    <xf numFmtId="3" fontId="87" fillId="0" borderId="122" xfId="5" applyNumberFormat="1" applyFont="1" applyBorder="1"/>
    <xf numFmtId="170" fontId="87" fillId="3" borderId="123" xfId="5" applyNumberFormat="1" applyFont="1" applyFill="1" applyBorder="1" applyAlignment="1">
      <alignment horizontal="center"/>
    </xf>
    <xf numFmtId="0" fontId="87" fillId="3" borderId="121" xfId="5" applyFont="1" applyFill="1" applyBorder="1" applyAlignment="1">
      <alignment horizontal="left"/>
    </xf>
    <xf numFmtId="0" fontId="87" fillId="0" borderId="122" xfId="5" applyFont="1" applyBorder="1" applyAlignment="1">
      <alignment horizontal="left"/>
    </xf>
    <xf numFmtId="0" fontId="85" fillId="0" borderId="122" xfId="5" applyFont="1" applyBorder="1" applyAlignment="1">
      <alignment horizontal="left"/>
    </xf>
    <xf numFmtId="3" fontId="85" fillId="0" borderId="122" xfId="5" applyNumberFormat="1" applyFont="1" applyBorder="1" applyAlignment="1">
      <alignment horizontal="right"/>
    </xf>
    <xf numFmtId="171" fontId="85" fillId="0" borderId="122" xfId="5" applyNumberFormat="1" applyFont="1" applyBorder="1" applyAlignment="1">
      <alignment horizontal="right"/>
    </xf>
    <xf numFmtId="0" fontId="87" fillId="3" borderId="122" xfId="5" applyFont="1" applyFill="1" applyBorder="1" applyAlignment="1">
      <alignment horizontal="left"/>
    </xf>
    <xf numFmtId="3" fontId="87" fillId="3" borderId="122" xfId="5" applyNumberFormat="1" applyFont="1" applyFill="1" applyBorder="1"/>
    <xf numFmtId="0" fontId="88" fillId="3" borderId="121" xfId="5" applyFont="1" applyFill="1" applyBorder="1" applyAlignment="1">
      <alignment horizontal="left"/>
    </xf>
    <xf numFmtId="0" fontId="88" fillId="3" borderId="122" xfId="5" applyFont="1" applyFill="1" applyBorder="1" applyAlignment="1">
      <alignment horizontal="left"/>
    </xf>
    <xf numFmtId="3" fontId="86" fillId="5" borderId="122" xfId="5" applyNumberFormat="1" applyFont="1" applyFill="1" applyBorder="1"/>
    <xf numFmtId="0" fontId="85" fillId="3" borderId="117" xfId="5" applyFont="1" applyFill="1" applyBorder="1" applyAlignment="1">
      <alignment horizontal="left"/>
    </xf>
    <xf numFmtId="0" fontId="85" fillId="3" borderId="130" xfId="5" applyFont="1" applyFill="1" applyBorder="1" applyAlignment="1">
      <alignment horizontal="left"/>
    </xf>
    <xf numFmtId="171" fontId="85" fillId="3" borderId="130" xfId="5" applyNumberFormat="1" applyFont="1" applyFill="1" applyBorder="1"/>
    <xf numFmtId="167" fontId="85" fillId="3" borderId="130" xfId="5" applyNumberFormat="1" applyFont="1" applyFill="1" applyBorder="1" applyAlignment="1">
      <alignment horizontal="right"/>
    </xf>
    <xf numFmtId="170" fontId="86" fillId="3" borderId="134" xfId="5" applyNumberFormat="1" applyFont="1" applyFill="1" applyBorder="1" applyAlignment="1">
      <alignment horizontal="center"/>
    </xf>
    <xf numFmtId="170" fontId="16" fillId="8" borderId="8" xfId="0" applyNumberFormat="1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 wrapText="1"/>
    </xf>
    <xf numFmtId="170" fontId="10" fillId="4" borderId="94" xfId="0" applyNumberFormat="1" applyFont="1" applyFill="1" applyBorder="1" applyAlignment="1">
      <alignment horizontal="center" vertical="center" wrapText="1"/>
    </xf>
    <xf numFmtId="0" fontId="10" fillId="4" borderId="94" xfId="0" applyFont="1" applyFill="1" applyBorder="1" applyAlignment="1">
      <alignment horizontal="center" vertical="center" wrapText="1"/>
    </xf>
    <xf numFmtId="0" fontId="10" fillId="3" borderId="94" xfId="0" applyFont="1" applyFill="1" applyBorder="1" applyAlignment="1">
      <alignment horizontal="center" vertical="center" wrapText="1"/>
    </xf>
    <xf numFmtId="0" fontId="10" fillId="3" borderId="94" xfId="0" applyFont="1" applyFill="1" applyBorder="1"/>
    <xf numFmtId="0" fontId="10" fillId="3" borderId="94" xfId="0" applyFont="1" applyFill="1" applyBorder="1" applyAlignment="1">
      <alignment horizontal="center"/>
    </xf>
    <xf numFmtId="0" fontId="10" fillId="3" borderId="108" xfId="0" applyFont="1" applyFill="1" applyBorder="1" applyAlignment="1">
      <alignment horizontal="center" vertical="center" wrapText="1"/>
    </xf>
    <xf numFmtId="0" fontId="51" fillId="0" borderId="94" xfId="0" applyFont="1" applyBorder="1" applyAlignment="1">
      <alignment horizontal="center"/>
    </xf>
    <xf numFmtId="0" fontId="51" fillId="0" borderId="94" xfId="0" applyFont="1" applyBorder="1"/>
    <xf numFmtId="0" fontId="51" fillId="0" borderId="108" xfId="0" applyFont="1" applyBorder="1" applyAlignment="1">
      <alignment horizontal="center"/>
    </xf>
    <xf numFmtId="0" fontId="38" fillId="0" borderId="5" xfId="0" applyFont="1" applyBorder="1"/>
    <xf numFmtId="170" fontId="38" fillId="0" borderId="94" xfId="0" applyNumberFormat="1" applyFont="1" applyBorder="1"/>
    <xf numFmtId="0" fontId="38" fillId="0" borderId="94" xfId="0" applyFont="1" applyBorder="1"/>
    <xf numFmtId="0" fontId="38" fillId="0" borderId="108" xfId="0" applyFont="1" applyBorder="1" applyAlignment="1">
      <alignment horizontal="center"/>
    </xf>
    <xf numFmtId="168" fontId="38" fillId="0" borderId="108" xfId="0" applyNumberFormat="1" applyFont="1" applyBorder="1" applyAlignment="1">
      <alignment horizontal="center"/>
    </xf>
    <xf numFmtId="0" fontId="51" fillId="0" borderId="5" xfId="0" applyFont="1" applyBorder="1"/>
    <xf numFmtId="170" fontId="51" fillId="0" borderId="94" xfId="0" applyNumberFormat="1" applyFont="1" applyBorder="1"/>
    <xf numFmtId="168" fontId="51" fillId="0" borderId="108" xfId="0" applyNumberFormat="1" applyFont="1" applyBorder="1" applyAlignment="1">
      <alignment horizontal="center"/>
    </xf>
    <xf numFmtId="170" fontId="48" fillId="0" borderId="94" xfId="0" applyNumberFormat="1" applyFont="1" applyBorder="1"/>
    <xf numFmtId="0" fontId="48" fillId="0" borderId="5" xfId="0" applyFont="1" applyBorder="1"/>
    <xf numFmtId="168" fontId="48" fillId="0" borderId="108" xfId="0" applyNumberFormat="1" applyFont="1" applyBorder="1" applyAlignment="1">
      <alignment horizontal="center"/>
    </xf>
    <xf numFmtId="170" fontId="50" fillId="0" borderId="94" xfId="0" applyNumberFormat="1" applyFont="1" applyBorder="1"/>
    <xf numFmtId="170" fontId="49" fillId="0" borderId="94" xfId="0" applyNumberFormat="1" applyFont="1" applyBorder="1"/>
    <xf numFmtId="0" fontId="48" fillId="0" borderId="94" xfId="0" applyFont="1" applyBorder="1"/>
    <xf numFmtId="170" fontId="48" fillId="0" borderId="94" xfId="0" applyNumberFormat="1" applyFont="1" applyBorder="1" applyAlignment="1">
      <alignment horizontal="center"/>
    </xf>
    <xf numFmtId="0" fontId="48" fillId="0" borderId="94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170" fontId="9" fillId="0" borderId="8" xfId="0" applyNumberFormat="1" applyFont="1" applyBorder="1" applyAlignment="1">
      <alignment horizontal="center"/>
    </xf>
    <xf numFmtId="0" fontId="48" fillId="0" borderId="8" xfId="0" applyFont="1" applyBorder="1" applyAlignment="1">
      <alignment horizontal="center"/>
    </xf>
    <xf numFmtId="174" fontId="48" fillId="0" borderId="8" xfId="0" applyNumberFormat="1" applyFont="1" applyBorder="1"/>
    <xf numFmtId="170" fontId="48" fillId="0" borderId="8" xfId="0" applyNumberFormat="1" applyFont="1" applyBorder="1"/>
    <xf numFmtId="173" fontId="9" fillId="0" borderId="8" xfId="0" applyNumberFormat="1" applyFont="1" applyBorder="1"/>
    <xf numFmtId="170" fontId="6" fillId="0" borderId="0" xfId="0" applyNumberFormat="1" applyFont="1"/>
    <xf numFmtId="2" fontId="6" fillId="0" borderId="0" xfId="0" applyNumberFormat="1" applyFont="1"/>
    <xf numFmtId="170" fontId="8" fillId="0" borderId="0" xfId="0" applyNumberFormat="1" applyFont="1"/>
    <xf numFmtId="49" fontId="56" fillId="0" borderId="0" xfId="0" applyNumberFormat="1" applyFont="1"/>
    <xf numFmtId="1" fontId="0" fillId="0" borderId="0" xfId="0" applyNumberFormat="1"/>
    <xf numFmtId="0" fontId="16" fillId="8" borderId="141" xfId="0" applyFont="1" applyFill="1" applyBorder="1" applyAlignment="1">
      <alignment horizontal="center" vertical="center"/>
    </xf>
    <xf numFmtId="3" fontId="16" fillId="8" borderId="140" xfId="0" applyNumberFormat="1" applyFont="1" applyFill="1" applyBorder="1" applyAlignment="1">
      <alignment horizontal="center" vertical="center" wrapText="1"/>
    </xf>
    <xf numFmtId="0" fontId="16" fillId="8" borderId="140" xfId="0" applyFont="1" applyFill="1" applyBorder="1" applyAlignment="1">
      <alignment horizontal="center" vertical="center" wrapText="1"/>
    </xf>
    <xf numFmtId="3" fontId="16" fillId="8" borderId="110" xfId="0" applyNumberFormat="1" applyFont="1" applyFill="1" applyBorder="1" applyAlignment="1">
      <alignment horizontal="center" vertical="center"/>
    </xf>
    <xf numFmtId="3" fontId="6" fillId="0" borderId="150" xfId="0" applyNumberFormat="1" applyFont="1" applyBorder="1" applyAlignment="1">
      <alignment horizontal="left" vertical="center"/>
    </xf>
    <xf numFmtId="3" fontId="16" fillId="0" borderId="151" xfId="0" applyNumberFormat="1" applyFont="1" applyBorder="1" applyAlignment="1">
      <alignment horizontal="left" vertical="center"/>
    </xf>
    <xf numFmtId="3" fontId="16" fillId="0" borderId="152" xfId="0" applyNumberFormat="1" applyFont="1" applyBorder="1" applyAlignment="1">
      <alignment vertical="center"/>
    </xf>
    <xf numFmtId="3" fontId="16" fillId="0" borderId="153" xfId="0" applyNumberFormat="1" applyFont="1" applyBorder="1" applyAlignment="1">
      <alignment vertical="center"/>
    </xf>
    <xf numFmtId="3" fontId="16" fillId="0" borderId="151" xfId="0" applyNumberFormat="1" applyFont="1" applyBorder="1" applyAlignment="1">
      <alignment vertical="center"/>
    </xf>
    <xf numFmtId="168" fontId="16" fillId="0" borderId="152" xfId="0" applyNumberFormat="1" applyFont="1" applyBorder="1" applyAlignment="1">
      <alignment horizontal="center" vertical="center"/>
    </xf>
    <xf numFmtId="3" fontId="6" fillId="0" borderId="155" xfId="0" applyNumberFormat="1" applyFont="1" applyBorder="1" applyAlignment="1">
      <alignment horizontal="left" vertical="center"/>
    </xf>
    <xf numFmtId="3" fontId="16" fillId="0" borderId="156" xfId="0" applyNumberFormat="1" applyFont="1" applyBorder="1" applyAlignment="1">
      <alignment horizontal="left" vertical="center"/>
    </xf>
    <xf numFmtId="3" fontId="16" fillId="0" borderId="157" xfId="0" applyNumberFormat="1" applyFont="1" applyBorder="1" applyAlignment="1">
      <alignment vertical="center"/>
    </xf>
    <xf numFmtId="3" fontId="16" fillId="0" borderId="158" xfId="0" applyNumberFormat="1" applyFont="1" applyBorder="1" applyAlignment="1">
      <alignment vertical="center"/>
    </xf>
    <xf numFmtId="3" fontId="16" fillId="0" borderId="156" xfId="0" applyNumberFormat="1" applyFont="1" applyBorder="1" applyAlignment="1">
      <alignment vertical="center"/>
    </xf>
    <xf numFmtId="3" fontId="16" fillId="0" borderId="160" xfId="0" applyNumberFormat="1" applyFont="1" applyBorder="1" applyAlignment="1">
      <alignment vertical="center"/>
    </xf>
    <xf numFmtId="3" fontId="16" fillId="0" borderId="0" xfId="0" applyNumberFormat="1" applyFont="1" applyAlignment="1">
      <alignment horizontal="left"/>
    </xf>
    <xf numFmtId="3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/>
    </xf>
    <xf numFmtId="3" fontId="16" fillId="0" borderId="0" xfId="0" applyNumberFormat="1" applyFont="1" applyAlignment="1">
      <alignment vertical="center"/>
    </xf>
    <xf numFmtId="3" fontId="14" fillId="0" borderId="77" xfId="0" applyNumberFormat="1" applyFont="1" applyBorder="1"/>
    <xf numFmtId="3" fontId="14" fillId="0" borderId="40" xfId="0" applyNumberFormat="1" applyFont="1" applyBorder="1"/>
    <xf numFmtId="3" fontId="16" fillId="0" borderId="161" xfId="0" applyNumberFormat="1" applyFont="1" applyBorder="1" applyAlignment="1">
      <alignment horizontal="left" vertical="center"/>
    </xf>
    <xf numFmtId="3" fontId="16" fillId="0" borderId="162" xfId="0" applyNumberFormat="1" applyFont="1" applyBorder="1" applyAlignment="1">
      <alignment horizontal="left" vertical="center"/>
    </xf>
    <xf numFmtId="3" fontId="16" fillId="0" borderId="163" xfId="0" applyNumberFormat="1" applyFont="1" applyBorder="1" applyAlignment="1">
      <alignment vertical="center"/>
    </xf>
    <xf numFmtId="3" fontId="16" fillId="0" borderId="164" xfId="0" applyNumberFormat="1" applyFont="1" applyBorder="1" applyAlignment="1">
      <alignment vertical="center"/>
    </xf>
    <xf numFmtId="3" fontId="16" fillId="0" borderId="165" xfId="0" applyNumberFormat="1" applyFont="1" applyBorder="1" applyAlignment="1">
      <alignment vertical="center"/>
    </xf>
    <xf numFmtId="3" fontId="16" fillId="0" borderId="162" xfId="0" applyNumberFormat="1" applyFont="1" applyBorder="1" applyAlignment="1">
      <alignment vertical="center"/>
    </xf>
    <xf numFmtId="3" fontId="16" fillId="0" borderId="166" xfId="0" applyNumberFormat="1" applyFont="1" applyBorder="1" applyAlignment="1">
      <alignment vertical="center"/>
    </xf>
    <xf numFmtId="3" fontId="16" fillId="0" borderId="167" xfId="0" applyNumberFormat="1" applyFont="1" applyBorder="1" applyAlignment="1">
      <alignment horizontal="left" vertical="center"/>
    </xf>
    <xf numFmtId="168" fontId="16" fillId="0" borderId="163" xfId="0" applyNumberFormat="1" applyFont="1" applyBorder="1" applyAlignment="1">
      <alignment horizontal="center" vertical="center"/>
    </xf>
    <xf numFmtId="3" fontId="16" fillId="0" borderId="166" xfId="0" applyNumberFormat="1" applyFont="1" applyBorder="1"/>
    <xf numFmtId="168" fontId="16" fillId="0" borderId="167" xfId="0" applyNumberFormat="1" applyFont="1" applyBorder="1" applyAlignment="1">
      <alignment horizontal="center" vertical="center"/>
    </xf>
    <xf numFmtId="3" fontId="14" fillId="0" borderId="168" xfId="0" applyNumberFormat="1" applyFont="1" applyBorder="1" applyAlignment="1">
      <alignment horizontal="left"/>
    </xf>
    <xf numFmtId="3" fontId="6" fillId="0" borderId="169" xfId="0" applyNumberFormat="1" applyFont="1" applyBorder="1" applyAlignment="1">
      <alignment horizontal="left" vertical="center"/>
    </xf>
    <xf numFmtId="3" fontId="43" fillId="0" borderId="170" xfId="0" applyNumberFormat="1" applyFont="1" applyBorder="1" applyAlignment="1">
      <alignment vertical="center"/>
    </xf>
    <xf numFmtId="3" fontId="43" fillId="0" borderId="171" xfId="0" applyNumberFormat="1" applyFont="1" applyBorder="1" applyAlignment="1">
      <alignment vertical="center"/>
    </xf>
    <xf numFmtId="168" fontId="6" fillId="0" borderId="170" xfId="0" applyNumberFormat="1" applyFont="1" applyBorder="1" applyAlignment="1">
      <alignment horizontal="center" vertical="center"/>
    </xf>
    <xf numFmtId="3" fontId="14" fillId="0" borderId="169" xfId="0" applyNumberFormat="1" applyFont="1" applyBorder="1" applyAlignment="1">
      <alignment horizontal="left"/>
    </xf>
    <xf numFmtId="3" fontId="14" fillId="0" borderId="170" xfId="0" applyNumberFormat="1" applyFont="1" applyBorder="1"/>
    <xf numFmtId="3" fontId="14" fillId="0" borderId="171" xfId="0" applyNumberFormat="1" applyFont="1" applyBorder="1"/>
    <xf numFmtId="3" fontId="14" fillId="0" borderId="173" xfId="0" applyNumberFormat="1" applyFont="1" applyBorder="1"/>
    <xf numFmtId="3" fontId="14" fillId="0" borderId="169" xfId="0" applyNumberFormat="1" applyFont="1" applyBorder="1"/>
    <xf numFmtId="168" fontId="14" fillId="0" borderId="170" xfId="0" applyNumberFormat="1" applyFont="1" applyBorder="1" applyAlignment="1">
      <alignment horizontal="center"/>
    </xf>
    <xf numFmtId="0" fontId="83" fillId="0" borderId="0" xfId="5" applyFont="1"/>
    <xf numFmtId="0" fontId="85" fillId="3" borderId="0" xfId="5" applyFont="1" applyFill="1" applyAlignment="1">
      <alignment horizontal="left"/>
    </xf>
    <xf numFmtId="171" fontId="85" fillId="3" borderId="0" xfId="5" applyNumberFormat="1" applyFont="1" applyFill="1"/>
    <xf numFmtId="167" fontId="85" fillId="3" borderId="0" xfId="5" applyNumberFormat="1" applyFont="1" applyFill="1" applyAlignment="1">
      <alignment horizontal="right"/>
    </xf>
    <xf numFmtId="170" fontId="86" fillId="3" borderId="0" xfId="5" applyNumberFormat="1" applyFont="1" applyFill="1" applyAlignment="1">
      <alignment horizontal="center"/>
    </xf>
    <xf numFmtId="0" fontId="53" fillId="0" borderId="0" xfId="5" applyFont="1"/>
    <xf numFmtId="3" fontId="16" fillId="0" borderId="154" xfId="0" applyNumberFormat="1" applyFont="1" applyBorder="1" applyAlignment="1">
      <alignment vertical="center"/>
    </xf>
    <xf numFmtId="3" fontId="16" fillId="0" borderId="89" xfId="0" applyNumberFormat="1" applyFont="1" applyBorder="1"/>
    <xf numFmtId="3" fontId="14" fillId="0" borderId="89" xfId="0" applyNumberFormat="1" applyFont="1" applyBorder="1"/>
    <xf numFmtId="3" fontId="16" fillId="0" borderId="159" xfId="0" applyNumberFormat="1" applyFont="1" applyBorder="1" applyAlignment="1">
      <alignment vertical="center"/>
    </xf>
    <xf numFmtId="3" fontId="40" fillId="0" borderId="89" xfId="0" applyNumberFormat="1" applyFont="1" applyBorder="1"/>
    <xf numFmtId="3" fontId="14" fillId="0" borderId="104" xfId="0" applyNumberFormat="1" applyFont="1" applyBorder="1"/>
    <xf numFmtId="3" fontId="16" fillId="0" borderId="87" xfId="0" applyNumberFormat="1" applyFont="1" applyBorder="1" applyAlignment="1">
      <alignment vertical="center"/>
    </xf>
    <xf numFmtId="3" fontId="14" fillId="0" borderId="87" xfId="0" applyNumberFormat="1" applyFont="1" applyBorder="1"/>
    <xf numFmtId="3" fontId="16" fillId="0" borderId="10" xfId="0" applyNumberFormat="1" applyFont="1" applyBorder="1" applyAlignment="1">
      <alignment vertical="center"/>
    </xf>
    <xf numFmtId="3" fontId="16" fillId="0" borderId="93" xfId="0" applyNumberFormat="1" applyFont="1" applyBorder="1"/>
    <xf numFmtId="3" fontId="14" fillId="0" borderId="93" xfId="0" applyNumberFormat="1" applyFont="1" applyBorder="1"/>
    <xf numFmtId="3" fontId="14" fillId="0" borderId="172" xfId="0" applyNumberFormat="1" applyFont="1" applyBorder="1"/>
    <xf numFmtId="3" fontId="6" fillId="0" borderId="172" xfId="0" applyNumberFormat="1" applyFont="1" applyBorder="1" applyAlignment="1">
      <alignment vertical="center"/>
    </xf>
    <xf numFmtId="3" fontId="45" fillId="0" borderId="0" xfId="0" applyNumberFormat="1" applyFont="1"/>
    <xf numFmtId="3" fontId="16" fillId="0" borderId="52" xfId="0" applyNumberFormat="1" applyFont="1" applyBorder="1" applyAlignment="1">
      <alignment vertical="center"/>
    </xf>
    <xf numFmtId="3" fontId="14" fillId="0" borderId="52" xfId="0" applyNumberFormat="1" applyFont="1" applyBorder="1"/>
    <xf numFmtId="3" fontId="16" fillId="0" borderId="19" xfId="0" applyNumberFormat="1" applyFont="1" applyBorder="1" applyAlignment="1">
      <alignment vertical="center"/>
    </xf>
    <xf numFmtId="3" fontId="14" fillId="0" borderId="174" xfId="0" applyNumberFormat="1" applyFont="1" applyBorder="1"/>
    <xf numFmtId="3" fontId="39" fillId="0" borderId="0" xfId="0" applyNumberFormat="1" applyFont="1"/>
    <xf numFmtId="3" fontId="16" fillId="0" borderId="4" xfId="0" applyNumberFormat="1" applyFont="1" applyBorder="1" applyAlignment="1">
      <alignment horizontal="right"/>
    </xf>
    <xf numFmtId="3" fontId="14" fillId="0" borderId="57" xfId="0" applyNumberFormat="1" applyFont="1" applyBorder="1"/>
    <xf numFmtId="3" fontId="14" fillId="0" borderId="32" xfId="0" applyNumberFormat="1" applyFont="1" applyBorder="1"/>
    <xf numFmtId="171" fontId="14" fillId="0" borderId="59" xfId="0" applyNumberFormat="1" applyFont="1" applyBorder="1"/>
    <xf numFmtId="3" fontId="14" fillId="0" borderId="10" xfId="0" applyNumberFormat="1" applyFont="1" applyBorder="1"/>
    <xf numFmtId="3" fontId="16" fillId="0" borderId="10" xfId="0" applyNumberFormat="1" applyFont="1" applyBorder="1"/>
    <xf numFmtId="3" fontId="14" fillId="0" borderId="5" xfId="0" applyNumberFormat="1" applyFont="1" applyBorder="1"/>
    <xf numFmtId="3" fontId="14" fillId="0" borderId="168" xfId="0" applyNumberFormat="1" applyFont="1" applyBorder="1"/>
    <xf numFmtId="3" fontId="41" fillId="0" borderId="156" xfId="0" applyNumberFormat="1" applyFont="1" applyBorder="1" applyAlignment="1">
      <alignment vertical="center"/>
    </xf>
    <xf numFmtId="3" fontId="40" fillId="0" borderId="4" xfId="0" applyNumberFormat="1" applyFont="1" applyBorder="1"/>
    <xf numFmtId="3" fontId="41" fillId="0" borderId="4" xfId="0" applyNumberFormat="1" applyFont="1" applyBorder="1"/>
    <xf numFmtId="3" fontId="41" fillId="0" borderId="163" xfId="0" applyNumberFormat="1" applyFont="1" applyBorder="1" applyAlignment="1">
      <alignment vertical="center"/>
    </xf>
    <xf numFmtId="3" fontId="41" fillId="0" borderId="4" xfId="0" applyNumberFormat="1" applyFont="1" applyBorder="1" applyAlignment="1">
      <alignment vertical="center"/>
    </xf>
    <xf numFmtId="3" fontId="41" fillId="0" borderId="57" xfId="0" applyNumberFormat="1" applyFont="1" applyBorder="1" applyAlignment="1">
      <alignment vertical="center"/>
    </xf>
    <xf numFmtId="3" fontId="41" fillId="0" borderId="162" xfId="0" applyNumberFormat="1" applyFont="1" applyBorder="1" applyAlignment="1">
      <alignment vertical="center"/>
    </xf>
    <xf numFmtId="3" fontId="43" fillId="0" borderId="169" xfId="0" applyNumberFormat="1" applyFont="1" applyBorder="1" applyAlignment="1">
      <alignment vertical="center"/>
    </xf>
    <xf numFmtId="0" fontId="34" fillId="0" borderId="4" xfId="0" applyFont="1" applyBorder="1" applyAlignment="1">
      <alignment horizontal="center" vertical="center"/>
    </xf>
    <xf numFmtId="3" fontId="43" fillId="0" borderId="4" xfId="0" applyNumberFormat="1" applyFont="1" applyBorder="1" applyAlignment="1">
      <alignment horizontal="right" vertical="center"/>
    </xf>
    <xf numFmtId="1" fontId="0" fillId="0" borderId="48" xfId="0" applyNumberFormat="1" applyBorder="1"/>
    <xf numFmtId="3" fontId="29" fillId="0" borderId="0" xfId="0" applyNumberFormat="1" applyFont="1"/>
    <xf numFmtId="0" fontId="34" fillId="0" borderId="50" xfId="0" applyFont="1" applyBorder="1" applyAlignment="1">
      <alignment horizontal="center" vertical="center"/>
    </xf>
    <xf numFmtId="3" fontId="6" fillId="0" borderId="50" xfId="0" applyNumberFormat="1" applyFont="1" applyBorder="1" applyAlignment="1">
      <alignment horizontal="right" vertical="center"/>
    </xf>
    <xf numFmtId="3" fontId="0" fillId="0" borderId="50" xfId="0" applyNumberFormat="1" applyBorder="1" applyAlignment="1">
      <alignment horizontal="right"/>
    </xf>
    <xf numFmtId="3" fontId="68" fillId="0" borderId="50" xfId="0" applyNumberFormat="1" applyFont="1" applyBorder="1" applyAlignment="1">
      <alignment horizontal="right"/>
    </xf>
    <xf numFmtId="3" fontId="43" fillId="0" borderId="50" xfId="0" applyNumberFormat="1" applyFont="1" applyBorder="1" applyAlignment="1">
      <alignment horizontal="right" vertical="center"/>
    </xf>
    <xf numFmtId="1" fontId="0" fillId="0" borderId="49" xfId="0" applyNumberFormat="1" applyBorder="1"/>
    <xf numFmtId="3" fontId="68" fillId="0" borderId="0" xfId="0" applyNumberFormat="1" applyFont="1" applyAlignment="1">
      <alignment horizontal="right"/>
    </xf>
    <xf numFmtId="3" fontId="6" fillId="0" borderId="173" xfId="0" applyNumberFormat="1" applyFont="1" applyBorder="1" applyAlignment="1">
      <alignment vertical="center"/>
    </xf>
    <xf numFmtId="3" fontId="6" fillId="0" borderId="169" xfId="0" applyNumberFormat="1" applyFont="1" applyBorder="1" applyAlignment="1">
      <alignment vertical="center"/>
    </xf>
    <xf numFmtId="3" fontId="94" fillId="0" borderId="4" xfId="0" applyNumberFormat="1" applyFont="1" applyBorder="1"/>
    <xf numFmtId="3" fontId="9" fillId="0" borderId="4" xfId="0" applyNumberFormat="1" applyFont="1" applyBorder="1"/>
    <xf numFmtId="0" fontId="48" fillId="0" borderId="41" xfId="0" applyFont="1" applyBorder="1"/>
    <xf numFmtId="3" fontId="49" fillId="0" borderId="4" xfId="0" applyNumberFormat="1" applyFont="1" applyBorder="1"/>
    <xf numFmtId="3" fontId="48" fillId="0" borderId="4" xfId="0" applyNumberFormat="1" applyFont="1" applyBorder="1"/>
    <xf numFmtId="3" fontId="49" fillId="0" borderId="41" xfId="0" applyNumberFormat="1" applyFont="1" applyBorder="1"/>
    <xf numFmtId="0" fontId="38" fillId="0" borderId="41" xfId="0" applyFont="1" applyBorder="1" applyAlignment="1">
      <alignment horizontal="center" vertical="center"/>
    </xf>
    <xf numFmtId="3" fontId="50" fillId="0" borderId="4" xfId="0" applyNumberFormat="1" applyFont="1" applyBorder="1" applyAlignment="1">
      <alignment vertical="center"/>
    </xf>
    <xf numFmtId="3" fontId="38" fillId="0" borderId="4" xfId="0" applyNumberFormat="1" applyFont="1" applyBorder="1" applyAlignment="1">
      <alignment vertical="center"/>
    </xf>
    <xf numFmtId="0" fontId="9" fillId="0" borderId="41" xfId="0" applyFont="1" applyBorder="1"/>
    <xf numFmtId="3" fontId="50" fillId="0" borderId="4" xfId="0" applyNumberFormat="1" applyFont="1" applyBorder="1" applyAlignment="1">
      <alignment horizontal="center"/>
    </xf>
    <xf numFmtId="3" fontId="49" fillId="0" borderId="46" xfId="0" applyNumberFormat="1" applyFont="1" applyBorder="1"/>
    <xf numFmtId="3" fontId="49" fillId="0" borderId="108" xfId="0" applyNumberFormat="1" applyFont="1" applyBorder="1"/>
    <xf numFmtId="3" fontId="48" fillId="0" borderId="89" xfId="0" applyNumberFormat="1" applyFont="1" applyBorder="1"/>
    <xf numFmtId="0" fontId="38" fillId="0" borderId="0" xfId="0" applyFont="1"/>
    <xf numFmtId="3" fontId="48" fillId="0" borderId="108" xfId="0" applyNumberFormat="1" applyFont="1" applyBorder="1"/>
    <xf numFmtId="3" fontId="49" fillId="0" borderId="108" xfId="0" applyNumberFormat="1" applyFont="1" applyBorder="1" applyAlignment="1">
      <alignment horizontal="right"/>
    </xf>
    <xf numFmtId="3" fontId="48" fillId="0" borderId="94" xfId="0" applyNumberFormat="1" applyFont="1" applyBorder="1"/>
    <xf numFmtId="0" fontId="38" fillId="0" borderId="96" xfId="0" applyFont="1" applyBorder="1"/>
    <xf numFmtId="4" fontId="48" fillId="0" borderId="103" xfId="0" applyNumberFormat="1" applyFont="1" applyBorder="1"/>
    <xf numFmtId="3" fontId="48" fillId="0" borderId="103" xfId="0" applyNumberFormat="1" applyFont="1" applyBorder="1"/>
    <xf numFmtId="4" fontId="38" fillId="0" borderId="103" xfId="0" applyNumberFormat="1" applyFont="1" applyBorder="1"/>
    <xf numFmtId="3" fontId="49" fillId="0" borderId="103" xfId="0" applyNumberFormat="1" applyFont="1" applyBorder="1" applyAlignment="1">
      <alignment horizontal="right"/>
    </xf>
    <xf numFmtId="3" fontId="48" fillId="0" borderId="101" xfId="0" applyNumberFormat="1" applyFont="1" applyBorder="1"/>
    <xf numFmtId="3" fontId="38" fillId="0" borderId="0" xfId="0" applyNumberFormat="1" applyFont="1"/>
    <xf numFmtId="0" fontId="52" fillId="0" borderId="0" xfId="0" applyFont="1"/>
    <xf numFmtId="3" fontId="51" fillId="0" borderId="0" xfId="0" applyNumberFormat="1" applyFont="1"/>
    <xf numFmtId="4" fontId="50" fillId="0" borderId="122" xfId="0" applyNumberFormat="1" applyFont="1" applyBorder="1"/>
    <xf numFmtId="4" fontId="6" fillId="0" borderId="4" xfId="0" applyNumberFormat="1" applyFont="1" applyBorder="1" applyAlignment="1">
      <alignment horizontal="right" vertical="center"/>
    </xf>
    <xf numFmtId="4" fontId="0" fillId="0" borderId="4" xfId="0" applyNumberFormat="1" applyBorder="1" applyAlignment="1">
      <alignment horizontal="right"/>
    </xf>
    <xf numFmtId="4" fontId="68" fillId="0" borderId="4" xfId="0" applyNumberFormat="1" applyFont="1" applyBorder="1" applyAlignment="1">
      <alignment horizontal="right"/>
    </xf>
    <xf numFmtId="4" fontId="53" fillId="0" borderId="4" xfId="0" applyNumberFormat="1" applyFont="1" applyBorder="1" applyAlignment="1">
      <alignment horizontal="right"/>
    </xf>
    <xf numFmtId="4" fontId="9" fillId="0" borderId="23" xfId="0" applyNumberFormat="1" applyFont="1" applyBorder="1"/>
    <xf numFmtId="4" fontId="9" fillId="0" borderId="19" xfId="0" applyNumberFormat="1" applyFont="1" applyBorder="1"/>
    <xf numFmtId="4" fontId="11" fillId="0" borderId="19" xfId="0" applyNumberFormat="1" applyFont="1" applyBorder="1"/>
    <xf numFmtId="4" fontId="9" fillId="0" borderId="25" xfId="0" applyNumberFormat="1" applyFont="1" applyBorder="1"/>
    <xf numFmtId="4" fontId="9" fillId="0" borderId="19" xfId="0" applyNumberFormat="1" applyFont="1" applyBorder="1" applyAlignment="1">
      <alignment vertical="center"/>
    </xf>
    <xf numFmtId="4" fontId="13" fillId="0" borderId="19" xfId="0" applyNumberFormat="1" applyFont="1" applyBorder="1"/>
    <xf numFmtId="4" fontId="9" fillId="0" borderId="86" xfId="0" applyNumberFormat="1" applyFont="1" applyBorder="1"/>
    <xf numFmtId="4" fontId="12" fillId="0" borderId="19" xfId="0" applyNumberFormat="1" applyFont="1" applyBorder="1"/>
    <xf numFmtId="4" fontId="9" fillId="0" borderId="23" xfId="0" applyNumberFormat="1" applyFont="1" applyBorder="1" applyAlignment="1">
      <alignment vertical="center"/>
    </xf>
    <xf numFmtId="4" fontId="8" fillId="0" borderId="39" xfId="0" applyNumberFormat="1" applyFont="1" applyBorder="1"/>
    <xf numFmtId="4" fontId="32" fillId="0" borderId="40" xfId="0" applyNumberFormat="1" applyFont="1" applyBorder="1" applyAlignment="1">
      <alignment vertical="center"/>
    </xf>
    <xf numFmtId="4" fontId="0" fillId="0" borderId="14" xfId="0" applyNumberFormat="1" applyBorder="1"/>
    <xf numFmtId="4" fontId="0" fillId="0" borderId="29" xfId="0" applyNumberFormat="1" applyBorder="1"/>
    <xf numFmtId="4" fontId="8" fillId="0" borderId="101" xfId="0" applyNumberFormat="1" applyFont="1" applyBorder="1"/>
    <xf numFmtId="4" fontId="32" fillId="0" borderId="77" xfId="0" applyNumberFormat="1" applyFont="1" applyBorder="1"/>
    <xf numFmtId="4" fontId="32" fillId="3" borderId="45" xfId="0" applyNumberFormat="1" applyFont="1" applyFill="1" applyBorder="1"/>
    <xf numFmtId="4" fontId="32" fillId="3" borderId="40" xfId="0" applyNumberFormat="1" applyFont="1" applyFill="1" applyBorder="1"/>
    <xf numFmtId="4" fontId="32" fillId="3" borderId="102" xfId="0" applyNumberFormat="1" applyFont="1" applyFill="1" applyBorder="1" applyAlignment="1">
      <alignment vertical="center"/>
    </xf>
    <xf numFmtId="4" fontId="32" fillId="3" borderId="0" xfId="0" applyNumberFormat="1" applyFont="1" applyFill="1"/>
    <xf numFmtId="4" fontId="8" fillId="3" borderId="103" xfId="0" applyNumberFormat="1" applyFont="1" applyFill="1" applyBorder="1"/>
    <xf numFmtId="4" fontId="32" fillId="3" borderId="47" xfId="0" applyNumberFormat="1" applyFont="1" applyFill="1" applyBorder="1"/>
    <xf numFmtId="4" fontId="8" fillId="0" borderId="12" xfId="0" applyNumberFormat="1" applyFont="1" applyBorder="1"/>
    <xf numFmtId="3" fontId="43" fillId="0" borderId="0" xfId="0" applyNumberFormat="1" applyFont="1" applyAlignment="1">
      <alignment horizontal="right"/>
    </xf>
    <xf numFmtId="3" fontId="9" fillId="0" borderId="0" xfId="0" applyNumberFormat="1" applyFont="1"/>
    <xf numFmtId="3" fontId="16" fillId="8" borderId="118" xfId="0" applyNumberFormat="1" applyFont="1" applyFill="1" applyBorder="1" applyAlignment="1">
      <alignment horizontal="center" vertical="center" wrapText="1"/>
    </xf>
    <xf numFmtId="3" fontId="49" fillId="0" borderId="122" xfId="0" applyNumberFormat="1" applyFont="1" applyBorder="1" applyAlignment="1">
      <alignment horizontal="right"/>
    </xf>
    <xf numFmtId="3" fontId="55" fillId="0" borderId="0" xfId="0" applyNumberFormat="1" applyFont="1"/>
    <xf numFmtId="3" fontId="3" fillId="0" borderId="0" xfId="0" applyNumberFormat="1" applyFont="1"/>
    <xf numFmtId="4" fontId="9" fillId="0" borderId="0" xfId="0" applyNumberFormat="1" applyFont="1"/>
    <xf numFmtId="4" fontId="16" fillId="8" borderId="118" xfId="0" applyNumberFormat="1" applyFont="1" applyFill="1" applyBorder="1" applyAlignment="1">
      <alignment horizontal="center" vertical="center" wrapText="1"/>
    </xf>
    <xf numFmtId="4" fontId="0" fillId="0" borderId="122" xfId="0" applyNumberFormat="1" applyBorder="1"/>
    <xf numFmtId="4" fontId="38" fillId="0" borderId="19" xfId="0" applyNumberFormat="1" applyFont="1" applyBorder="1"/>
    <xf numFmtId="4" fontId="48" fillId="0" borderId="19" xfId="0" applyNumberFormat="1" applyFont="1" applyBorder="1" applyAlignment="1">
      <alignment horizontal="right"/>
    </xf>
    <xf numFmtId="4" fontId="48" fillId="0" borderId="20" xfId="0" applyNumberFormat="1" applyFont="1" applyBorder="1"/>
    <xf numFmtId="4" fontId="48" fillId="0" borderId="29" xfId="0" applyNumberFormat="1" applyFont="1" applyBorder="1"/>
    <xf numFmtId="4" fontId="55" fillId="0" borderId="0" xfId="0" applyNumberFormat="1" applyFont="1"/>
    <xf numFmtId="4" fontId="3" fillId="0" borderId="0" xfId="0" applyNumberFormat="1" applyFont="1"/>
    <xf numFmtId="4" fontId="6" fillId="0" borderId="4" xfId="0" applyNumberFormat="1" applyFont="1" applyBorder="1" applyAlignment="1">
      <alignment horizontal="right"/>
    </xf>
    <xf numFmtId="170" fontId="48" fillId="3" borderId="123" xfId="5" applyNumberFormat="1" applyFont="1" applyFill="1" applyBorder="1" applyAlignment="1">
      <alignment horizontal="center"/>
    </xf>
    <xf numFmtId="171" fontId="77" fillId="0" borderId="0" xfId="5" applyNumberFormat="1"/>
    <xf numFmtId="167" fontId="38" fillId="3" borderId="0" xfId="5" applyNumberFormat="1" applyFont="1" applyFill="1" applyAlignment="1">
      <alignment horizontal="right"/>
    </xf>
    <xf numFmtId="3" fontId="53" fillId="0" borderId="0" xfId="5" applyNumberFormat="1" applyFont="1"/>
    <xf numFmtId="0" fontId="48" fillId="0" borderId="175" xfId="0" applyFont="1" applyBorder="1"/>
    <xf numFmtId="3" fontId="38" fillId="3" borderId="122" xfId="0" applyNumberFormat="1" applyFont="1" applyFill="1" applyBorder="1"/>
    <xf numFmtId="3" fontId="48" fillId="3" borderId="122" xfId="0" applyNumberFormat="1" applyFont="1" applyFill="1" applyBorder="1"/>
    <xf numFmtId="3" fontId="38" fillId="3" borderId="122" xfId="0" applyNumberFormat="1" applyFont="1" applyFill="1" applyBorder="1" applyAlignment="1">
      <alignment horizontal="right"/>
    </xf>
    <xf numFmtId="3" fontId="48" fillId="3" borderId="122" xfId="0" applyNumberFormat="1" applyFont="1" applyFill="1" applyBorder="1" applyAlignment="1">
      <alignment horizontal="right"/>
    </xf>
    <xf numFmtId="3" fontId="10" fillId="0" borderId="0" xfId="0" applyNumberFormat="1" applyFont="1"/>
    <xf numFmtId="3" fontId="6" fillId="7" borderId="19" xfId="0" applyNumberFormat="1" applyFont="1" applyFill="1" applyBorder="1" applyAlignment="1">
      <alignment horizontal="center" vertical="center"/>
    </xf>
    <xf numFmtId="3" fontId="26" fillId="0" borderId="0" xfId="0" applyNumberFormat="1" applyFont="1"/>
    <xf numFmtId="3" fontId="6" fillId="7" borderId="38" xfId="0" applyNumberFormat="1" applyFont="1" applyFill="1" applyBorder="1" applyAlignment="1">
      <alignment horizontal="center" vertical="center" wrapText="1"/>
    </xf>
    <xf numFmtId="0" fontId="75" fillId="7" borderId="13" xfId="0" applyFont="1" applyFill="1" applyBorder="1" applyAlignment="1">
      <alignment horizontal="center"/>
    </xf>
    <xf numFmtId="0" fontId="75" fillId="7" borderId="31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73" fillId="7" borderId="36" xfId="0" applyFont="1" applyFill="1" applyBorder="1" applyAlignment="1">
      <alignment horizontal="center" vertical="center" wrapText="1"/>
    </xf>
    <xf numFmtId="0" fontId="73" fillId="7" borderId="5" xfId="0" applyFont="1" applyFill="1" applyBorder="1" applyAlignment="1">
      <alignment horizontal="center" vertical="center" wrapText="1"/>
    </xf>
    <xf numFmtId="0" fontId="73" fillId="7" borderId="14" xfId="0" applyFont="1" applyFill="1" applyBorder="1" applyAlignment="1">
      <alignment horizontal="center" vertical="center" wrapText="1"/>
    </xf>
    <xf numFmtId="0" fontId="9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6" fillId="8" borderId="115" xfId="0" applyFont="1" applyFill="1" applyBorder="1" applyAlignment="1">
      <alignment horizontal="center" vertical="center"/>
    </xf>
    <xf numFmtId="0" fontId="16" fillId="8" borderId="116" xfId="0" applyFont="1" applyFill="1" applyBorder="1" applyAlignment="1">
      <alignment horizontal="center" vertical="center"/>
    </xf>
    <xf numFmtId="0" fontId="98" fillId="9" borderId="0" xfId="0" applyFont="1" applyFill="1" applyAlignment="1">
      <alignment horizontal="center"/>
    </xf>
    <xf numFmtId="0" fontId="16" fillId="0" borderId="0" xfId="0" applyFont="1" applyAlignment="1">
      <alignment horizontal="left"/>
    </xf>
    <xf numFmtId="0" fontId="16" fillId="8" borderId="113" xfId="0" applyFont="1" applyFill="1" applyBorder="1" applyAlignment="1">
      <alignment horizontal="center" vertical="center"/>
    </xf>
    <xf numFmtId="0" fontId="16" fillId="8" borderId="117" xfId="0" applyFont="1" applyFill="1" applyBorder="1" applyAlignment="1">
      <alignment horizontal="center" vertical="center"/>
    </xf>
    <xf numFmtId="0" fontId="16" fillId="8" borderId="114" xfId="0" applyFont="1" applyFill="1" applyBorder="1" applyAlignment="1">
      <alignment horizontal="center" vertical="center" wrapText="1"/>
    </xf>
    <xf numFmtId="0" fontId="16" fillId="8" borderId="118" xfId="0" applyFont="1" applyFill="1" applyBorder="1" applyAlignment="1">
      <alignment horizontal="center" vertical="center" wrapText="1"/>
    </xf>
    <xf numFmtId="0" fontId="16" fillId="8" borderId="114" xfId="0" applyFont="1" applyFill="1" applyBorder="1" applyAlignment="1">
      <alignment horizontal="center" vertical="center"/>
    </xf>
    <xf numFmtId="0" fontId="9" fillId="0" borderId="45" xfId="0" applyFont="1" applyBorder="1" applyAlignment="1">
      <alignment horizontal="center"/>
    </xf>
    <xf numFmtId="0" fontId="9" fillId="0" borderId="40" xfId="0" applyFont="1" applyBorder="1" applyAlignment="1">
      <alignment horizontal="center"/>
    </xf>
    <xf numFmtId="0" fontId="9" fillId="0" borderId="77" xfId="0" applyFont="1" applyBorder="1" applyAlignment="1">
      <alignment horizontal="center"/>
    </xf>
    <xf numFmtId="0" fontId="16" fillId="8" borderId="71" xfId="0" applyFont="1" applyFill="1" applyBorder="1" applyAlignment="1">
      <alignment horizontal="center"/>
    </xf>
    <xf numFmtId="0" fontId="16" fillId="8" borderId="62" xfId="0" applyFont="1" applyFill="1" applyBorder="1" applyAlignment="1">
      <alignment horizontal="center"/>
    </xf>
    <xf numFmtId="0" fontId="16" fillId="8" borderId="72" xfId="0" applyFont="1" applyFill="1" applyBorder="1" applyAlignment="1">
      <alignment horizontal="center"/>
    </xf>
    <xf numFmtId="0" fontId="16" fillId="8" borderId="73" xfId="0" applyFont="1" applyFill="1" applyBorder="1" applyAlignment="1">
      <alignment horizontal="center"/>
    </xf>
    <xf numFmtId="0" fontId="16" fillId="8" borderId="78" xfId="0" applyFont="1" applyFill="1" applyBorder="1" applyAlignment="1">
      <alignment horizontal="center"/>
    </xf>
    <xf numFmtId="0" fontId="16" fillId="8" borderId="69" xfId="0" applyFont="1" applyFill="1" applyBorder="1" applyAlignment="1">
      <alignment horizontal="center" vertical="center" wrapText="1"/>
    </xf>
    <xf numFmtId="0" fontId="16" fillId="8" borderId="74" xfId="0" applyFont="1" applyFill="1" applyBorder="1" applyAlignment="1">
      <alignment horizontal="center" vertical="center" wrapText="1"/>
    </xf>
    <xf numFmtId="0" fontId="16" fillId="8" borderId="70" xfId="0" applyFont="1" applyFill="1" applyBorder="1" applyAlignment="1">
      <alignment horizontal="center" vertical="center" wrapText="1"/>
    </xf>
    <xf numFmtId="0" fontId="16" fillId="8" borderId="75" xfId="0" applyFont="1" applyFill="1" applyBorder="1" applyAlignment="1">
      <alignment horizontal="center" vertical="center" wrapText="1"/>
    </xf>
    <xf numFmtId="49" fontId="77" fillId="0" borderId="0" xfId="5" applyNumberFormat="1" applyAlignment="1">
      <alignment horizontal="center"/>
    </xf>
    <xf numFmtId="0" fontId="80" fillId="0" borderId="0" xfId="5" applyFont="1" applyAlignment="1">
      <alignment horizontal="center"/>
    </xf>
    <xf numFmtId="0" fontId="82" fillId="0" borderId="0" xfId="5" applyFont="1" applyAlignment="1">
      <alignment horizontal="center"/>
    </xf>
    <xf numFmtId="0" fontId="9" fillId="0" borderId="0" xfId="5" applyFont="1" applyAlignment="1">
      <alignment horizontal="center"/>
    </xf>
    <xf numFmtId="0" fontId="83" fillId="8" borderId="126" xfId="5" applyFont="1" applyFill="1" applyBorder="1" applyAlignment="1">
      <alignment horizontal="center" vertical="center"/>
    </xf>
    <xf numFmtId="0" fontId="83" fillId="8" borderId="129" xfId="5" applyFont="1" applyFill="1" applyBorder="1" applyAlignment="1">
      <alignment horizontal="center" vertical="center"/>
    </xf>
    <xf numFmtId="0" fontId="83" fillId="8" borderId="115" xfId="5" applyFont="1" applyFill="1" applyBorder="1" applyAlignment="1">
      <alignment horizontal="center" vertical="center"/>
    </xf>
    <xf numFmtId="0" fontId="83" fillId="8" borderId="127" xfId="5" applyFont="1" applyFill="1" applyBorder="1" applyAlignment="1">
      <alignment horizontal="center" vertical="center" wrapText="1"/>
    </xf>
    <xf numFmtId="0" fontId="83" fillId="8" borderId="131" xfId="5" applyFont="1" applyFill="1" applyBorder="1" applyAlignment="1">
      <alignment horizontal="center" vertical="center" wrapText="1"/>
    </xf>
    <xf numFmtId="0" fontId="83" fillId="8" borderId="128" xfId="5" applyFont="1" applyFill="1" applyBorder="1" applyAlignment="1">
      <alignment horizontal="center" vertical="center" wrapText="1"/>
    </xf>
    <xf numFmtId="0" fontId="83" fillId="8" borderId="132" xfId="5" applyFont="1" applyFill="1" applyBorder="1" applyAlignment="1">
      <alignment horizontal="center" vertical="center" wrapText="1"/>
    </xf>
    <xf numFmtId="0" fontId="16" fillId="8" borderId="36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horizontal="center" vertical="center" wrapText="1"/>
    </xf>
    <xf numFmtId="0" fontId="16" fillId="8" borderId="47" xfId="0" applyFont="1" applyFill="1" applyBorder="1" applyAlignment="1">
      <alignment horizontal="center" vertical="center" wrapText="1"/>
    </xf>
    <xf numFmtId="0" fontId="16" fillId="8" borderId="13" xfId="0" applyFont="1" applyFill="1" applyBorder="1" applyAlignment="1">
      <alignment horizontal="center" vertical="center" wrapText="1"/>
    </xf>
    <xf numFmtId="0" fontId="16" fillId="8" borderId="136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6" fillId="8" borderId="60" xfId="0" applyFont="1" applyFill="1" applyBorder="1" applyAlignment="1">
      <alignment horizontal="center" vertical="center" wrapText="1"/>
    </xf>
    <xf numFmtId="0" fontId="16" fillId="8" borderId="44" xfId="0" applyFont="1" applyFill="1" applyBorder="1" applyAlignment="1">
      <alignment horizontal="center" vertical="center" wrapText="1"/>
    </xf>
    <xf numFmtId="0" fontId="16" fillId="8" borderId="65" xfId="0" applyFont="1" applyFill="1" applyBorder="1" applyAlignment="1">
      <alignment horizontal="center" vertical="center" wrapText="1"/>
    </xf>
    <xf numFmtId="0" fontId="16" fillId="8" borderId="66" xfId="0" applyFont="1" applyFill="1" applyBorder="1" applyAlignment="1">
      <alignment horizontal="center" vertical="center" wrapText="1"/>
    </xf>
    <xf numFmtId="0" fontId="16" fillId="8" borderId="61" xfId="0" applyFont="1" applyFill="1" applyBorder="1" applyAlignment="1">
      <alignment horizontal="center" vertical="center"/>
    </xf>
    <xf numFmtId="0" fontId="16" fillId="8" borderId="62" xfId="0" applyFont="1" applyFill="1" applyBorder="1" applyAlignment="1">
      <alignment horizontal="center" vertical="center"/>
    </xf>
    <xf numFmtId="0" fontId="16" fillId="8" borderId="63" xfId="0" applyFont="1" applyFill="1" applyBorder="1" applyAlignment="1">
      <alignment horizontal="center" vertical="center"/>
    </xf>
    <xf numFmtId="0" fontId="16" fillId="8" borderId="61" xfId="0" applyFont="1" applyFill="1" applyBorder="1" applyAlignment="1">
      <alignment horizontal="center" vertical="center" wrapText="1"/>
    </xf>
    <xf numFmtId="0" fontId="16" fillId="8" borderId="6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6" fontId="16" fillId="8" borderId="143" xfId="0" applyNumberFormat="1" applyFont="1" applyFill="1" applyBorder="1" applyAlignment="1">
      <alignment horizontal="center" vertical="center" wrapText="1"/>
    </xf>
    <xf numFmtId="166" fontId="16" fillId="8" borderId="147" xfId="0" applyNumberFormat="1" applyFont="1" applyFill="1" applyBorder="1" applyAlignment="1">
      <alignment horizontal="center" vertical="center" wrapText="1"/>
    </xf>
    <xf numFmtId="3" fontId="16" fillId="8" borderId="143" xfId="0" applyNumberFormat="1" applyFont="1" applyFill="1" applyBorder="1" applyAlignment="1">
      <alignment horizontal="center" vertical="center" wrapText="1"/>
    </xf>
    <xf numFmtId="3" fontId="16" fillId="8" borderId="147" xfId="0" applyNumberFormat="1" applyFont="1" applyFill="1" applyBorder="1" applyAlignment="1">
      <alignment horizontal="center" vertical="center" wrapText="1"/>
    </xf>
    <xf numFmtId="0" fontId="16" fillId="8" borderId="138" xfId="0" applyFont="1" applyFill="1" applyBorder="1" applyAlignment="1">
      <alignment horizontal="center" vertical="center"/>
    </xf>
    <xf numFmtId="0" fontId="16" fillId="8" borderId="41" xfId="0" applyFont="1" applyFill="1" applyBorder="1" applyAlignment="1">
      <alignment horizontal="center" vertical="center"/>
    </xf>
    <xf numFmtId="0" fontId="16" fillId="8" borderId="44" xfId="0" applyFont="1" applyFill="1" applyBorder="1" applyAlignment="1">
      <alignment horizontal="center" vertical="center"/>
    </xf>
    <xf numFmtId="0" fontId="16" fillId="8" borderId="88" xfId="0" applyFont="1" applyFill="1" applyBorder="1" applyAlignment="1">
      <alignment horizontal="center" vertical="center"/>
    </xf>
    <xf numFmtId="0" fontId="16" fillId="8" borderId="4" xfId="0" applyFont="1" applyFill="1" applyBorder="1" applyAlignment="1">
      <alignment horizontal="center" vertical="center"/>
    </xf>
    <xf numFmtId="0" fontId="16" fillId="8" borderId="140" xfId="0" applyFont="1" applyFill="1" applyBorder="1" applyAlignment="1">
      <alignment horizontal="center" vertical="center"/>
    </xf>
    <xf numFmtId="3" fontId="16" fillId="7" borderId="88" xfId="0" applyNumberFormat="1" applyFont="1" applyFill="1" applyBorder="1" applyAlignment="1">
      <alignment horizontal="center" vertical="center" wrapText="1"/>
    </xf>
    <xf numFmtId="3" fontId="16" fillId="7" borderId="4" xfId="0" applyNumberFormat="1" applyFont="1" applyFill="1" applyBorder="1" applyAlignment="1">
      <alignment horizontal="center" vertical="center" wrapText="1"/>
    </xf>
    <xf numFmtId="3" fontId="16" fillId="7" borderId="140" xfId="0" applyNumberFormat="1" applyFont="1" applyFill="1" applyBorder="1" applyAlignment="1">
      <alignment horizontal="center" vertical="center" wrapText="1"/>
    </xf>
    <xf numFmtId="49" fontId="16" fillId="8" borderId="146" xfId="0" applyNumberFormat="1" applyFont="1" applyFill="1" applyBorder="1" applyAlignment="1">
      <alignment horizontal="center" vertical="center" wrapText="1"/>
    </xf>
    <xf numFmtId="49" fontId="16" fillId="8" borderId="148" xfId="0" applyNumberFormat="1" applyFont="1" applyFill="1" applyBorder="1" applyAlignment="1">
      <alignment horizontal="center" vertical="center" wrapText="1"/>
    </xf>
    <xf numFmtId="49" fontId="16" fillId="8" borderId="149" xfId="0" applyNumberFormat="1" applyFont="1" applyFill="1" applyBorder="1" applyAlignment="1">
      <alignment horizontal="center" vertical="center" wrapText="1"/>
    </xf>
    <xf numFmtId="3" fontId="16" fillId="8" borderId="144" xfId="0" applyNumberFormat="1" applyFont="1" applyFill="1" applyBorder="1" applyAlignment="1">
      <alignment horizontal="center" vertical="center"/>
    </xf>
    <xf numFmtId="3" fontId="16" fillId="8" borderId="145" xfId="0" applyNumberFormat="1" applyFont="1" applyFill="1" applyBorder="1" applyAlignment="1">
      <alignment horizontal="center" vertical="center"/>
    </xf>
    <xf numFmtId="0" fontId="16" fillId="8" borderId="139" xfId="0" applyFont="1" applyFill="1" applyBorder="1" applyAlignment="1">
      <alignment horizontal="center" vertical="center"/>
    </xf>
    <xf numFmtId="0" fontId="16" fillId="8" borderId="135" xfId="0" applyFont="1" applyFill="1" applyBorder="1" applyAlignment="1">
      <alignment horizontal="center" vertical="center"/>
    </xf>
    <xf numFmtId="0" fontId="16" fillId="8" borderId="137" xfId="0" applyFont="1" applyFill="1" applyBorder="1" applyAlignment="1">
      <alignment horizontal="center" vertical="center"/>
    </xf>
    <xf numFmtId="0" fontId="16" fillId="8" borderId="138" xfId="0" applyFont="1" applyFill="1" applyBorder="1" applyAlignment="1">
      <alignment horizontal="center" vertical="center" wrapText="1"/>
    </xf>
    <xf numFmtId="0" fontId="16" fillId="8" borderId="88" xfId="0" applyFont="1" applyFill="1" applyBorder="1" applyAlignment="1">
      <alignment horizontal="center" vertical="center" wrapText="1"/>
    </xf>
    <xf numFmtId="0" fontId="16" fillId="8" borderId="140" xfId="0" applyFont="1" applyFill="1" applyBorder="1" applyAlignment="1">
      <alignment horizontal="center" vertical="center" wrapText="1"/>
    </xf>
    <xf numFmtId="0" fontId="16" fillId="8" borderId="142" xfId="0" applyFont="1" applyFill="1" applyBorder="1" applyAlignment="1">
      <alignment horizontal="center" vertical="center" wrapText="1"/>
    </xf>
    <xf numFmtId="0" fontId="16" fillId="8" borderId="110" xfId="0" applyFont="1" applyFill="1" applyBorder="1" applyAlignment="1">
      <alignment horizontal="center" vertical="center" wrapText="1"/>
    </xf>
    <xf numFmtId="0" fontId="16" fillId="8" borderId="139" xfId="0" applyFont="1" applyFill="1" applyBorder="1" applyAlignment="1">
      <alignment horizontal="center" vertical="center" wrapText="1"/>
    </xf>
    <xf numFmtId="0" fontId="16" fillId="8" borderId="137" xfId="0" applyFont="1" applyFill="1" applyBorder="1" applyAlignment="1">
      <alignment horizontal="center" vertical="center" wrapText="1"/>
    </xf>
    <xf numFmtId="0" fontId="6" fillId="7" borderId="11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6" fillId="7" borderId="37" xfId="0" applyFont="1" applyFill="1" applyBorder="1" applyAlignment="1">
      <alignment horizontal="center" vertical="center"/>
    </xf>
    <xf numFmtId="0" fontId="6" fillId="7" borderId="36" xfId="0" applyFont="1" applyFill="1" applyBorder="1" applyAlignment="1">
      <alignment horizontal="center" vertical="center"/>
    </xf>
    <xf numFmtId="0" fontId="6" fillId="7" borderId="14" xfId="0" applyFont="1" applyFill="1" applyBorder="1" applyAlignment="1">
      <alignment horizontal="center" vertical="center"/>
    </xf>
    <xf numFmtId="168" fontId="6" fillId="7" borderId="47" xfId="0" applyNumberFormat="1" applyFont="1" applyFill="1" applyBorder="1" applyAlignment="1">
      <alignment horizontal="center" vertical="center" wrapText="1"/>
    </xf>
    <xf numFmtId="168" fontId="6" fillId="7" borderId="13" xfId="0" applyNumberFormat="1" applyFont="1" applyFill="1" applyBorder="1" applyAlignment="1">
      <alignment horizontal="center" vertical="center" wrapText="1"/>
    </xf>
    <xf numFmtId="0" fontId="6" fillId="7" borderId="111" xfId="0" applyFont="1" applyFill="1" applyBorder="1" applyAlignment="1">
      <alignment horizontal="center" vertical="center" wrapText="1"/>
    </xf>
    <xf numFmtId="0" fontId="6" fillId="7" borderId="112" xfId="0" applyFont="1" applyFill="1" applyBorder="1" applyAlignment="1">
      <alignment horizontal="center" vertical="center" wrapText="1"/>
    </xf>
    <xf numFmtId="166" fontId="16" fillId="0" borderId="0" xfId="0" applyNumberFormat="1" applyFont="1" applyAlignment="1">
      <alignment horizontal="left"/>
    </xf>
    <xf numFmtId="166" fontId="17" fillId="0" borderId="0" xfId="0" applyNumberFormat="1" applyFont="1" applyAlignment="1">
      <alignment horizontal="left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7" borderId="15" xfId="0" applyFont="1" applyFill="1" applyBorder="1" applyAlignment="1">
      <alignment horizontal="center" vertical="center" wrapText="1"/>
    </xf>
    <xf numFmtId="0" fontId="6" fillId="7" borderId="18" xfId="0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/>
    </xf>
    <xf numFmtId="0" fontId="6" fillId="7" borderId="17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/>
    </xf>
    <xf numFmtId="0" fontId="6" fillId="7" borderId="22" xfId="0" applyFont="1" applyFill="1" applyBorder="1" applyAlignment="1">
      <alignment horizontal="center"/>
    </xf>
    <xf numFmtId="0" fontId="6" fillId="7" borderId="28" xfId="0" applyFont="1" applyFill="1" applyBorder="1" applyAlignment="1">
      <alignment horizontal="center" vertical="center" wrapText="1"/>
    </xf>
    <xf numFmtId="0" fontId="6" fillId="7" borderId="30" xfId="0" applyFont="1" applyFill="1" applyBorder="1" applyAlignment="1">
      <alignment horizontal="center" vertical="center" wrapText="1"/>
    </xf>
    <xf numFmtId="0" fontId="6" fillId="7" borderId="97" xfId="0" applyFont="1" applyFill="1" applyBorder="1" applyAlignment="1">
      <alignment horizontal="center" vertical="center" wrapText="1"/>
    </xf>
    <xf numFmtId="0" fontId="6" fillId="7" borderId="98" xfId="0" applyFont="1" applyFill="1" applyBorder="1" applyAlignment="1">
      <alignment horizontal="center" vertical="center" wrapText="1"/>
    </xf>
    <xf numFmtId="0" fontId="6" fillId="7" borderId="99" xfId="0" applyFont="1" applyFill="1" applyBorder="1" applyAlignment="1">
      <alignment horizontal="center" vertical="center" wrapText="1"/>
    </xf>
  </cellXfs>
  <cellStyles count="7">
    <cellStyle name="Euro" xfId="2" xr:uid="{00000000-0005-0000-0000-000000000000}"/>
    <cellStyle name="Moneda" xfId="1" builtinId="4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2323DC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33CC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FFFF99"/>
      <color rgb="FF062948"/>
      <color rgb="FF000099"/>
      <color rgb="FF000066"/>
      <color rgb="FFFFCCFF"/>
      <color rgb="FF003399"/>
      <color rgb="FF0066CC"/>
      <color rgb="FF0033CC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106680</xdr:rowOff>
    </xdr:from>
    <xdr:to>
      <xdr:col>5</xdr:col>
      <xdr:colOff>30480</xdr:colOff>
      <xdr:row>2</xdr:row>
      <xdr:rowOff>236220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268605"/>
          <a:ext cx="5574030" cy="2914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A" sz="14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RESUMEN DEL PRESUPUESTO AL MES DE</a:t>
          </a:r>
          <a:r>
            <a:rPr lang="es-PA" sz="14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FEBRERO </a:t>
          </a:r>
          <a:r>
            <a:rPr lang="es-PA" sz="14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2026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0" name="Line 1">
          <a:extLst>
            <a:ext uri="{FF2B5EF4-FFF2-40B4-BE49-F238E27FC236}">
              <a16:creationId xmlns:a16="http://schemas.microsoft.com/office/drawing/2014/main" id="{00000000-0008-0000-0C00-0000A4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1" name="Line 1">
          <a:extLst>
            <a:ext uri="{FF2B5EF4-FFF2-40B4-BE49-F238E27FC236}">
              <a16:creationId xmlns:a16="http://schemas.microsoft.com/office/drawing/2014/main" id="{00000000-0008-0000-0C00-0000A5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2" name="Line 1">
          <a:extLst>
            <a:ext uri="{FF2B5EF4-FFF2-40B4-BE49-F238E27FC236}">
              <a16:creationId xmlns:a16="http://schemas.microsoft.com/office/drawing/2014/main" id="{00000000-0008-0000-0C00-0000A6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3" name="Line 1">
          <a:extLst>
            <a:ext uri="{FF2B5EF4-FFF2-40B4-BE49-F238E27FC236}">
              <a16:creationId xmlns:a16="http://schemas.microsoft.com/office/drawing/2014/main" id="{00000000-0008-0000-0C00-0000A7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4" name="Line 1">
          <a:extLst>
            <a:ext uri="{FF2B5EF4-FFF2-40B4-BE49-F238E27FC236}">
              <a16:creationId xmlns:a16="http://schemas.microsoft.com/office/drawing/2014/main" id="{00000000-0008-0000-0C00-0000A8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5" name="Line 1">
          <a:extLst>
            <a:ext uri="{FF2B5EF4-FFF2-40B4-BE49-F238E27FC236}">
              <a16:creationId xmlns:a16="http://schemas.microsoft.com/office/drawing/2014/main" id="{00000000-0008-0000-0C00-0000A9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39</xdr:row>
      <xdr:rowOff>0</xdr:rowOff>
    </xdr:from>
    <xdr:to>
      <xdr:col>0</xdr:col>
      <xdr:colOff>238125</xdr:colOff>
      <xdr:row>40</xdr:row>
      <xdr:rowOff>38100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D00-00008BC60000}"/>
            </a:ext>
          </a:extLst>
        </xdr:cNvPr>
        <xdr:cNvSpPr txBox="1">
          <a:spLocks noChangeArrowheads="1"/>
        </xdr:cNvSpPr>
      </xdr:nvSpPr>
      <xdr:spPr>
        <a:xfrm>
          <a:off x="133350" y="90678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50</xdr:row>
      <xdr:rowOff>28575</xdr:rowOff>
    </xdr:from>
    <xdr:to>
      <xdr:col>3</xdr:col>
      <xdr:colOff>800100</xdr:colOff>
      <xdr:row>53</xdr:row>
      <xdr:rowOff>104775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 txBox="1"/>
      </xdr:nvSpPr>
      <xdr:spPr>
        <a:xfrm>
          <a:off x="47625" y="12760325"/>
          <a:ext cx="6400800" cy="5619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A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pre05\COPIA%20MAYRA\EJECUCION%20PRESUP%20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-A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GRESOS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Pto"/>
      <sheetName val="FINANC. PTO"/>
      <sheetName val="C-1"/>
      <sheetName val="C-2"/>
      <sheetName val="C-3"/>
      <sheetName val="C-4"/>
      <sheetName val="Transf"/>
      <sheetName val="C-5"/>
      <sheetName val="C-8"/>
      <sheetName val="C-6"/>
      <sheetName val="C-7"/>
      <sheetName val="C-9"/>
      <sheetName val="C-10"/>
      <sheetName val="Ing.corr-k"/>
      <sheetName val="CA1"/>
      <sheetName val="CA2"/>
      <sheetName val="C-A3"/>
      <sheetName val="C-A4"/>
      <sheetName val="C-A5"/>
      <sheetName val="C-A6"/>
      <sheetName val="C-A6C"/>
      <sheetName val="C-A7"/>
      <sheetName val="C-A8A"/>
      <sheetName val="INVxOBJETO"/>
      <sheetName val="TRASLADO"/>
      <sheetName val="PTO LEY 2020-2021"/>
      <sheetName val="POR GRUPO"/>
      <sheetName val="Hoja4"/>
      <sheetName val="Hoja5"/>
      <sheetName val="Hoja1"/>
      <sheetName val="Hoja2"/>
      <sheetName val="C-A8"/>
      <sheetName val="Hoja6"/>
      <sheetName val="C-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1">
          <cell r="B11" t="str">
            <v xml:space="preserve"> I  Ingresos Corrientes</v>
          </cell>
          <cell r="D11">
            <v>141094806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8" tint="0.59999389629810485"/>
  </sheetPr>
  <dimension ref="A1:K35"/>
  <sheetViews>
    <sheetView showGridLines="0" showZeros="0" workbookViewId="0">
      <selection activeCell="K17" sqref="K17"/>
    </sheetView>
  </sheetViews>
  <sheetFormatPr baseColWidth="10" defaultColWidth="11.42578125" defaultRowHeight="12.75"/>
  <cols>
    <col min="1" max="1" width="35.7109375" style="4" customWidth="1"/>
    <col min="2" max="2" width="15.28515625" customWidth="1"/>
    <col min="3" max="3" width="5" hidden="1" customWidth="1"/>
    <col min="4" max="4" width="16" customWidth="1"/>
    <col min="5" max="5" width="16.7109375" customWidth="1"/>
  </cols>
  <sheetData>
    <row r="1" spans="1:11">
      <c r="A1"/>
    </row>
    <row r="2" spans="1:11">
      <c r="A2"/>
    </row>
    <row r="3" spans="1:11" ht="31.9" customHeight="1">
      <c r="A3"/>
    </row>
    <row r="4" spans="1:11" ht="6.95" customHeight="1">
      <c r="A4" s="775" t="s">
        <v>0</v>
      </c>
      <c r="B4" s="466"/>
      <c r="C4" s="466"/>
      <c r="D4" s="466"/>
      <c r="E4" s="466"/>
    </row>
    <row r="5" spans="1:11">
      <c r="A5" s="776"/>
      <c r="B5" s="772" t="s">
        <v>1</v>
      </c>
      <c r="C5" s="773"/>
      <c r="D5" s="773"/>
      <c r="E5" s="773"/>
    </row>
    <row r="6" spans="1:11" ht="20.25" customHeight="1">
      <c r="A6" s="776"/>
      <c r="B6" s="467" t="s">
        <v>2</v>
      </c>
      <c r="C6" s="467" t="s">
        <v>3</v>
      </c>
      <c r="D6" s="468" t="s">
        <v>4</v>
      </c>
      <c r="E6" s="467" t="s">
        <v>5</v>
      </c>
    </row>
    <row r="7" spans="1:11" ht="6.6" customHeight="1">
      <c r="A7" s="777"/>
      <c r="B7" s="469"/>
      <c r="C7" s="469"/>
      <c r="D7" s="470"/>
      <c r="E7" s="469"/>
    </row>
    <row r="8" spans="1:11" ht="13.15" customHeight="1">
      <c r="A8" s="5"/>
      <c r="B8" s="138"/>
      <c r="C8" s="138"/>
      <c r="D8" s="276"/>
    </row>
    <row r="9" spans="1:11" ht="24.6" customHeight="1">
      <c r="A9" s="277" t="s">
        <v>6</v>
      </c>
      <c r="B9" s="278">
        <f>SUM(B11:B13)</f>
        <v>179349116</v>
      </c>
      <c r="C9" s="278">
        <f>SUM(C11:C13)</f>
        <v>0</v>
      </c>
      <c r="D9" s="279">
        <f>SUM(D11:D13)</f>
        <v>179349116</v>
      </c>
      <c r="E9" s="278">
        <f>SUM(E11:E13)</f>
        <v>16310340.370000001</v>
      </c>
    </row>
    <row r="10" spans="1:11" ht="15">
      <c r="A10" s="280"/>
      <c r="B10" s="281"/>
      <c r="C10" s="282"/>
      <c r="D10" s="281"/>
      <c r="E10" s="282"/>
    </row>
    <row r="11" spans="1:11">
      <c r="A11" s="283" t="s">
        <v>7</v>
      </c>
      <c r="B11" s="284">
        <f>+RECAUDACION!C11</f>
        <v>133140570</v>
      </c>
      <c r="C11" s="285"/>
      <c r="D11" s="284">
        <f>RECAUDACION!D11</f>
        <v>133140570</v>
      </c>
      <c r="E11" s="285">
        <f>RECAUDACION!G11</f>
        <v>15210340.370000001</v>
      </c>
    </row>
    <row r="12" spans="1:11">
      <c r="A12" s="283"/>
      <c r="B12" s="284"/>
      <c r="C12" s="285"/>
      <c r="D12" s="284"/>
      <c r="E12" s="285"/>
      <c r="F12" s="286"/>
    </row>
    <row r="13" spans="1:11">
      <c r="A13" s="283" t="s">
        <v>8</v>
      </c>
      <c r="B13" s="284">
        <f>+RECAUDACION!C36</f>
        <v>46208546</v>
      </c>
      <c r="C13" s="285"/>
      <c r="D13" s="284">
        <f>RECAUDACION!D36</f>
        <v>46208546</v>
      </c>
      <c r="E13" s="285">
        <f>+RECAUDACION!G36</f>
        <v>1100000</v>
      </c>
      <c r="G13" s="1"/>
    </row>
    <row r="14" spans="1:11" ht="15">
      <c r="A14" s="280"/>
      <c r="B14" s="287"/>
      <c r="C14" s="288"/>
      <c r="D14" s="287"/>
      <c r="E14" s="288"/>
    </row>
    <row r="15" spans="1:11" ht="15">
      <c r="A15" s="280"/>
      <c r="B15" s="287"/>
      <c r="C15" s="288"/>
      <c r="D15" s="287"/>
      <c r="E15" s="288"/>
    </row>
    <row r="16" spans="1:11" ht="22.15" customHeight="1">
      <c r="A16" s="277" t="s">
        <v>9</v>
      </c>
      <c r="B16" s="289">
        <f>+B18+B25</f>
        <v>179349116</v>
      </c>
      <c r="C16" s="290">
        <f>+C18+C25</f>
        <v>0</v>
      </c>
      <c r="D16" s="289">
        <f>+D18+D25</f>
        <v>179349116</v>
      </c>
      <c r="E16" s="290">
        <f>+E18+E25</f>
        <v>20195176.519999996</v>
      </c>
      <c r="K16" t="s">
        <v>12</v>
      </c>
    </row>
    <row r="17" spans="1:8" ht="16.899999999999999" customHeight="1">
      <c r="A17" s="280"/>
      <c r="B17" s="287"/>
      <c r="C17" s="288"/>
      <c r="D17" s="287"/>
      <c r="E17" s="288"/>
    </row>
    <row r="18" spans="1:8" ht="24.6" customHeight="1">
      <c r="A18" s="291" t="s">
        <v>10</v>
      </c>
      <c r="B18" s="292">
        <f>+B19+B21+B23</f>
        <v>133140570</v>
      </c>
      <c r="C18" s="292">
        <f>SUM(C19:C23)</f>
        <v>0</v>
      </c>
      <c r="D18" s="293">
        <f>SUM(D19:D23)</f>
        <v>133140570</v>
      </c>
      <c r="E18" s="292">
        <f>E19+E21+E23</f>
        <v>19164332.699999996</v>
      </c>
      <c r="F18" s="1" t="s">
        <v>11</v>
      </c>
      <c r="H18" t="s">
        <v>12</v>
      </c>
    </row>
    <row r="19" spans="1:8" ht="22.5" customHeight="1">
      <c r="A19" s="5" t="s">
        <v>13</v>
      </c>
      <c r="B19" s="285">
        <f>+'ESTRUCTURA PROG'!C11</f>
        <v>46252935</v>
      </c>
      <c r="C19" s="285"/>
      <c r="D19" s="284">
        <f>+'ESTRUCTURA PROG'!D11</f>
        <v>46896617</v>
      </c>
      <c r="E19" s="285">
        <f>+'ESTRUCTURA PROG'!G11</f>
        <v>5935728.7399999993</v>
      </c>
      <c r="H19" t="s">
        <v>12</v>
      </c>
    </row>
    <row r="20" spans="1:8">
      <c r="A20" s="5"/>
      <c r="B20" s="285">
        <f>+PROYECTOS!E1</f>
        <v>0</v>
      </c>
      <c r="C20" s="285"/>
      <c r="D20" s="284"/>
      <c r="E20" s="285">
        <f>+PROYECTOS!G1</f>
        <v>0</v>
      </c>
      <c r="H20" t="s">
        <v>12</v>
      </c>
    </row>
    <row r="21" spans="1:8">
      <c r="A21" s="5" t="s">
        <v>14</v>
      </c>
      <c r="B21" s="285">
        <f>+'ESTRUCTURA PROG'!C21</f>
        <v>71448026</v>
      </c>
      <c r="C21" s="285"/>
      <c r="D21" s="284">
        <f>+'ESTRUCTURA PROG'!D21</f>
        <v>71503804</v>
      </c>
      <c r="E21" s="285">
        <f>+'ESTRUCTURA PROG'!G21</f>
        <v>11229788.599999998</v>
      </c>
      <c r="H21" t="s">
        <v>12</v>
      </c>
    </row>
    <row r="22" spans="1:8">
      <c r="A22" s="5" t="s">
        <v>12</v>
      </c>
      <c r="B22" s="285">
        <f>+PROYECTOS!E3</f>
        <v>0</v>
      </c>
      <c r="C22" s="285"/>
      <c r="D22" s="284"/>
      <c r="E22" s="285">
        <f>+PROYECTOS!G3</f>
        <v>0</v>
      </c>
      <c r="H22" t="s">
        <v>12</v>
      </c>
    </row>
    <row r="23" spans="1:8">
      <c r="A23" s="5" t="s">
        <v>15</v>
      </c>
      <c r="B23" s="285">
        <f>+'ESTRUCTURA PROG'!C29</f>
        <v>15439609</v>
      </c>
      <c r="C23" s="285"/>
      <c r="D23" s="284">
        <f>+'ESTRUCTURA PROG'!D29</f>
        <v>14740149</v>
      </c>
      <c r="E23" s="285">
        <f>+'ESTRUCTURA PROG'!G29</f>
        <v>1998815.36</v>
      </c>
    </row>
    <row r="24" spans="1:8" ht="27.6" customHeight="1">
      <c r="A24" s="280"/>
      <c r="B24" s="288"/>
      <c r="C24" s="288"/>
      <c r="D24" s="287"/>
      <c r="E24" s="288"/>
    </row>
    <row r="25" spans="1:8" ht="21" customHeight="1">
      <c r="A25" s="291" t="s">
        <v>16</v>
      </c>
      <c r="B25" s="292">
        <f>+B26+B28+B30+B32</f>
        <v>46208546</v>
      </c>
      <c r="C25" s="292">
        <f>SUM(C26:C30)</f>
        <v>0</v>
      </c>
      <c r="D25" s="293">
        <f>SUM(D26:D32)</f>
        <v>46208546</v>
      </c>
      <c r="E25" s="292">
        <f>+E26+E28+E30+E32</f>
        <v>1030843.8200000001</v>
      </c>
      <c r="F25" s="1" t="s">
        <v>12</v>
      </c>
    </row>
    <row r="26" spans="1:8" ht="23.25" customHeight="1">
      <c r="A26" s="5" t="s">
        <v>17</v>
      </c>
      <c r="B26" s="285">
        <f>+PROYECTOS!B8</f>
        <v>39203856</v>
      </c>
      <c r="C26" s="285"/>
      <c r="D26" s="284">
        <f>+PROYECTOS!D8</f>
        <v>39434337</v>
      </c>
      <c r="E26" s="285">
        <f>+PROYECTOS!G8</f>
        <v>247285.28000000003</v>
      </c>
    </row>
    <row r="27" spans="1:8">
      <c r="A27" s="5"/>
      <c r="B27" s="285"/>
      <c r="C27" s="285"/>
      <c r="D27" s="284"/>
      <c r="E27" s="285" t="s">
        <v>12</v>
      </c>
    </row>
    <row r="28" spans="1:8">
      <c r="A28" s="5" t="s">
        <v>18</v>
      </c>
      <c r="B28" s="285">
        <f>+PROYECTOS!B18</f>
        <v>1955170</v>
      </c>
      <c r="C28" s="285"/>
      <c r="D28" s="284">
        <f>+PROYECTOS!D18</f>
        <v>1857765</v>
      </c>
      <c r="E28" s="285">
        <f>+PROYECTOS!G18</f>
        <v>15437.599999999999</v>
      </c>
    </row>
    <row r="29" spans="1:8">
      <c r="A29" s="5"/>
      <c r="B29" s="1"/>
      <c r="C29" s="1"/>
      <c r="D29" s="294"/>
      <c r="E29" s="1" t="s">
        <v>12</v>
      </c>
    </row>
    <row r="30" spans="1:8">
      <c r="A30" s="5" t="s">
        <v>19</v>
      </c>
      <c r="B30" s="285">
        <f>+PROYECTOS!B35</f>
        <v>3949520</v>
      </c>
      <c r="C30" s="285"/>
      <c r="D30" s="284">
        <f>+PROYECTOS!D35</f>
        <v>3882225</v>
      </c>
      <c r="E30" s="285">
        <f>+PROYECTOS!G35</f>
        <v>658440.03</v>
      </c>
    </row>
    <row r="31" spans="1:8">
      <c r="A31" s="5"/>
      <c r="B31" s="284"/>
      <c r="C31" s="285"/>
      <c r="D31" s="284"/>
      <c r="E31" s="285"/>
    </row>
    <row r="32" spans="1:8">
      <c r="A32" s="5" t="s">
        <v>624</v>
      </c>
      <c r="B32" s="285">
        <f>+PROYECTOS!B45</f>
        <v>1100000</v>
      </c>
      <c r="C32" s="285">
        <v>1100000</v>
      </c>
      <c r="D32" s="284">
        <f>+PROYECTOS!D45</f>
        <v>1034219</v>
      </c>
      <c r="E32" s="285">
        <f>+PROYECTOS!G45</f>
        <v>109680.91</v>
      </c>
    </row>
    <row r="33" spans="1:5" ht="15">
      <c r="A33" s="280"/>
      <c r="B33" s="472"/>
      <c r="C33" s="42"/>
      <c r="D33" s="295"/>
      <c r="E33" s="296"/>
    </row>
    <row r="34" spans="1:5">
      <c r="A34" s="81"/>
      <c r="B34" s="81"/>
      <c r="C34" s="81"/>
      <c r="D34" s="81"/>
      <c r="E34" s="81"/>
    </row>
    <row r="35" spans="1:5">
      <c r="A35" s="774" t="s">
        <v>20</v>
      </c>
      <c r="B35" s="774"/>
    </row>
  </sheetData>
  <mergeCells count="3">
    <mergeCell ref="B5:E5"/>
    <mergeCell ref="A35:B35"/>
    <mergeCell ref="A4:A7"/>
  </mergeCells>
  <pageMargins left="0.94488188976377996" right="0.74803149606299202" top="0.98425196850393704" bottom="0.98425196850393704" header="0" footer="0"/>
  <pageSetup scale="80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0.39997558519241921"/>
  </sheetPr>
  <dimension ref="A1:R460"/>
  <sheetViews>
    <sheetView showGridLines="0" showZeros="0" tabSelected="1" topLeftCell="A7" zoomScale="96" zoomScaleNormal="96" workbookViewId="0">
      <selection activeCell="R18" sqref="R17:R18"/>
    </sheetView>
  </sheetViews>
  <sheetFormatPr baseColWidth="10" defaultColWidth="11.42578125" defaultRowHeight="13.5"/>
  <cols>
    <col min="1" max="1" width="6.140625" customWidth="1"/>
    <col min="2" max="2" width="55" customWidth="1"/>
    <col min="3" max="3" width="12.5703125" customWidth="1"/>
    <col min="4" max="4" width="14.28515625" hidden="1" customWidth="1"/>
    <col min="5" max="5" width="14.140625" customWidth="1"/>
    <col min="6" max="6" width="12" customWidth="1"/>
    <col min="7" max="7" width="12" hidden="1" customWidth="1"/>
    <col min="8" max="8" width="17.5703125" style="1" customWidth="1"/>
    <col min="9" max="9" width="13" customWidth="1"/>
    <col min="10" max="10" width="13.140625" customWidth="1"/>
    <col min="11" max="11" width="10.85546875" customWidth="1"/>
    <col min="12" max="12" width="10.85546875" hidden="1" customWidth="1"/>
    <col min="13" max="13" width="16.140625" style="7" hidden="1" customWidth="1"/>
    <col min="14" max="14" width="13.140625" style="359" customWidth="1"/>
    <col min="15" max="15" width="14.140625" style="3" customWidth="1"/>
    <col min="16" max="16" width="14.85546875" style="36" hidden="1" customWidth="1"/>
    <col min="17" max="17" width="11.28515625" customWidth="1"/>
  </cols>
  <sheetData>
    <row r="1" spans="1:18" ht="16.899999999999999" customHeight="1">
      <c r="A1" s="868" t="s">
        <v>61</v>
      </c>
      <c r="B1" s="868"/>
      <c r="C1" s="868"/>
      <c r="D1" s="868"/>
      <c r="E1" s="868"/>
      <c r="F1" s="868"/>
      <c r="G1" s="868"/>
      <c r="H1" s="868"/>
      <c r="I1" s="868"/>
      <c r="J1" s="868"/>
      <c r="K1" s="868"/>
      <c r="L1" s="868"/>
      <c r="M1" s="868"/>
      <c r="N1" s="868"/>
      <c r="O1" s="868"/>
    </row>
    <row r="2" spans="1:18" ht="18" customHeight="1">
      <c r="A2" s="779" t="s">
        <v>62</v>
      </c>
      <c r="B2" s="779"/>
      <c r="C2" s="779"/>
      <c r="D2" s="779"/>
      <c r="E2" s="779"/>
      <c r="F2" s="779"/>
      <c r="G2" s="779"/>
      <c r="H2" s="779"/>
      <c r="I2" s="779"/>
      <c r="J2" s="779"/>
      <c r="K2" s="779"/>
      <c r="L2" s="779"/>
      <c r="M2" s="779"/>
      <c r="N2" s="779"/>
      <c r="O2" s="779"/>
    </row>
    <row r="3" spans="1:18" ht="15.6" customHeight="1">
      <c r="A3" s="780" t="s">
        <v>502</v>
      </c>
      <c r="B3" s="780"/>
      <c r="C3" s="780"/>
      <c r="D3" s="780"/>
      <c r="E3" s="780"/>
      <c r="F3" s="780"/>
      <c r="G3" s="780"/>
      <c r="H3" s="780"/>
      <c r="I3" s="780"/>
      <c r="J3" s="780"/>
      <c r="K3" s="780"/>
      <c r="L3" s="780"/>
      <c r="M3" s="780"/>
      <c r="N3" s="780"/>
      <c r="O3" s="780"/>
      <c r="P3" s="380"/>
    </row>
    <row r="4" spans="1:18" ht="19.899999999999999" customHeight="1">
      <c r="A4" s="869" t="s">
        <v>642</v>
      </c>
      <c r="B4" s="869"/>
      <c r="C4" s="869"/>
      <c r="D4" s="869"/>
      <c r="E4" s="869"/>
      <c r="F4" s="869"/>
      <c r="G4" s="869"/>
      <c r="H4" s="869"/>
      <c r="I4" s="869"/>
      <c r="J4" s="869"/>
      <c r="K4" s="869"/>
      <c r="L4" s="869"/>
      <c r="M4" s="869"/>
      <c r="N4" s="869"/>
      <c r="O4" s="869"/>
      <c r="P4" s="381"/>
    </row>
    <row r="5" spans="1:18" ht="3" hidden="1" customHeight="1">
      <c r="A5" s="9"/>
      <c r="B5" s="9"/>
      <c r="C5" s="9"/>
      <c r="D5" s="9"/>
      <c r="E5" s="9"/>
      <c r="F5" s="9"/>
      <c r="G5" s="9"/>
      <c r="H5" s="768"/>
      <c r="I5" s="9"/>
      <c r="J5" s="9"/>
      <c r="K5" s="9"/>
      <c r="L5" s="9"/>
      <c r="M5" s="9"/>
      <c r="N5" s="354"/>
      <c r="O5" s="319"/>
    </row>
    <row r="6" spans="1:18" ht="10.9" customHeight="1">
      <c r="A6" s="9"/>
      <c r="B6" s="9"/>
      <c r="C6" s="9"/>
      <c r="D6" s="9"/>
      <c r="E6" s="9"/>
      <c r="F6" s="9"/>
      <c r="G6" s="9"/>
      <c r="H6" s="768"/>
      <c r="I6" s="9"/>
      <c r="J6" s="9"/>
      <c r="K6" s="9"/>
      <c r="L6" s="9"/>
      <c r="M6" s="9"/>
      <c r="N6" s="354"/>
      <c r="O6" s="319"/>
    </row>
    <row r="7" spans="1:18" ht="16.5" customHeight="1">
      <c r="A7" s="870" t="s">
        <v>187</v>
      </c>
      <c r="B7" s="872" t="s">
        <v>0</v>
      </c>
      <c r="C7" s="874" t="s">
        <v>49</v>
      </c>
      <c r="D7" s="875"/>
      <c r="E7" s="875"/>
      <c r="F7" s="875"/>
      <c r="G7" s="875"/>
      <c r="H7" s="875"/>
      <c r="I7" s="875"/>
      <c r="J7" s="876"/>
      <c r="K7" s="879" t="s">
        <v>617</v>
      </c>
      <c r="L7" s="880"/>
      <c r="M7" s="880"/>
      <c r="N7" s="881"/>
      <c r="O7" s="877" t="s">
        <v>41</v>
      </c>
    </row>
    <row r="8" spans="1:18" ht="27" customHeight="1">
      <c r="A8" s="871"/>
      <c r="B8" s="873"/>
      <c r="C8" s="409" t="s">
        <v>2</v>
      </c>
      <c r="D8" s="409" t="s">
        <v>548</v>
      </c>
      <c r="E8" s="409" t="s">
        <v>3</v>
      </c>
      <c r="F8" s="409" t="s">
        <v>25</v>
      </c>
      <c r="G8" s="410" t="s">
        <v>67</v>
      </c>
      <c r="H8" s="769" t="s">
        <v>42</v>
      </c>
      <c r="I8" s="410" t="s">
        <v>47</v>
      </c>
      <c r="J8" s="410" t="s">
        <v>43</v>
      </c>
      <c r="K8" s="473" t="s">
        <v>51</v>
      </c>
      <c r="L8" s="411"/>
      <c r="M8" s="411"/>
      <c r="N8" s="474" t="s">
        <v>619</v>
      </c>
      <c r="O8" s="878"/>
    </row>
    <row r="9" spans="1:18" ht="23.25" customHeight="1">
      <c r="A9" s="10" t="s">
        <v>193</v>
      </c>
      <c r="B9" s="11" t="s">
        <v>194</v>
      </c>
      <c r="C9" s="12">
        <f>+C10+C12+C13</f>
        <v>208467</v>
      </c>
      <c r="D9" s="12">
        <f>+D10+D12+D13</f>
        <v>0</v>
      </c>
      <c r="E9" s="12">
        <f>E10+E12+E13</f>
        <v>288467</v>
      </c>
      <c r="F9" s="12">
        <f>F10+F12+F13</f>
        <v>132803</v>
      </c>
      <c r="G9" s="721">
        <f>G10+G13+G12</f>
        <v>27959.859999999997</v>
      </c>
      <c r="H9" s="12">
        <f>H10+H13+H12</f>
        <v>44631.75</v>
      </c>
      <c r="I9" s="12">
        <f>I10+I13+I12</f>
        <v>38746.94</v>
      </c>
      <c r="J9" s="12">
        <f>J10+J12+J13+J18</f>
        <v>41015.47</v>
      </c>
      <c r="K9" s="12">
        <f>F9-H9</f>
        <v>88171.25</v>
      </c>
      <c r="L9" s="12" t="e">
        <f>+L10+L12</f>
        <v>#REF!</v>
      </c>
      <c r="M9" s="12" t="e">
        <f>+#REF!*100/#REF!</f>
        <v>#REF!</v>
      </c>
      <c r="N9" s="352">
        <f>E9-H9</f>
        <v>243835.25</v>
      </c>
      <c r="O9" s="412">
        <f>H9/F9*100</f>
        <v>33.607486276665441</v>
      </c>
      <c r="P9" s="36">
        <v>16671.89</v>
      </c>
    </row>
    <row r="10" spans="1:18" ht="18" customHeight="1">
      <c r="A10" s="13" t="s">
        <v>195</v>
      </c>
      <c r="B10" s="14" t="s">
        <v>196</v>
      </c>
      <c r="C10" s="15">
        <f t="shared" ref="C10:J10" si="0">SUM(C11:C11)</f>
        <v>166800</v>
      </c>
      <c r="D10" s="15">
        <f t="shared" si="0"/>
        <v>0</v>
      </c>
      <c r="E10" s="15">
        <f t="shared" si="0"/>
        <v>229302</v>
      </c>
      <c r="F10" s="15">
        <f t="shared" si="0"/>
        <v>97508</v>
      </c>
      <c r="G10" s="722">
        <f t="shared" si="0"/>
        <v>19985.8</v>
      </c>
      <c r="H10" s="15">
        <f>P10+G10</f>
        <v>34389.160000000003</v>
      </c>
      <c r="I10" s="15">
        <f t="shared" si="0"/>
        <v>34389.160000000003</v>
      </c>
      <c r="J10" s="15">
        <f t="shared" si="0"/>
        <v>34389.160000000003</v>
      </c>
      <c r="K10" s="15">
        <f t="shared" ref="K10:K112" si="1">F10-H10</f>
        <v>63118.84</v>
      </c>
      <c r="L10" s="18" t="e">
        <f>+L11+L13</f>
        <v>#REF!</v>
      </c>
      <c r="M10" s="18" t="e">
        <f>+#REF!*100/#REF!</f>
        <v>#REF!</v>
      </c>
      <c r="N10" s="275">
        <f t="shared" ref="N10:N110" si="2">E10-H10</f>
        <v>194912.84</v>
      </c>
      <c r="O10" s="413">
        <f>+H10/F10*100</f>
        <v>35.268039545473194</v>
      </c>
      <c r="P10" s="135">
        <v>14403.36</v>
      </c>
    </row>
    <row r="11" spans="1:18" ht="18" customHeight="1">
      <c r="A11" s="16" t="s">
        <v>503</v>
      </c>
      <c r="B11" s="17" t="s">
        <v>504</v>
      </c>
      <c r="C11" s="18">
        <v>166800</v>
      </c>
      <c r="D11" s="18"/>
      <c r="E11" s="18">
        <v>229302</v>
      </c>
      <c r="F11" s="18">
        <v>97508</v>
      </c>
      <c r="G11" s="723">
        <v>19985.8</v>
      </c>
      <c r="H11" s="18">
        <f>P11+G11</f>
        <v>34389.160000000003</v>
      </c>
      <c r="I11" s="18">
        <v>34389.160000000003</v>
      </c>
      <c r="J11" s="18">
        <v>34389.160000000003</v>
      </c>
      <c r="K11" s="18">
        <f t="shared" si="1"/>
        <v>63118.84</v>
      </c>
      <c r="L11" s="18" t="e">
        <f>+L12+L20</f>
        <v>#REF!</v>
      </c>
      <c r="M11" s="18" t="e">
        <f>+#REF!*100/#REF!</f>
        <v>#REF!</v>
      </c>
      <c r="N11" s="351">
        <f t="shared" si="2"/>
        <v>194912.84</v>
      </c>
      <c r="O11" s="413">
        <f>H11/F11*100</f>
        <v>35.268039545473194</v>
      </c>
      <c r="P11" s="36">
        <v>14403.36</v>
      </c>
      <c r="R11" s="196"/>
    </row>
    <row r="12" spans="1:18" ht="18" customHeight="1">
      <c r="A12" s="343" t="s">
        <v>212</v>
      </c>
      <c r="B12" s="14" t="s">
        <v>505</v>
      </c>
      <c r="C12" s="15">
        <v>13902</v>
      </c>
      <c r="D12" s="15"/>
      <c r="E12" s="15">
        <v>20642</v>
      </c>
      <c r="F12" s="15">
        <v>16008</v>
      </c>
      <c r="G12" s="722">
        <v>4357.78</v>
      </c>
      <c r="H12" s="15">
        <f>P12+G12</f>
        <v>4357.78</v>
      </c>
      <c r="I12" s="377">
        <v>4357.78</v>
      </c>
      <c r="J12" s="15">
        <v>4357.78</v>
      </c>
      <c r="K12" s="15">
        <f t="shared" si="1"/>
        <v>11650.220000000001</v>
      </c>
      <c r="L12" s="15" t="e">
        <f>+L13+#REF!</f>
        <v>#REF!</v>
      </c>
      <c r="M12" s="15" t="e">
        <f>+#REF!*100/#REF!</f>
        <v>#REF!</v>
      </c>
      <c r="N12" s="275"/>
      <c r="O12" s="413"/>
      <c r="P12" s="135"/>
    </row>
    <row r="13" spans="1:18" ht="19.5" customHeight="1">
      <c r="A13" s="343" t="s">
        <v>214</v>
      </c>
      <c r="B13" s="15" t="s">
        <v>506</v>
      </c>
      <c r="C13" s="15">
        <f>C14+C15+C16+C17</f>
        <v>27765</v>
      </c>
      <c r="D13" s="15"/>
      <c r="E13" s="15">
        <f>E14+E15+E16+E17</f>
        <v>38523</v>
      </c>
      <c r="F13" s="15">
        <f>F14+F15+F16+F17</f>
        <v>19287</v>
      </c>
      <c r="G13" s="722">
        <f>G14+G15+G16+G17</f>
        <v>3616.28</v>
      </c>
      <c r="H13" s="15">
        <f>H14+H15+H16+H17</f>
        <v>5884.8100000000013</v>
      </c>
      <c r="I13" s="15"/>
      <c r="J13" s="15">
        <f>J14+J15+J16+J17</f>
        <v>2268.5300000000002</v>
      </c>
      <c r="K13" s="15">
        <f t="shared" si="1"/>
        <v>13402.189999999999</v>
      </c>
      <c r="L13" s="15" t="e">
        <f>+L20+#REF!</f>
        <v>#REF!</v>
      </c>
      <c r="M13" s="15" t="e">
        <f>+#REF!*100/#REF!</f>
        <v>#REF!</v>
      </c>
      <c r="N13" s="275">
        <f t="shared" si="2"/>
        <v>32638.19</v>
      </c>
      <c r="O13" s="413">
        <f>H13/F13*100</f>
        <v>30.511795509928973</v>
      </c>
      <c r="P13" s="135">
        <v>2268.5300000000002</v>
      </c>
    </row>
    <row r="14" spans="1:18" ht="15" customHeight="1">
      <c r="A14" s="16" t="s">
        <v>216</v>
      </c>
      <c r="B14" s="18" t="s">
        <v>507</v>
      </c>
      <c r="C14" s="18">
        <v>23595</v>
      </c>
      <c r="D14" s="18"/>
      <c r="E14" s="18">
        <v>32777</v>
      </c>
      <c r="F14" s="18">
        <v>16790</v>
      </c>
      <c r="G14" s="723">
        <v>3116.61</v>
      </c>
      <c r="H14" s="18">
        <f>P14+G14</f>
        <v>5025.0300000000007</v>
      </c>
      <c r="I14" s="18"/>
      <c r="J14" s="18">
        <v>1908.42</v>
      </c>
      <c r="K14" s="18">
        <f>F14-H14</f>
        <v>11764.97</v>
      </c>
      <c r="L14" s="18"/>
      <c r="M14" s="18"/>
      <c r="N14" s="351">
        <f t="shared" si="2"/>
        <v>27751.97</v>
      </c>
      <c r="O14" s="413">
        <f t="shared" ref="O14:O19" si="3">H14/F14*100</f>
        <v>29.928707564026208</v>
      </c>
      <c r="P14" s="36">
        <v>1908.42</v>
      </c>
    </row>
    <row r="15" spans="1:18" ht="15" customHeight="1">
      <c r="A15" s="16" t="s">
        <v>218</v>
      </c>
      <c r="B15" s="18" t="s">
        <v>508</v>
      </c>
      <c r="C15" s="18">
        <v>2502</v>
      </c>
      <c r="D15" s="18"/>
      <c r="E15" s="18">
        <v>3444</v>
      </c>
      <c r="F15" s="18">
        <v>1483</v>
      </c>
      <c r="G15" s="723">
        <v>299.8</v>
      </c>
      <c r="H15" s="18">
        <f t="shared" ref="H15:H17" si="4">P15+G15</f>
        <v>515.85</v>
      </c>
      <c r="I15" s="18"/>
      <c r="J15" s="18">
        <v>216.05</v>
      </c>
      <c r="K15" s="18">
        <f>+F15-H15</f>
        <v>967.15</v>
      </c>
      <c r="L15" s="18"/>
      <c r="M15" s="18"/>
      <c r="N15" s="351">
        <f t="shared" si="2"/>
        <v>2928.15</v>
      </c>
      <c r="O15" s="413">
        <f t="shared" si="3"/>
        <v>34.784221173297368</v>
      </c>
      <c r="P15" s="36">
        <v>216.05</v>
      </c>
    </row>
    <row r="16" spans="1:18" ht="19.5" customHeight="1">
      <c r="A16" s="16" t="s">
        <v>220</v>
      </c>
      <c r="B16" s="18" t="s">
        <v>509</v>
      </c>
      <c r="C16" s="18">
        <v>1168</v>
      </c>
      <c r="D16" s="18"/>
      <c r="E16" s="18">
        <v>1610</v>
      </c>
      <c r="F16" s="18">
        <v>693</v>
      </c>
      <c r="G16" s="723">
        <v>139.91</v>
      </c>
      <c r="H16" s="18">
        <f t="shared" si="4"/>
        <v>240.76</v>
      </c>
      <c r="I16" s="18"/>
      <c r="J16" s="18">
        <v>100.85</v>
      </c>
      <c r="K16" s="18">
        <f>+F16-H16</f>
        <v>452.24</v>
      </c>
      <c r="L16" s="18"/>
      <c r="M16" s="18"/>
      <c r="N16" s="351">
        <f t="shared" si="2"/>
        <v>1369.24</v>
      </c>
      <c r="O16" s="413">
        <f t="shared" si="3"/>
        <v>34.741702741702738</v>
      </c>
      <c r="P16" s="36">
        <v>100.85</v>
      </c>
    </row>
    <row r="17" spans="1:17" ht="15.75" customHeight="1">
      <c r="A17" s="16" t="s">
        <v>222</v>
      </c>
      <c r="B17" s="18" t="s">
        <v>510</v>
      </c>
      <c r="C17" s="18">
        <v>500</v>
      </c>
      <c r="D17" s="18"/>
      <c r="E17" s="18">
        <v>692</v>
      </c>
      <c r="F17" s="18">
        <v>321</v>
      </c>
      <c r="G17" s="723">
        <v>59.96</v>
      </c>
      <c r="H17" s="18">
        <f t="shared" si="4"/>
        <v>103.17</v>
      </c>
      <c r="I17" s="18"/>
      <c r="J17" s="18">
        <v>43.21</v>
      </c>
      <c r="K17" s="18">
        <f>+F17-H17</f>
        <v>217.82999999999998</v>
      </c>
      <c r="L17" s="18"/>
      <c r="M17" s="18"/>
      <c r="N17" s="351">
        <f t="shared" si="2"/>
        <v>588.83000000000004</v>
      </c>
      <c r="O17" s="413">
        <f t="shared" si="3"/>
        <v>32.140186915887853</v>
      </c>
      <c r="P17" s="36">
        <v>43.21</v>
      </c>
    </row>
    <row r="18" spans="1:17" ht="1.5" customHeight="1">
      <c r="A18" s="343" t="s">
        <v>224</v>
      </c>
      <c r="B18" s="15" t="s">
        <v>611</v>
      </c>
      <c r="C18" s="15"/>
      <c r="D18" s="15"/>
      <c r="E18" s="15">
        <f>E19</f>
        <v>897000</v>
      </c>
      <c r="F18" s="15">
        <f>F19</f>
        <v>897000</v>
      </c>
      <c r="G18" s="722">
        <f>G19</f>
        <v>361900</v>
      </c>
      <c r="H18" s="15">
        <f>H19</f>
        <v>361900</v>
      </c>
      <c r="I18" s="15">
        <f>I19</f>
        <v>361900</v>
      </c>
      <c r="J18" s="15"/>
      <c r="K18" s="15">
        <f>+F18-H18</f>
        <v>535100</v>
      </c>
      <c r="L18" s="15"/>
      <c r="M18" s="15"/>
      <c r="N18" s="275">
        <f t="shared" si="2"/>
        <v>535100</v>
      </c>
      <c r="O18" s="413">
        <f t="shared" si="3"/>
        <v>40.345596432552952</v>
      </c>
      <c r="P18" s="135">
        <v>361900</v>
      </c>
    </row>
    <row r="19" spans="1:17" ht="15.75" hidden="1" customHeight="1">
      <c r="A19" s="343" t="s">
        <v>226</v>
      </c>
      <c r="B19" s="15" t="s">
        <v>227</v>
      </c>
      <c r="C19" s="18"/>
      <c r="D19" s="18"/>
      <c r="E19" s="18">
        <v>897000</v>
      </c>
      <c r="F19" s="18">
        <v>897000</v>
      </c>
      <c r="G19" s="723">
        <v>361900</v>
      </c>
      <c r="H19" s="18">
        <v>361900</v>
      </c>
      <c r="I19" s="18">
        <v>361900</v>
      </c>
      <c r="J19" s="18">
        <v>361900</v>
      </c>
      <c r="K19" s="18">
        <f>+F19-H19</f>
        <v>535100</v>
      </c>
      <c r="L19" s="18"/>
      <c r="M19" s="18"/>
      <c r="N19" s="351">
        <f t="shared" si="2"/>
        <v>535100</v>
      </c>
      <c r="O19" s="413">
        <f t="shared" si="3"/>
        <v>40.345596432552952</v>
      </c>
      <c r="P19" s="36">
        <v>361900</v>
      </c>
    </row>
    <row r="20" spans="1:17" ht="17.25" customHeight="1">
      <c r="A20" s="21" t="s">
        <v>242</v>
      </c>
      <c r="B20" s="22" t="s">
        <v>243</v>
      </c>
      <c r="C20" s="23">
        <f>C29+C34</f>
        <v>35516907</v>
      </c>
      <c r="D20" s="23">
        <f>+D22+D24+D27+D29+D32+D34+D40</f>
        <v>0</v>
      </c>
      <c r="E20" s="23">
        <f>E29+E32+E34+E21</f>
        <v>35674372</v>
      </c>
      <c r="F20" s="23">
        <f>F29+F32+F34+F21</f>
        <v>7320847</v>
      </c>
      <c r="G20" s="724">
        <f>G29+G32+G34+G21</f>
        <v>23318</v>
      </c>
      <c r="H20" s="23">
        <f>H29+H34</f>
        <v>28397.510000000002</v>
      </c>
      <c r="I20" s="23"/>
      <c r="J20" s="23"/>
      <c r="K20" s="23">
        <f t="shared" si="1"/>
        <v>7292449.4900000002</v>
      </c>
      <c r="L20" s="23" t="e">
        <f>+#REF!+L24</f>
        <v>#REF!</v>
      </c>
      <c r="M20" s="23" t="e">
        <f>+#REF!*100/#REF!</f>
        <v>#REF!</v>
      </c>
      <c r="N20" s="353">
        <f t="shared" si="2"/>
        <v>35645974.490000002</v>
      </c>
      <c r="O20" s="414">
        <f>H20/F20*100</f>
        <v>0.38789924171342471</v>
      </c>
      <c r="P20" s="36">
        <v>5079.51</v>
      </c>
    </row>
    <row r="21" spans="1:17" ht="18.75" customHeight="1">
      <c r="A21" s="24">
        <v>110</v>
      </c>
      <c r="B21" s="17" t="s">
        <v>511</v>
      </c>
      <c r="C21" s="15"/>
      <c r="D21" s="15"/>
      <c r="E21" s="15">
        <v>3106</v>
      </c>
      <c r="F21" s="15">
        <v>3106</v>
      </c>
      <c r="G21" s="723">
        <v>0</v>
      </c>
      <c r="H21" s="18">
        <v>0</v>
      </c>
      <c r="I21" s="18"/>
      <c r="J21" s="18">
        <v>0</v>
      </c>
      <c r="K21" s="18">
        <v>0</v>
      </c>
      <c r="L21" s="18"/>
      <c r="M21" s="18"/>
      <c r="N21" s="351"/>
      <c r="O21" s="413" t="s">
        <v>12</v>
      </c>
      <c r="P21" s="36">
        <v>0</v>
      </c>
    </row>
    <row r="22" spans="1:17" ht="0.75" hidden="1" customHeight="1">
      <c r="A22" s="13">
        <v>130</v>
      </c>
      <c r="B22" s="14" t="s">
        <v>512</v>
      </c>
      <c r="C22" s="18"/>
      <c r="D22" s="18"/>
      <c r="E22" s="18"/>
      <c r="F22" s="18"/>
      <c r="G22" s="723">
        <v>0</v>
      </c>
      <c r="H22" s="18"/>
      <c r="I22" s="18"/>
      <c r="J22" s="1"/>
      <c r="K22" s="18">
        <f t="shared" si="1"/>
        <v>0</v>
      </c>
      <c r="L22" s="18"/>
      <c r="M22" s="18"/>
      <c r="N22" s="351">
        <f>E22-H22</f>
        <v>0</v>
      </c>
      <c r="O22" s="413"/>
    </row>
    <row r="23" spans="1:17" ht="11.25" hidden="1" customHeight="1">
      <c r="A23" s="24">
        <v>132</v>
      </c>
      <c r="B23" s="17" t="s">
        <v>549</v>
      </c>
      <c r="C23" s="18"/>
      <c r="D23" s="18"/>
      <c r="E23" s="18"/>
      <c r="F23" s="18"/>
      <c r="G23" s="723"/>
      <c r="H23" s="18"/>
      <c r="I23" s="18"/>
      <c r="J23" s="1"/>
      <c r="K23" s="18"/>
      <c r="L23" s="18"/>
      <c r="M23" s="18"/>
      <c r="N23" s="351">
        <f t="shared" ref="N23:N40" si="5">E23-H23</f>
        <v>0</v>
      </c>
      <c r="O23" s="413"/>
    </row>
    <row r="24" spans="1:17" ht="11.25" hidden="1" customHeight="1">
      <c r="A24" s="339" t="s">
        <v>279</v>
      </c>
      <c r="B24" s="15" t="s">
        <v>280</v>
      </c>
      <c r="C24" s="18"/>
      <c r="D24" s="18"/>
      <c r="E24" s="18"/>
      <c r="F24" s="18"/>
      <c r="G24" s="723">
        <v>0</v>
      </c>
      <c r="H24" s="18">
        <v>0</v>
      </c>
      <c r="I24" s="18"/>
      <c r="J24" s="18"/>
      <c r="K24" s="18">
        <f t="shared" si="1"/>
        <v>0</v>
      </c>
      <c r="L24" s="18" t="e">
        <f>+#REF!+L34</f>
        <v>#REF!</v>
      </c>
      <c r="M24" s="18" t="e">
        <f>+#REF!*100/#REF!</f>
        <v>#REF!</v>
      </c>
      <c r="N24" s="351">
        <f t="shared" si="5"/>
        <v>0</v>
      </c>
      <c r="O24" s="413" t="s">
        <v>12</v>
      </c>
      <c r="P24" s="36">
        <v>0</v>
      </c>
    </row>
    <row r="25" spans="1:17" ht="17.25" hidden="1" customHeight="1">
      <c r="A25" s="24">
        <v>141</v>
      </c>
      <c r="B25" s="18" t="s">
        <v>550</v>
      </c>
      <c r="C25" s="18"/>
      <c r="D25" s="18"/>
      <c r="E25" s="18"/>
      <c r="F25" s="18"/>
      <c r="G25" s="723"/>
      <c r="H25" s="18"/>
      <c r="I25" s="18"/>
      <c r="J25" s="18"/>
      <c r="K25" s="18"/>
      <c r="L25" s="18"/>
      <c r="M25" s="18"/>
      <c r="N25" s="351">
        <f t="shared" si="5"/>
        <v>0</v>
      </c>
      <c r="O25" s="413"/>
    </row>
    <row r="26" spans="1:17" ht="6" hidden="1" customHeight="1">
      <c r="A26" s="24">
        <v>142</v>
      </c>
      <c r="B26" s="18" t="s">
        <v>551</v>
      </c>
      <c r="C26" s="18"/>
      <c r="D26" s="18"/>
      <c r="E26" s="18"/>
      <c r="F26" s="18"/>
      <c r="G26" s="723"/>
      <c r="H26" s="18"/>
      <c r="I26" s="18"/>
      <c r="J26" s="18"/>
      <c r="K26" s="18"/>
      <c r="L26" s="18"/>
      <c r="M26" s="18"/>
      <c r="N26" s="351">
        <f t="shared" si="5"/>
        <v>0</v>
      </c>
      <c r="O26" s="413"/>
    </row>
    <row r="27" spans="1:17" ht="11.25" hidden="1" customHeight="1">
      <c r="A27" s="13">
        <v>150</v>
      </c>
      <c r="B27" s="15" t="s">
        <v>604</v>
      </c>
      <c r="C27" s="18"/>
      <c r="D27" s="18"/>
      <c r="E27" s="18"/>
      <c r="F27" s="18"/>
      <c r="G27" s="723"/>
      <c r="H27" s="18"/>
      <c r="I27" s="18"/>
      <c r="J27" s="18"/>
      <c r="K27" s="18">
        <f t="shared" si="1"/>
        <v>0</v>
      </c>
      <c r="L27" s="18"/>
      <c r="M27" s="18"/>
      <c r="N27" s="351">
        <f t="shared" si="5"/>
        <v>0</v>
      </c>
      <c r="O27" s="413"/>
    </row>
    <row r="28" spans="1:17" ht="14.25" hidden="1" customHeight="1">
      <c r="A28" s="24">
        <v>152</v>
      </c>
      <c r="B28" s="18" t="s">
        <v>605</v>
      </c>
      <c r="C28" s="18"/>
      <c r="D28" s="18"/>
      <c r="E28" s="18"/>
      <c r="F28" s="18"/>
      <c r="G28" s="723"/>
      <c r="H28" s="18"/>
      <c r="I28" s="378"/>
      <c r="J28" s="18"/>
      <c r="K28" s="18"/>
      <c r="L28" s="18"/>
      <c r="M28" s="18"/>
      <c r="N28" s="351">
        <f t="shared" si="5"/>
        <v>0</v>
      </c>
      <c r="O28" s="413"/>
      <c r="Q28" s="36"/>
    </row>
    <row r="29" spans="1:17" ht="18" customHeight="1">
      <c r="A29" s="339" t="s">
        <v>292</v>
      </c>
      <c r="B29" s="15" t="s">
        <v>293</v>
      </c>
      <c r="C29" s="18">
        <f>C30+C31</f>
        <v>35316907</v>
      </c>
      <c r="D29" s="18"/>
      <c r="E29" s="15">
        <f>E30+E31</f>
        <v>35482753</v>
      </c>
      <c r="F29" s="15">
        <f>F30+F31</f>
        <v>7229228</v>
      </c>
      <c r="G29" s="722">
        <f>G30</f>
        <v>0</v>
      </c>
      <c r="H29" s="15">
        <f>H30</f>
        <v>5079.51</v>
      </c>
      <c r="I29" s="15">
        <f>I30+I31</f>
        <v>0</v>
      </c>
      <c r="J29" s="379">
        <f>J30+J31</f>
        <v>0</v>
      </c>
      <c r="K29" s="18">
        <f t="shared" si="1"/>
        <v>7224148.4900000002</v>
      </c>
      <c r="L29" s="18" t="e">
        <f>+L34+L42</f>
        <v>#REF!</v>
      </c>
      <c r="M29" s="18" t="e">
        <f>+#REF!*100/#REF!</f>
        <v>#REF!</v>
      </c>
      <c r="N29" s="351">
        <f t="shared" si="5"/>
        <v>35477673.490000002</v>
      </c>
      <c r="O29" s="413">
        <f>H29/F29*100</f>
        <v>7.0263519147549372E-2</v>
      </c>
      <c r="P29" s="36">
        <v>5079.51</v>
      </c>
      <c r="Q29" s="36"/>
    </row>
    <row r="30" spans="1:17" ht="18" customHeight="1">
      <c r="A30" s="24">
        <v>165</v>
      </c>
      <c r="B30" s="18" t="s">
        <v>552</v>
      </c>
      <c r="C30" s="18">
        <v>35700</v>
      </c>
      <c r="D30" s="18"/>
      <c r="E30" s="18">
        <v>201546</v>
      </c>
      <c r="F30" s="18">
        <v>172986</v>
      </c>
      <c r="G30" s="723"/>
      <c r="H30" s="18">
        <v>5079.51</v>
      </c>
      <c r="I30" s="360"/>
      <c r="J30" s="18"/>
      <c r="K30" s="18">
        <f>F30-G30</f>
        <v>172986</v>
      </c>
      <c r="L30" s="18"/>
      <c r="M30" s="18"/>
      <c r="N30" s="351">
        <f t="shared" si="5"/>
        <v>196466.49</v>
      </c>
      <c r="O30" s="413">
        <f>H30/F30*100</f>
        <v>2.9363705733411951</v>
      </c>
      <c r="P30" s="36">
        <v>5079.51</v>
      </c>
    </row>
    <row r="31" spans="1:17" ht="16.5" customHeight="1">
      <c r="A31" s="24">
        <v>169</v>
      </c>
      <c r="B31" s="18" t="s">
        <v>553</v>
      </c>
      <c r="C31" s="18">
        <v>35281207</v>
      </c>
      <c r="D31" s="18"/>
      <c r="E31" s="18">
        <v>35281207</v>
      </c>
      <c r="F31" s="18">
        <v>7056242</v>
      </c>
      <c r="G31" s="723"/>
      <c r="H31" s="18"/>
      <c r="I31" s="360"/>
      <c r="J31" s="18"/>
      <c r="K31" s="18">
        <f>F31-H31</f>
        <v>7056242</v>
      </c>
      <c r="L31" s="18"/>
      <c r="M31" s="18"/>
      <c r="N31" s="351">
        <f t="shared" si="5"/>
        <v>35281207</v>
      </c>
      <c r="O31" s="413">
        <f>H31/F31*100</f>
        <v>0</v>
      </c>
    </row>
    <row r="32" spans="1:17" ht="18" hidden="1" customHeight="1">
      <c r="A32" s="13">
        <v>170</v>
      </c>
      <c r="B32" s="15" t="s">
        <v>554</v>
      </c>
      <c r="C32" s="18"/>
      <c r="D32" s="18"/>
      <c r="E32" s="18"/>
      <c r="F32" s="18"/>
      <c r="G32" s="723"/>
      <c r="H32" s="18"/>
      <c r="I32" s="18"/>
      <c r="J32" s="18"/>
      <c r="K32" s="18">
        <f t="shared" si="1"/>
        <v>0</v>
      </c>
      <c r="L32" s="18"/>
      <c r="M32" s="18"/>
      <c r="N32" s="351">
        <f t="shared" si="5"/>
        <v>0</v>
      </c>
      <c r="O32" s="413"/>
    </row>
    <row r="33" spans="1:16" ht="18" hidden="1" customHeight="1">
      <c r="A33" s="13">
        <v>171</v>
      </c>
      <c r="B33" s="18" t="s">
        <v>555</v>
      </c>
      <c r="C33" s="18"/>
      <c r="D33" s="18"/>
      <c r="E33" s="18"/>
      <c r="F33" s="18"/>
      <c r="G33" s="723"/>
      <c r="H33" s="18"/>
      <c r="I33" s="18"/>
      <c r="J33" s="18"/>
      <c r="K33" s="18"/>
      <c r="L33" s="18"/>
      <c r="M33" s="18"/>
      <c r="N33" s="351">
        <f t="shared" si="5"/>
        <v>0</v>
      </c>
      <c r="O33" s="413"/>
    </row>
    <row r="34" spans="1:16" ht="18" customHeight="1">
      <c r="A34" s="339" t="s">
        <v>306</v>
      </c>
      <c r="B34" s="15" t="s">
        <v>556</v>
      </c>
      <c r="C34" s="15">
        <f>C35+C36+C37+C38</f>
        <v>200000</v>
      </c>
      <c r="D34" s="18"/>
      <c r="E34" s="15">
        <f>E35+E36+E37+E38</f>
        <v>188513</v>
      </c>
      <c r="F34" s="15">
        <f>F35+F36+F38</f>
        <v>88513</v>
      </c>
      <c r="G34" s="722">
        <v>23318</v>
      </c>
      <c r="H34" s="15">
        <v>23318</v>
      </c>
      <c r="I34" s="15">
        <f>I35+I36+I38</f>
        <v>0</v>
      </c>
      <c r="J34" s="15">
        <f>J35+J36+J38</f>
        <v>0</v>
      </c>
      <c r="K34" s="15">
        <f t="shared" si="1"/>
        <v>65195</v>
      </c>
      <c r="L34" s="18" t="e">
        <f>+L41+L44</f>
        <v>#REF!</v>
      </c>
      <c r="M34" s="18" t="e">
        <f>+#REF!*100/#REF!</f>
        <v>#REF!</v>
      </c>
      <c r="N34" s="275">
        <f t="shared" si="5"/>
        <v>165195</v>
      </c>
      <c r="O34" s="413">
        <f>H34/F34*100</f>
        <v>26.344152836306534</v>
      </c>
    </row>
    <row r="35" spans="1:16" ht="18" customHeight="1">
      <c r="A35" s="24">
        <v>181</v>
      </c>
      <c r="B35" s="18" t="s">
        <v>557</v>
      </c>
      <c r="C35" s="18">
        <v>100000</v>
      </c>
      <c r="D35" s="18"/>
      <c r="E35" s="18">
        <v>108000</v>
      </c>
      <c r="F35" s="18">
        <v>58000</v>
      </c>
      <c r="G35" s="723"/>
      <c r="H35" s="18"/>
      <c r="I35" s="378"/>
      <c r="J35" s="18"/>
      <c r="K35" s="18">
        <f t="shared" ref="K35:K40" si="6">F35-G35</f>
        <v>58000</v>
      </c>
      <c r="L35" s="18"/>
      <c r="M35" s="18"/>
      <c r="N35" s="351">
        <f t="shared" si="5"/>
        <v>108000</v>
      </c>
      <c r="O35" s="413"/>
    </row>
    <row r="36" spans="1:16" ht="18" customHeight="1">
      <c r="A36" s="24">
        <v>182</v>
      </c>
      <c r="B36" s="18" t="s">
        <v>558</v>
      </c>
      <c r="C36" s="18"/>
      <c r="D36" s="18"/>
      <c r="E36" s="18">
        <v>4000</v>
      </c>
      <c r="F36" s="18">
        <v>4000</v>
      </c>
      <c r="G36" s="723">
        <v>2889</v>
      </c>
      <c r="H36" s="18">
        <f>P36+G36</f>
        <v>2889</v>
      </c>
      <c r="I36" s="378"/>
      <c r="J36" s="18"/>
      <c r="K36" s="18">
        <f t="shared" si="6"/>
        <v>1111</v>
      </c>
      <c r="L36" s="18"/>
      <c r="M36" s="18"/>
      <c r="N36" s="351">
        <f t="shared" si="5"/>
        <v>1111</v>
      </c>
      <c r="O36" s="413"/>
    </row>
    <row r="37" spans="1:16" ht="18" customHeight="1">
      <c r="A37" s="24">
        <v>184</v>
      </c>
      <c r="B37" s="18" t="s">
        <v>559</v>
      </c>
      <c r="C37" s="18"/>
      <c r="D37" s="18"/>
      <c r="E37" s="18"/>
      <c r="F37" s="18"/>
      <c r="G37" s="723"/>
      <c r="H37" s="18"/>
      <c r="I37" s="378"/>
      <c r="J37" s="18"/>
      <c r="K37" s="18">
        <f t="shared" si="6"/>
        <v>0</v>
      </c>
      <c r="L37" s="18"/>
      <c r="M37" s="18"/>
      <c r="N37" s="351">
        <f t="shared" si="5"/>
        <v>0</v>
      </c>
      <c r="O37" s="413"/>
    </row>
    <row r="38" spans="1:16" ht="17.25" customHeight="1">
      <c r="A38" s="24">
        <v>189</v>
      </c>
      <c r="B38" s="18" t="s">
        <v>608</v>
      </c>
      <c r="C38" s="18">
        <v>100000</v>
      </c>
      <c r="D38" s="18"/>
      <c r="E38" s="18">
        <v>76513</v>
      </c>
      <c r="F38" s="18">
        <v>26513</v>
      </c>
      <c r="G38" s="723">
        <v>20429</v>
      </c>
      <c r="H38" s="18">
        <f>P38+G38</f>
        <v>20429</v>
      </c>
      <c r="I38" s="378"/>
      <c r="J38" s="18"/>
      <c r="K38" s="18">
        <f t="shared" si="6"/>
        <v>6084</v>
      </c>
      <c r="L38" s="18"/>
      <c r="M38" s="18"/>
      <c r="N38" s="351">
        <f t="shared" si="5"/>
        <v>56084</v>
      </c>
      <c r="O38" s="413"/>
    </row>
    <row r="39" spans="1:16" ht="18" hidden="1" customHeight="1">
      <c r="A39" s="13">
        <v>190</v>
      </c>
      <c r="B39" s="15" t="s">
        <v>560</v>
      </c>
      <c r="C39" s="18"/>
      <c r="D39" s="18"/>
      <c r="E39" s="15" t="e">
        <f>#REF!</f>
        <v>#REF!</v>
      </c>
      <c r="F39" s="15">
        <f>F40</f>
        <v>7977.87</v>
      </c>
      <c r="G39" s="723"/>
      <c r="H39" s="15">
        <f>H40</f>
        <v>7977.87</v>
      </c>
      <c r="I39" s="379">
        <f>I40</f>
        <v>7977.87</v>
      </c>
      <c r="J39" s="18">
        <f>J40</f>
        <v>7977.87</v>
      </c>
      <c r="K39" s="18">
        <f t="shared" si="6"/>
        <v>7977.87</v>
      </c>
      <c r="L39" s="18"/>
      <c r="M39" s="18"/>
      <c r="N39" s="351" t="e">
        <f t="shared" si="5"/>
        <v>#REF!</v>
      </c>
      <c r="O39" s="413"/>
      <c r="P39" s="36">
        <v>7977.87</v>
      </c>
    </row>
    <row r="40" spans="1:16" ht="18" hidden="1" customHeight="1">
      <c r="A40" s="24">
        <v>197</v>
      </c>
      <c r="B40" s="18" t="s">
        <v>561</v>
      </c>
      <c r="C40" s="18"/>
      <c r="D40" s="18"/>
      <c r="E40" s="18"/>
      <c r="F40" s="18">
        <v>7977.87</v>
      </c>
      <c r="G40" s="723"/>
      <c r="H40" s="18">
        <f>P40+G40</f>
        <v>7977.87</v>
      </c>
      <c r="I40" s="360">
        <v>7977.87</v>
      </c>
      <c r="J40" s="18">
        <v>7977.87</v>
      </c>
      <c r="K40" s="18">
        <f t="shared" si="6"/>
        <v>7977.87</v>
      </c>
      <c r="L40" s="18"/>
      <c r="M40" s="18"/>
      <c r="N40" s="351">
        <f t="shared" si="5"/>
        <v>-7977.87</v>
      </c>
      <c r="O40" s="413" t="s">
        <v>12</v>
      </c>
      <c r="P40" s="36">
        <v>7977.87</v>
      </c>
    </row>
    <row r="41" spans="1:16" ht="20.25" customHeight="1">
      <c r="A41" s="10" t="s">
        <v>324</v>
      </c>
      <c r="B41" s="11" t="s">
        <v>562</v>
      </c>
      <c r="C41" s="12">
        <f t="shared" ref="C41:J41" si="7">C47+C52+C57+C60+C62</f>
        <v>693300</v>
      </c>
      <c r="D41" s="12">
        <f t="shared" si="7"/>
        <v>0</v>
      </c>
      <c r="E41" s="12">
        <f t="shared" si="7"/>
        <v>615533</v>
      </c>
      <c r="F41" s="12">
        <f t="shared" si="7"/>
        <v>60893</v>
      </c>
      <c r="G41" s="721">
        <f t="shared" si="7"/>
        <v>2270.54</v>
      </c>
      <c r="H41" s="12">
        <f>H52+H62</f>
        <v>2992.74</v>
      </c>
      <c r="I41" s="12">
        <f t="shared" si="7"/>
        <v>625.95000000000005</v>
      </c>
      <c r="J41" s="12">
        <f t="shared" si="7"/>
        <v>0</v>
      </c>
      <c r="K41" s="12">
        <f t="shared" si="1"/>
        <v>57900.26</v>
      </c>
      <c r="L41" s="12" t="e">
        <f>+L42+L45</f>
        <v>#REF!</v>
      </c>
      <c r="M41" s="12" t="e">
        <f>+#REF!*100/#REF!</f>
        <v>#REF!</v>
      </c>
      <c r="N41" s="352">
        <f t="shared" si="2"/>
        <v>612540.26</v>
      </c>
      <c r="O41" s="414">
        <f>H41/F41*100</f>
        <v>4.9147521061534167</v>
      </c>
      <c r="P41" s="36">
        <v>722.2</v>
      </c>
    </row>
    <row r="42" spans="1:16" ht="18.75" hidden="1" customHeight="1">
      <c r="A42" s="339" t="s">
        <v>332</v>
      </c>
      <c r="B42" s="15" t="s">
        <v>333</v>
      </c>
      <c r="C42" s="18">
        <v>8822</v>
      </c>
      <c r="D42" s="18"/>
      <c r="E42" s="18"/>
      <c r="F42" s="18"/>
      <c r="G42" s="722"/>
      <c r="H42" s="15"/>
      <c r="I42" s="15"/>
      <c r="J42" s="15"/>
      <c r="K42" s="15">
        <f t="shared" si="1"/>
        <v>0</v>
      </c>
      <c r="L42" s="15" t="e">
        <f>+L44+L46</f>
        <v>#REF!</v>
      </c>
      <c r="M42" s="15" t="e">
        <f>+#REF!*100/#REF!</f>
        <v>#REF!</v>
      </c>
      <c r="N42" s="351">
        <f t="shared" si="2"/>
        <v>0</v>
      </c>
      <c r="O42" s="413"/>
    </row>
    <row r="43" spans="1:16" ht="18.75" hidden="1" customHeight="1">
      <c r="A43" s="24">
        <v>211</v>
      </c>
      <c r="B43" s="18" t="s">
        <v>335</v>
      </c>
      <c r="C43" s="18"/>
      <c r="D43" s="18"/>
      <c r="E43" s="18"/>
      <c r="F43" s="18"/>
      <c r="G43" s="722"/>
      <c r="H43" s="15"/>
      <c r="I43" s="15"/>
      <c r="J43" s="15"/>
      <c r="K43" s="15"/>
      <c r="L43" s="15"/>
      <c r="M43" s="15"/>
      <c r="N43" s="351"/>
      <c r="O43" s="413"/>
    </row>
    <row r="44" spans="1:16" ht="16.5" hidden="1" customHeight="1">
      <c r="A44" s="25" t="s">
        <v>344</v>
      </c>
      <c r="B44" s="18" t="s">
        <v>345</v>
      </c>
      <c r="C44" s="15">
        <v>0</v>
      </c>
      <c r="D44" s="15"/>
      <c r="E44" s="15"/>
      <c r="F44" s="15"/>
      <c r="G44" s="722"/>
      <c r="H44" s="15"/>
      <c r="I44" s="15"/>
      <c r="J44" s="15"/>
      <c r="K44" s="15">
        <f t="shared" si="1"/>
        <v>0</v>
      </c>
      <c r="L44" s="15" t="e">
        <f>+L45+L47</f>
        <v>#REF!</v>
      </c>
      <c r="M44" s="15" t="e">
        <f>+#REF!*100/#REF!</f>
        <v>#REF!</v>
      </c>
      <c r="N44" s="351">
        <f t="shared" si="2"/>
        <v>0</v>
      </c>
      <c r="O44" s="413"/>
    </row>
    <row r="45" spans="1:16" ht="15" hidden="1">
      <c r="A45" s="13">
        <v>230</v>
      </c>
      <c r="B45" s="14" t="s">
        <v>513</v>
      </c>
      <c r="C45" s="18">
        <v>12038</v>
      </c>
      <c r="D45" s="18"/>
      <c r="E45" s="18"/>
      <c r="F45" s="18"/>
      <c r="G45" s="723"/>
      <c r="H45" s="18"/>
      <c r="I45" s="18"/>
      <c r="J45" s="18"/>
      <c r="K45" s="18">
        <f t="shared" si="1"/>
        <v>0</v>
      </c>
      <c r="L45" s="18" t="e">
        <f>+L46+L52</f>
        <v>#REF!</v>
      </c>
      <c r="M45" s="18" t="e">
        <f>+#REF!*100/#REF!</f>
        <v>#REF!</v>
      </c>
      <c r="N45" s="351">
        <f t="shared" si="2"/>
        <v>0</v>
      </c>
      <c r="O45" s="413"/>
    </row>
    <row r="46" spans="1:16" ht="18.75" hidden="1" customHeight="1">
      <c r="A46" s="24">
        <v>239</v>
      </c>
      <c r="B46" s="18" t="s">
        <v>563</v>
      </c>
      <c r="C46" s="18"/>
      <c r="D46" s="18"/>
      <c r="E46" s="18">
        <f>SUM(C46:C46)</f>
        <v>0</v>
      </c>
      <c r="F46" s="18"/>
      <c r="G46" s="723">
        <v>0</v>
      </c>
      <c r="H46" s="18">
        <v>0</v>
      </c>
      <c r="I46" s="18"/>
      <c r="J46" s="18">
        <v>0</v>
      </c>
      <c r="K46" s="18" t="s">
        <v>12</v>
      </c>
      <c r="L46" s="18" t="e">
        <f>+L47+L57</f>
        <v>#REF!</v>
      </c>
      <c r="M46" s="18" t="e">
        <f>+#REF!*100/#REF!</f>
        <v>#REF!</v>
      </c>
      <c r="N46" s="351">
        <f t="shared" si="2"/>
        <v>0</v>
      </c>
      <c r="O46" s="413"/>
      <c r="P46" s="36">
        <v>0</v>
      </c>
    </row>
    <row r="47" spans="1:16" s="6" customFormat="1" ht="18.75" customHeight="1">
      <c r="A47" s="13">
        <v>250</v>
      </c>
      <c r="B47" s="15" t="s">
        <v>514</v>
      </c>
      <c r="C47" s="15">
        <f>C48+C49</f>
        <v>21000</v>
      </c>
      <c r="D47" s="18"/>
      <c r="E47" s="350">
        <f>E48+E49+E50+E51</f>
        <v>21000</v>
      </c>
      <c r="F47" s="350">
        <f>F48+F49+F50+F51</f>
        <v>4200</v>
      </c>
      <c r="G47" s="725">
        <f>G48+G49+G50+G51</f>
        <v>0</v>
      </c>
      <c r="H47" s="15">
        <f>H48+H49+H50+H51</f>
        <v>0</v>
      </c>
      <c r="I47" s="15">
        <f>I48+I49+I50+I51</f>
        <v>0</v>
      </c>
      <c r="J47" s="15">
        <f>J48+J49+J51</f>
        <v>0</v>
      </c>
      <c r="K47" s="18">
        <f t="shared" si="1"/>
        <v>4200</v>
      </c>
      <c r="L47" s="18" t="e">
        <f>+L52+L60</f>
        <v>#REF!</v>
      </c>
      <c r="M47" s="18" t="e">
        <f>+#REF!*100/#REF!</f>
        <v>#REF!</v>
      </c>
      <c r="N47" s="351">
        <f t="shared" si="2"/>
        <v>21000</v>
      </c>
      <c r="O47" s="413">
        <f>H47/F47*100</f>
        <v>0</v>
      </c>
      <c r="P47" s="135">
        <v>0</v>
      </c>
    </row>
    <row r="48" spans="1:16" s="6" customFormat="1" ht="18.75" customHeight="1">
      <c r="A48" s="24">
        <v>254</v>
      </c>
      <c r="B48" s="18" t="s">
        <v>564</v>
      </c>
      <c r="C48" s="18">
        <v>1000</v>
      </c>
      <c r="D48" s="18"/>
      <c r="E48" s="26">
        <v>1000</v>
      </c>
      <c r="F48" s="26">
        <v>200</v>
      </c>
      <c r="G48" s="723"/>
      <c r="H48" s="18"/>
      <c r="I48" s="18"/>
      <c r="J48" s="18"/>
      <c r="K48" s="18">
        <f>F48-G48</f>
        <v>200</v>
      </c>
      <c r="L48" s="18"/>
      <c r="M48" s="18"/>
      <c r="N48" s="351">
        <f t="shared" si="2"/>
        <v>1000</v>
      </c>
      <c r="O48" s="413"/>
      <c r="P48" s="135"/>
    </row>
    <row r="49" spans="1:16" s="6" customFormat="1" ht="18.75" customHeight="1">
      <c r="A49" s="24">
        <v>255</v>
      </c>
      <c r="B49" s="18" t="s">
        <v>565</v>
      </c>
      <c r="C49" s="18">
        <v>20000</v>
      </c>
      <c r="D49" s="18"/>
      <c r="E49" s="26">
        <v>20000</v>
      </c>
      <c r="F49" s="26">
        <v>4000</v>
      </c>
      <c r="G49" s="723"/>
      <c r="H49" s="18"/>
      <c r="I49" s="18"/>
      <c r="J49" s="18"/>
      <c r="K49" s="18">
        <f>F49-G49</f>
        <v>4000</v>
      </c>
      <c r="L49" s="18"/>
      <c r="M49" s="18"/>
      <c r="N49" s="351">
        <f t="shared" si="2"/>
        <v>20000</v>
      </c>
      <c r="O49" s="413"/>
      <c r="P49" s="135"/>
    </row>
    <row r="50" spans="1:16" s="6" customFormat="1" ht="18.75" hidden="1" customHeight="1">
      <c r="A50" s="24">
        <v>256</v>
      </c>
      <c r="B50" s="18" t="s">
        <v>566</v>
      </c>
      <c r="C50" s="18"/>
      <c r="D50" s="18"/>
      <c r="E50" s="26"/>
      <c r="F50" s="26"/>
      <c r="G50" s="723"/>
      <c r="H50" s="18"/>
      <c r="I50" s="18"/>
      <c r="J50" s="18"/>
      <c r="K50" s="18"/>
      <c r="L50" s="18"/>
      <c r="M50" s="18"/>
      <c r="N50" s="351">
        <f t="shared" si="2"/>
        <v>0</v>
      </c>
      <c r="O50" s="413"/>
      <c r="P50" s="135"/>
    </row>
    <row r="51" spans="1:16" s="6" customFormat="1" ht="18.75" hidden="1" customHeight="1">
      <c r="A51" s="24">
        <v>259</v>
      </c>
      <c r="B51" s="18" t="s">
        <v>567</v>
      </c>
      <c r="C51" s="18"/>
      <c r="D51" s="18"/>
      <c r="E51" s="26"/>
      <c r="F51" s="26"/>
      <c r="G51" s="723"/>
      <c r="H51" s="18"/>
      <c r="I51" s="18"/>
      <c r="J51" s="18"/>
      <c r="K51" s="18"/>
      <c r="L51" s="18"/>
      <c r="M51" s="18"/>
      <c r="N51" s="351"/>
      <c r="O51" s="413"/>
      <c r="P51" s="135"/>
    </row>
    <row r="52" spans="1:16" ht="18" customHeight="1">
      <c r="A52" s="339" t="s">
        <v>388</v>
      </c>
      <c r="B52" s="15" t="s">
        <v>389</v>
      </c>
      <c r="C52" s="15">
        <f>C53+C55+C56</f>
        <v>668800</v>
      </c>
      <c r="D52" s="18"/>
      <c r="E52" s="15">
        <f>E53+E54+E55+E56</f>
        <v>588761</v>
      </c>
      <c r="F52" s="15">
        <f>F53+F54+F55+F56</f>
        <v>53721</v>
      </c>
      <c r="G52" s="722">
        <f>G53+G55+G56</f>
        <v>0</v>
      </c>
      <c r="H52" s="15">
        <f>H53+H55+H56</f>
        <v>722.2</v>
      </c>
      <c r="I52" s="15">
        <f>I53+I54+I55+I56</f>
        <v>625.95000000000005</v>
      </c>
      <c r="J52" s="15">
        <f>J53+J54+J55+J56</f>
        <v>0</v>
      </c>
      <c r="K52" s="18">
        <f t="shared" si="1"/>
        <v>52998.8</v>
      </c>
      <c r="L52" s="18" t="e">
        <f>+L57+L62</f>
        <v>#REF!</v>
      </c>
      <c r="M52" s="18" t="e">
        <f>+#REF!*100/#REF!</f>
        <v>#REF!</v>
      </c>
      <c r="N52" s="351">
        <f t="shared" si="2"/>
        <v>588038.80000000005</v>
      </c>
      <c r="O52" s="413">
        <f>H52/F52*100</f>
        <v>1.3443532324416896</v>
      </c>
      <c r="P52" s="36">
        <v>722.2</v>
      </c>
    </row>
    <row r="53" spans="1:16" ht="18" customHeight="1">
      <c r="A53" s="24">
        <v>262</v>
      </c>
      <c r="B53" s="18" t="s">
        <v>568</v>
      </c>
      <c r="C53" s="18">
        <v>40000</v>
      </c>
      <c r="D53" s="18"/>
      <c r="E53" s="18">
        <v>40000</v>
      </c>
      <c r="F53" s="18">
        <v>8000</v>
      </c>
      <c r="G53" s="723"/>
      <c r="H53" s="18">
        <v>625.95000000000005</v>
      </c>
      <c r="I53" s="18">
        <v>625.95000000000005</v>
      </c>
      <c r="J53" s="18"/>
      <c r="K53" s="18"/>
      <c r="L53" s="18"/>
      <c r="M53" s="18"/>
      <c r="N53" s="351">
        <f t="shared" si="2"/>
        <v>39374.050000000003</v>
      </c>
      <c r="O53" s="413"/>
      <c r="P53" s="36">
        <v>625.95000000000005</v>
      </c>
    </row>
    <row r="54" spans="1:16" ht="18" hidden="1" customHeight="1">
      <c r="A54" s="24">
        <v>263</v>
      </c>
      <c r="B54" s="18" t="s">
        <v>606</v>
      </c>
      <c r="C54" s="18"/>
      <c r="D54" s="18"/>
      <c r="E54" s="18"/>
      <c r="F54" s="18"/>
      <c r="G54" s="723"/>
      <c r="H54" s="18"/>
      <c r="I54" s="18"/>
      <c r="J54" s="18"/>
      <c r="K54" s="18"/>
      <c r="L54" s="18"/>
      <c r="M54" s="18"/>
      <c r="N54" s="351">
        <f t="shared" si="2"/>
        <v>0</v>
      </c>
      <c r="O54" s="413"/>
    </row>
    <row r="55" spans="1:16" ht="18" customHeight="1">
      <c r="A55" s="24">
        <v>265</v>
      </c>
      <c r="B55" s="18" t="s">
        <v>569</v>
      </c>
      <c r="C55" s="18">
        <v>613000</v>
      </c>
      <c r="D55" s="18"/>
      <c r="E55" s="18">
        <v>532961</v>
      </c>
      <c r="F55" s="18">
        <v>42561</v>
      </c>
      <c r="G55" s="723"/>
      <c r="H55" s="18">
        <v>96.25</v>
      </c>
      <c r="I55" s="18"/>
      <c r="J55" s="18"/>
      <c r="K55" s="18"/>
      <c r="L55" s="18"/>
      <c r="M55" s="18"/>
      <c r="N55" s="351">
        <f t="shared" si="2"/>
        <v>532864.75</v>
      </c>
      <c r="O55" s="413"/>
      <c r="P55" s="36">
        <v>96.25</v>
      </c>
    </row>
    <row r="56" spans="1:16" ht="18" customHeight="1">
      <c r="A56" s="24">
        <v>269</v>
      </c>
      <c r="B56" s="18" t="s">
        <v>570</v>
      </c>
      <c r="C56" s="18">
        <v>15800</v>
      </c>
      <c r="D56" s="18"/>
      <c r="E56" s="18">
        <v>15800</v>
      </c>
      <c r="F56" s="18">
        <v>3160</v>
      </c>
      <c r="G56" s="723"/>
      <c r="H56" s="18"/>
      <c r="I56" s="18"/>
      <c r="J56" s="18"/>
      <c r="K56" s="18"/>
      <c r="L56" s="18"/>
      <c r="M56" s="18"/>
      <c r="N56" s="351">
        <f t="shared" si="2"/>
        <v>15800</v>
      </c>
      <c r="O56" s="413"/>
    </row>
    <row r="57" spans="1:16" ht="18" customHeight="1">
      <c r="A57" s="339" t="s">
        <v>398</v>
      </c>
      <c r="B57" s="15" t="s">
        <v>399</v>
      </c>
      <c r="C57" s="15">
        <f>C58+C59</f>
        <v>2700</v>
      </c>
      <c r="D57" s="18"/>
      <c r="E57" s="15">
        <f>E58+E59</f>
        <v>2700</v>
      </c>
      <c r="F57" s="15">
        <f>F58+F59</f>
        <v>540</v>
      </c>
      <c r="G57" s="723"/>
      <c r="H57" s="15">
        <f>H58+H59</f>
        <v>0</v>
      </c>
      <c r="I57" s="15">
        <f>I58+I59</f>
        <v>0</v>
      </c>
      <c r="J57" s="15">
        <f>J58+J59</f>
        <v>0</v>
      </c>
      <c r="K57" s="18">
        <f t="shared" si="1"/>
        <v>540</v>
      </c>
      <c r="L57" s="18" t="e">
        <f>+L60+L68</f>
        <v>#REF!</v>
      </c>
      <c r="M57" s="18" t="e">
        <f>+#REF!*100/#REF!</f>
        <v>#REF!</v>
      </c>
      <c r="N57" s="351">
        <f t="shared" si="2"/>
        <v>2700</v>
      </c>
      <c r="O57" s="413">
        <f>H57/F57*100</f>
        <v>0</v>
      </c>
      <c r="P57" s="36">
        <v>0</v>
      </c>
    </row>
    <row r="58" spans="1:16" ht="18" customHeight="1">
      <c r="A58" s="24">
        <v>274</v>
      </c>
      <c r="B58" s="18" t="s">
        <v>571</v>
      </c>
      <c r="C58" s="18">
        <v>1500</v>
      </c>
      <c r="D58" s="18"/>
      <c r="E58" s="18">
        <v>1500</v>
      </c>
      <c r="F58" s="18">
        <v>300</v>
      </c>
      <c r="G58" s="723"/>
      <c r="H58" s="18"/>
      <c r="I58" s="18"/>
      <c r="J58" s="18"/>
      <c r="K58" s="18"/>
      <c r="L58" s="18"/>
      <c r="M58" s="18"/>
      <c r="N58" s="351">
        <f t="shared" si="2"/>
        <v>1500</v>
      </c>
      <c r="O58" s="413"/>
    </row>
    <row r="59" spans="1:16" ht="18" customHeight="1">
      <c r="A59" s="24">
        <v>279</v>
      </c>
      <c r="B59" s="18" t="s">
        <v>572</v>
      </c>
      <c r="C59" s="18">
        <v>1200</v>
      </c>
      <c r="D59" s="18"/>
      <c r="E59" s="18">
        <v>1200</v>
      </c>
      <c r="F59" s="18">
        <v>240</v>
      </c>
      <c r="G59" s="723"/>
      <c r="H59" s="18"/>
      <c r="I59" s="18"/>
      <c r="J59" s="18"/>
      <c r="K59" s="18"/>
      <c r="L59" s="18"/>
      <c r="M59" s="18"/>
      <c r="N59" s="351">
        <f t="shared" si="2"/>
        <v>1200</v>
      </c>
      <c r="O59" s="413"/>
    </row>
    <row r="60" spans="1:16" ht="18.75" customHeight="1">
      <c r="A60" s="339" t="s">
        <v>412</v>
      </c>
      <c r="B60" s="15" t="s">
        <v>413</v>
      </c>
      <c r="C60" s="15">
        <f>C61</f>
        <v>800</v>
      </c>
      <c r="D60" s="18"/>
      <c r="E60" s="15">
        <f>E61</f>
        <v>800</v>
      </c>
      <c r="F60" s="15">
        <f>F61</f>
        <v>160</v>
      </c>
      <c r="G60" s="723"/>
      <c r="H60" s="15">
        <f>H61</f>
        <v>0</v>
      </c>
      <c r="I60" s="15">
        <f>I61</f>
        <v>0</v>
      </c>
      <c r="J60" s="15">
        <f>J61</f>
        <v>0</v>
      </c>
      <c r="K60" s="18">
        <f t="shared" si="1"/>
        <v>160</v>
      </c>
      <c r="L60" s="18" t="e">
        <f>+L62+L69</f>
        <v>#REF!</v>
      </c>
      <c r="M60" s="18" t="e">
        <f>+#REF!*100/#REF!</f>
        <v>#REF!</v>
      </c>
      <c r="N60" s="351">
        <f t="shared" si="2"/>
        <v>800</v>
      </c>
      <c r="O60" s="413">
        <f>H60/F60*100</f>
        <v>0</v>
      </c>
      <c r="P60" s="36">
        <v>0</v>
      </c>
    </row>
    <row r="61" spans="1:16" ht="18.75" customHeight="1">
      <c r="A61" s="24">
        <v>280</v>
      </c>
      <c r="B61" s="18" t="s">
        <v>413</v>
      </c>
      <c r="C61" s="18">
        <v>800</v>
      </c>
      <c r="D61" s="18"/>
      <c r="E61" s="18">
        <v>800</v>
      </c>
      <c r="F61" s="18">
        <v>160</v>
      </c>
      <c r="G61" s="723"/>
      <c r="H61" s="18"/>
      <c r="I61" s="18"/>
      <c r="J61" s="18"/>
      <c r="K61" s="18"/>
      <c r="L61" s="18"/>
      <c r="M61" s="18"/>
      <c r="N61" s="351">
        <f t="shared" si="2"/>
        <v>800</v>
      </c>
      <c r="O61" s="413"/>
    </row>
    <row r="62" spans="1:16" ht="21" customHeight="1">
      <c r="A62" s="13">
        <v>290</v>
      </c>
      <c r="B62" s="15" t="s">
        <v>515</v>
      </c>
      <c r="C62" s="15"/>
      <c r="D62" s="18"/>
      <c r="E62" s="15">
        <f>E65+E66</f>
        <v>2272</v>
      </c>
      <c r="F62" s="15">
        <f>F65+F66</f>
        <v>2272</v>
      </c>
      <c r="G62" s="722">
        <f>G65+G66</f>
        <v>2270.54</v>
      </c>
      <c r="H62" s="15">
        <f>H65+H66</f>
        <v>2270.54</v>
      </c>
      <c r="I62" s="15">
        <f>I63+I64+I65+I66+I67</f>
        <v>0</v>
      </c>
      <c r="J62" s="15"/>
      <c r="K62" s="18">
        <f t="shared" si="1"/>
        <v>1.4600000000000364</v>
      </c>
      <c r="L62" s="19" t="e">
        <f>+L68+L78</f>
        <v>#REF!</v>
      </c>
      <c r="M62" s="19" t="e">
        <f>+#REF!*100/#REF!</f>
        <v>#REF!</v>
      </c>
      <c r="N62" s="355">
        <f t="shared" si="2"/>
        <v>1.4600000000000364</v>
      </c>
      <c r="O62" s="413">
        <f>H62/F62*100</f>
        <v>99.935739436619713</v>
      </c>
    </row>
    <row r="63" spans="1:16" ht="19.5" hidden="1" customHeight="1">
      <c r="A63" s="24">
        <v>295</v>
      </c>
      <c r="B63" s="17" t="s">
        <v>573</v>
      </c>
      <c r="C63" s="17"/>
      <c r="D63" s="20"/>
      <c r="E63" s="18">
        <v>780</v>
      </c>
      <c r="F63" s="18">
        <v>780</v>
      </c>
      <c r="G63" s="726"/>
      <c r="H63" s="18">
        <v>779.38</v>
      </c>
      <c r="I63" s="20"/>
      <c r="J63" s="18">
        <v>753.89</v>
      </c>
      <c r="K63" s="20"/>
      <c r="L63" s="20"/>
      <c r="M63" s="20"/>
      <c r="N63" s="355">
        <f t="shared" si="2"/>
        <v>0.62000000000000455</v>
      </c>
      <c r="O63" s="415"/>
      <c r="P63" s="36">
        <v>779.38</v>
      </c>
    </row>
    <row r="64" spans="1:16" ht="19.5" hidden="1" customHeight="1">
      <c r="A64" s="24">
        <v>296</v>
      </c>
      <c r="B64" s="17" t="s">
        <v>574</v>
      </c>
      <c r="C64" s="17"/>
      <c r="D64" s="20"/>
      <c r="E64" s="18">
        <v>504</v>
      </c>
      <c r="F64" s="18">
        <v>504</v>
      </c>
      <c r="G64" s="726"/>
      <c r="H64" s="18">
        <v>503.72</v>
      </c>
      <c r="I64" s="20"/>
      <c r="J64" s="18">
        <v>503.72</v>
      </c>
      <c r="K64" s="20"/>
      <c r="L64" s="20"/>
      <c r="M64" s="20"/>
      <c r="N64" s="355">
        <f t="shared" si="2"/>
        <v>0.27999999999997272</v>
      </c>
      <c r="O64" s="415"/>
      <c r="P64" s="36">
        <v>503.72</v>
      </c>
    </row>
    <row r="65" spans="1:16" ht="19.5" customHeight="1">
      <c r="A65" s="24">
        <v>297</v>
      </c>
      <c r="B65" s="17" t="s">
        <v>575</v>
      </c>
      <c r="C65" s="351"/>
      <c r="D65" s="20"/>
      <c r="E65" s="18">
        <v>2177</v>
      </c>
      <c r="F65" s="18">
        <v>2177</v>
      </c>
      <c r="G65" s="723">
        <v>2176.38</v>
      </c>
      <c r="H65" s="18">
        <f>P65+G65</f>
        <v>2176.38</v>
      </c>
      <c r="I65" s="18"/>
      <c r="J65" s="18"/>
      <c r="K65" s="20"/>
      <c r="L65" s="20"/>
      <c r="M65" s="20"/>
      <c r="N65" s="355">
        <f t="shared" si="2"/>
        <v>0.61999999999989086</v>
      </c>
      <c r="O65" s="415"/>
    </row>
    <row r="66" spans="1:16" ht="18.75" customHeight="1">
      <c r="A66" s="24">
        <v>298</v>
      </c>
      <c r="B66" s="17" t="s">
        <v>576</v>
      </c>
      <c r="C66" s="351"/>
      <c r="D66" s="20"/>
      <c r="E66" s="18">
        <v>95</v>
      </c>
      <c r="F66" s="18">
        <v>95</v>
      </c>
      <c r="G66" s="723">
        <v>94.16</v>
      </c>
      <c r="H66" s="18">
        <v>94.16</v>
      </c>
      <c r="I66" s="18"/>
      <c r="J66" s="18"/>
      <c r="K66" s="20"/>
      <c r="L66" s="20"/>
      <c r="M66" s="20"/>
      <c r="N66" s="355">
        <f t="shared" si="2"/>
        <v>0.84000000000000341</v>
      </c>
      <c r="O66" s="415"/>
    </row>
    <row r="67" spans="1:16" ht="19.5" hidden="1" customHeight="1">
      <c r="A67" s="24">
        <v>299</v>
      </c>
      <c r="B67" s="17" t="s">
        <v>577</v>
      </c>
      <c r="C67" s="17"/>
      <c r="D67" s="20"/>
      <c r="E67" s="18">
        <v>62.6</v>
      </c>
      <c r="F67" s="18">
        <v>62.6</v>
      </c>
      <c r="G67" s="726"/>
      <c r="H67" s="18">
        <v>62.6</v>
      </c>
      <c r="I67" s="20"/>
      <c r="J67" s="18">
        <v>62.6</v>
      </c>
      <c r="K67" s="20"/>
      <c r="L67" s="20"/>
      <c r="M67" s="20"/>
      <c r="N67" s="355">
        <f t="shared" si="2"/>
        <v>0</v>
      </c>
      <c r="O67" s="415"/>
      <c r="P67" s="36">
        <v>62.6</v>
      </c>
    </row>
    <row r="68" spans="1:16" ht="18" customHeight="1">
      <c r="A68" s="27" t="s">
        <v>467</v>
      </c>
      <c r="B68" s="28" t="s">
        <v>516</v>
      </c>
      <c r="C68" s="29">
        <f>C69+C80+C81+C85+C87+C88+C89</f>
        <v>6075690</v>
      </c>
      <c r="D68" s="29">
        <f>SUM(D69:D90)</f>
        <v>0</v>
      </c>
      <c r="E68" s="29">
        <f>E69+E78+E80+E81+E85+E87+E88+E89+E90</f>
        <v>5915992</v>
      </c>
      <c r="F68" s="29">
        <f>F69+F78+F80+F81+F85+F87+F88+F89+F90</f>
        <v>1055440</v>
      </c>
      <c r="G68" s="727">
        <f>G69+G78+G80+G81+G85+G88+G89+G90</f>
        <v>377355.87999999995</v>
      </c>
      <c r="H68" s="29">
        <f>H69+H78+H80+H81+H85+H87+H88+H89+H90</f>
        <v>881537.52</v>
      </c>
      <c r="I68" s="29">
        <f>I69+I78+I80+I81+I85+I87+I88+I89+I90</f>
        <v>258461.27000000002</v>
      </c>
      <c r="J68" s="29">
        <f>J69+J78+J80+J81+J85+J87+J88+J89+J90</f>
        <v>270409.73000000004</v>
      </c>
      <c r="K68" s="29">
        <f t="shared" si="1"/>
        <v>173902.47999999998</v>
      </c>
      <c r="L68" s="29" t="e">
        <f>+L69+L80</f>
        <v>#REF!</v>
      </c>
      <c r="M68" s="29" t="e">
        <f>+#REF!*100/#REF!</f>
        <v>#REF!</v>
      </c>
      <c r="N68" s="356">
        <f t="shared" si="2"/>
        <v>5034454.4800000004</v>
      </c>
      <c r="O68" s="416">
        <f>H68/F68*100</f>
        <v>83.523224437201549</v>
      </c>
      <c r="P68" s="36">
        <v>504181.64</v>
      </c>
    </row>
    <row r="69" spans="1:16" ht="18" customHeight="1">
      <c r="A69" s="13">
        <v>300</v>
      </c>
      <c r="B69" s="14" t="s">
        <v>578</v>
      </c>
      <c r="C69" s="15">
        <f>C70+C72</f>
        <v>133000</v>
      </c>
      <c r="D69" s="18"/>
      <c r="E69" s="15">
        <f>E70+E71+E72+E73+E74+E75+E76+E77</f>
        <v>118324</v>
      </c>
      <c r="F69" s="15">
        <f>F70+F71+F72+F73+F74+F75+F76+F77</f>
        <v>11924</v>
      </c>
      <c r="G69" s="722">
        <f>G70+G72</f>
        <v>5029</v>
      </c>
      <c r="H69" s="15">
        <f>H70+H71+H72+H73+H74+H75+H76+H77</f>
        <v>5149.2299999999996</v>
      </c>
      <c r="I69" s="15">
        <f>I70+I71+I72+I73+I74+I75+I76+I77</f>
        <v>0</v>
      </c>
      <c r="J69" s="15">
        <f>J70+J71+J72+J73+J74+J75+J76+J77</f>
        <v>0</v>
      </c>
      <c r="K69" s="18">
        <f t="shared" si="1"/>
        <v>6774.77</v>
      </c>
      <c r="L69" s="15" t="e">
        <f>+L78+L81</f>
        <v>#REF!</v>
      </c>
      <c r="M69" s="15" t="e">
        <f>+#REF!*100/#REF!</f>
        <v>#REF!</v>
      </c>
      <c r="N69" s="351">
        <f t="shared" si="2"/>
        <v>113174.77</v>
      </c>
      <c r="O69" s="413">
        <f>H69/F69*100</f>
        <v>43.183747064743372</v>
      </c>
      <c r="P69" s="36">
        <v>120.23</v>
      </c>
    </row>
    <row r="70" spans="1:16" ht="17.25" customHeight="1">
      <c r="A70" s="24">
        <v>301</v>
      </c>
      <c r="B70" s="17" t="s">
        <v>579</v>
      </c>
      <c r="C70" s="18">
        <v>100000</v>
      </c>
      <c r="D70" s="18"/>
      <c r="E70" s="18">
        <v>85324</v>
      </c>
      <c r="F70" s="18">
        <v>5324</v>
      </c>
      <c r="G70" s="723">
        <v>5029</v>
      </c>
      <c r="H70" s="18">
        <f>P70+G70</f>
        <v>5149.2299999999996</v>
      </c>
      <c r="I70" s="18"/>
      <c r="J70" s="18"/>
      <c r="K70" s="18">
        <f t="shared" si="1"/>
        <v>174.77000000000044</v>
      </c>
      <c r="L70" s="15"/>
      <c r="M70" s="15"/>
      <c r="N70" s="351">
        <f t="shared" si="2"/>
        <v>80174.77</v>
      </c>
      <c r="O70" s="413"/>
      <c r="P70" s="36">
        <v>120.23</v>
      </c>
    </row>
    <row r="71" spans="1:16" ht="18" hidden="1" customHeight="1">
      <c r="A71" s="24">
        <v>302</v>
      </c>
      <c r="B71" s="17" t="s">
        <v>580</v>
      </c>
      <c r="C71" s="18"/>
      <c r="D71" s="18"/>
      <c r="E71" s="18"/>
      <c r="F71" s="18"/>
      <c r="G71" s="723"/>
      <c r="H71" s="18"/>
      <c r="I71" s="18"/>
      <c r="J71" s="18"/>
      <c r="K71" s="18">
        <f t="shared" si="1"/>
        <v>0</v>
      </c>
      <c r="L71" s="15"/>
      <c r="M71" s="15"/>
      <c r="N71" s="351">
        <f t="shared" si="2"/>
        <v>0</v>
      </c>
      <c r="O71" s="413"/>
    </row>
    <row r="72" spans="1:16" ht="18" customHeight="1">
      <c r="A72" s="24">
        <v>303</v>
      </c>
      <c r="B72" s="17" t="s">
        <v>581</v>
      </c>
      <c r="C72" s="18">
        <v>33000</v>
      </c>
      <c r="D72" s="18"/>
      <c r="E72" s="18">
        <v>33000</v>
      </c>
      <c r="F72" s="18">
        <v>6600</v>
      </c>
      <c r="G72" s="723"/>
      <c r="H72" s="18"/>
      <c r="I72" s="18"/>
      <c r="J72" s="18"/>
      <c r="K72" s="18"/>
      <c r="L72" s="15"/>
      <c r="M72" s="15"/>
      <c r="N72" s="351"/>
      <c r="O72" s="413"/>
    </row>
    <row r="73" spans="1:16" ht="1.5" customHeight="1">
      <c r="A73" s="24">
        <v>304</v>
      </c>
      <c r="B73" s="17" t="s">
        <v>582</v>
      </c>
      <c r="C73" s="18"/>
      <c r="D73" s="18"/>
      <c r="E73" s="18"/>
      <c r="F73" s="18"/>
      <c r="G73" s="723"/>
      <c r="H73" s="18"/>
      <c r="I73" s="18"/>
      <c r="J73" s="18"/>
      <c r="K73" s="18">
        <f t="shared" si="1"/>
        <v>0</v>
      </c>
      <c r="L73" s="15"/>
      <c r="M73" s="15"/>
      <c r="N73" s="351">
        <f t="shared" si="2"/>
        <v>0</v>
      </c>
      <c r="O73" s="413"/>
    </row>
    <row r="74" spans="1:16" ht="18" hidden="1" customHeight="1">
      <c r="A74" s="24">
        <v>305</v>
      </c>
      <c r="B74" s="17" t="s">
        <v>583</v>
      </c>
      <c r="C74" s="18"/>
      <c r="D74" s="18"/>
      <c r="E74" s="18"/>
      <c r="F74" s="18"/>
      <c r="G74" s="723"/>
      <c r="H74" s="18"/>
      <c r="I74" s="18"/>
      <c r="J74" s="18"/>
      <c r="K74" s="18">
        <f t="shared" si="1"/>
        <v>0</v>
      </c>
      <c r="L74" s="15"/>
      <c r="M74" s="15"/>
      <c r="N74" s="351">
        <f t="shared" si="2"/>
        <v>0</v>
      </c>
      <c r="O74" s="413"/>
    </row>
    <row r="75" spans="1:16" ht="18" hidden="1" customHeight="1">
      <c r="A75" s="24">
        <v>307</v>
      </c>
      <c r="B75" s="17" t="s">
        <v>584</v>
      </c>
      <c r="C75" s="18"/>
      <c r="D75" s="18"/>
      <c r="E75" s="18"/>
      <c r="F75" s="18"/>
      <c r="G75" s="723"/>
      <c r="H75" s="18"/>
      <c r="I75" s="18"/>
      <c r="J75" s="18"/>
      <c r="K75" s="18">
        <f t="shared" si="1"/>
        <v>0</v>
      </c>
      <c r="L75" s="15"/>
      <c r="M75" s="15"/>
      <c r="N75" s="351">
        <f t="shared" si="2"/>
        <v>0</v>
      </c>
      <c r="O75" s="413"/>
    </row>
    <row r="76" spans="1:16" ht="18" hidden="1" customHeight="1">
      <c r="A76" s="24">
        <v>308</v>
      </c>
      <c r="B76" s="17" t="s">
        <v>607</v>
      </c>
      <c r="C76" s="18"/>
      <c r="D76" s="18"/>
      <c r="E76" s="18"/>
      <c r="F76" s="18"/>
      <c r="G76" s="723"/>
      <c r="H76" s="18"/>
      <c r="I76" s="18"/>
      <c r="J76" s="18"/>
      <c r="K76" s="18">
        <f t="shared" si="1"/>
        <v>0</v>
      </c>
      <c r="L76" s="15"/>
      <c r="M76" s="15"/>
      <c r="N76" s="351">
        <f t="shared" si="2"/>
        <v>0</v>
      </c>
      <c r="O76" s="413"/>
    </row>
    <row r="77" spans="1:16" ht="18" hidden="1" customHeight="1">
      <c r="A77" s="24">
        <v>309</v>
      </c>
      <c r="B77" s="17" t="s">
        <v>585</v>
      </c>
      <c r="C77" s="18"/>
      <c r="D77" s="18"/>
      <c r="E77" s="18"/>
      <c r="F77" s="18"/>
      <c r="G77" s="723"/>
      <c r="H77" s="18"/>
      <c r="I77" s="18"/>
      <c r="J77" s="18"/>
      <c r="K77" s="18">
        <f t="shared" si="1"/>
        <v>0</v>
      </c>
      <c r="L77" s="15"/>
      <c r="M77" s="15"/>
      <c r="N77" s="351">
        <f t="shared" si="2"/>
        <v>0</v>
      </c>
      <c r="O77" s="413"/>
    </row>
    <row r="78" spans="1:16" ht="18" customHeight="1">
      <c r="A78" s="13">
        <v>310</v>
      </c>
      <c r="B78" s="14" t="s">
        <v>586</v>
      </c>
      <c r="C78" s="18"/>
      <c r="D78" s="18"/>
      <c r="E78" s="15">
        <f t="shared" ref="E78:J78" si="8">E79</f>
        <v>101008</v>
      </c>
      <c r="F78" s="15">
        <f t="shared" si="8"/>
        <v>101008</v>
      </c>
      <c r="G78" s="722">
        <f t="shared" si="8"/>
        <v>56710</v>
      </c>
      <c r="H78" s="15">
        <f t="shared" si="8"/>
        <v>101008</v>
      </c>
      <c r="I78" s="15">
        <v>56710</v>
      </c>
      <c r="J78" s="15">
        <f t="shared" si="8"/>
        <v>0</v>
      </c>
      <c r="K78" s="18">
        <f t="shared" si="1"/>
        <v>0</v>
      </c>
      <c r="L78" s="18" t="e">
        <f>+L80+L85</f>
        <v>#REF!</v>
      </c>
      <c r="M78" s="18" t="e">
        <f>+#REF!*100/#REF!</f>
        <v>#REF!</v>
      </c>
      <c r="N78" s="351">
        <f t="shared" si="2"/>
        <v>0</v>
      </c>
      <c r="O78" s="413"/>
      <c r="P78" s="382">
        <v>44298</v>
      </c>
    </row>
    <row r="79" spans="1:16" ht="18" customHeight="1">
      <c r="A79" s="24">
        <v>314</v>
      </c>
      <c r="B79" s="17" t="s">
        <v>587</v>
      </c>
      <c r="C79" s="18"/>
      <c r="D79" s="18"/>
      <c r="E79" s="18">
        <v>101008</v>
      </c>
      <c r="F79" s="18">
        <v>101008</v>
      </c>
      <c r="G79" s="723">
        <v>56710</v>
      </c>
      <c r="H79" s="18">
        <f>P79+G79</f>
        <v>101008</v>
      </c>
      <c r="I79" s="18">
        <v>56710</v>
      </c>
      <c r="J79" s="18"/>
      <c r="K79" s="18"/>
      <c r="L79" s="18"/>
      <c r="M79" s="18"/>
      <c r="N79" s="351"/>
      <c r="O79" s="413"/>
      <c r="P79" s="382">
        <v>44298</v>
      </c>
    </row>
    <row r="80" spans="1:16" ht="18" customHeight="1">
      <c r="A80" s="13">
        <v>320</v>
      </c>
      <c r="B80" s="15" t="s">
        <v>588</v>
      </c>
      <c r="C80" s="15">
        <v>1700000</v>
      </c>
      <c r="D80" s="18"/>
      <c r="E80" s="15">
        <v>1639277</v>
      </c>
      <c r="F80" s="15">
        <v>279277</v>
      </c>
      <c r="G80" s="722">
        <v>104968.5</v>
      </c>
      <c r="H80" s="15">
        <v>266762.23</v>
      </c>
      <c r="I80" s="18">
        <v>5725.04</v>
      </c>
      <c r="J80" s="18"/>
      <c r="K80" s="18">
        <f t="shared" si="1"/>
        <v>12514.770000000019</v>
      </c>
      <c r="L80" s="18" t="e">
        <f>+L81+L87</f>
        <v>#REF!</v>
      </c>
      <c r="M80" s="18" t="e">
        <f>+#REF!*100/#REF!</f>
        <v>#REF!</v>
      </c>
      <c r="N80" s="351">
        <f t="shared" si="2"/>
        <v>1372514.77</v>
      </c>
      <c r="O80" s="413">
        <f>H80/F80*100</f>
        <v>95.518868363667607</v>
      </c>
      <c r="P80" s="36">
        <v>161793.73000000001</v>
      </c>
    </row>
    <row r="81" spans="1:16" ht="17.25" customHeight="1">
      <c r="A81" s="13">
        <v>330</v>
      </c>
      <c r="B81" s="15" t="s">
        <v>518</v>
      </c>
      <c r="C81" s="15">
        <f>C82+C83</f>
        <v>1822120</v>
      </c>
      <c r="D81" s="15">
        <f t="shared" ref="D81:G81" si="9">D82+D83</f>
        <v>0</v>
      </c>
      <c r="E81" s="15">
        <f t="shared" si="9"/>
        <v>1550822</v>
      </c>
      <c r="F81" s="15">
        <f t="shared" si="9"/>
        <v>93126</v>
      </c>
      <c r="G81" s="722">
        <f t="shared" si="9"/>
        <v>19651.52</v>
      </c>
      <c r="H81" s="15">
        <f>H82+H83+H84</f>
        <v>19651.52</v>
      </c>
      <c r="I81" s="15">
        <f>I82+I83</f>
        <v>0</v>
      </c>
      <c r="J81" s="15">
        <f>J82+J83</f>
        <v>0</v>
      </c>
      <c r="K81" s="18">
        <f t="shared" si="1"/>
        <v>73474.48</v>
      </c>
      <c r="L81" s="18" t="e">
        <f>+L85+L88</f>
        <v>#REF!</v>
      </c>
      <c r="M81" s="18" t="e">
        <f>+#REF!*100/#REF!</f>
        <v>#REF!</v>
      </c>
      <c r="N81" s="351">
        <f>E81-H81</f>
        <v>1531170.48</v>
      </c>
      <c r="O81" s="413">
        <f>H81/F81*100</f>
        <v>21.10207675622275</v>
      </c>
      <c r="P81" s="36">
        <v>0</v>
      </c>
    </row>
    <row r="82" spans="1:16" ht="18" hidden="1" customHeight="1">
      <c r="A82" s="24">
        <v>331</v>
      </c>
      <c r="B82" s="18" t="s">
        <v>589</v>
      </c>
      <c r="C82" s="18"/>
      <c r="D82" s="18"/>
      <c r="E82" s="18"/>
      <c r="F82" s="18"/>
      <c r="G82" s="723"/>
      <c r="H82" s="18"/>
      <c r="I82" s="18"/>
      <c r="J82" s="18"/>
      <c r="K82" s="18">
        <f t="shared" si="1"/>
        <v>0</v>
      </c>
      <c r="L82" s="18"/>
      <c r="M82" s="18"/>
      <c r="N82" s="351">
        <f>E82-H82</f>
        <v>0</v>
      </c>
      <c r="O82" s="413" t="e">
        <f>H82/F82*100</f>
        <v>#DIV/0!</v>
      </c>
    </row>
    <row r="83" spans="1:16" ht="18" customHeight="1">
      <c r="A83" s="24">
        <v>332</v>
      </c>
      <c r="B83" s="18" t="s">
        <v>517</v>
      </c>
      <c r="C83" s="18">
        <v>1822120</v>
      </c>
      <c r="D83" s="18"/>
      <c r="E83" s="18">
        <v>1550822</v>
      </c>
      <c r="F83" s="18">
        <v>93126</v>
      </c>
      <c r="G83" s="723">
        <v>19651.52</v>
      </c>
      <c r="H83" s="18">
        <v>19651.52</v>
      </c>
      <c r="I83" s="18"/>
      <c r="J83" s="18"/>
      <c r="K83" s="18">
        <f t="shared" si="1"/>
        <v>73474.48</v>
      </c>
      <c r="L83" s="18"/>
      <c r="M83" s="18"/>
      <c r="N83" s="351">
        <f>E83-H83</f>
        <v>1531170.48</v>
      </c>
      <c r="O83" s="413">
        <f>H83/F83*100</f>
        <v>21.10207675622275</v>
      </c>
    </row>
    <row r="84" spans="1:16" ht="18" customHeight="1">
      <c r="A84" s="24">
        <v>339</v>
      </c>
      <c r="B84" s="18" t="s">
        <v>590</v>
      </c>
      <c r="C84" s="18"/>
      <c r="D84" s="18"/>
      <c r="E84" s="18"/>
      <c r="F84" s="18"/>
      <c r="G84" s="723"/>
      <c r="H84" s="18"/>
      <c r="I84" s="18"/>
      <c r="J84" s="18"/>
      <c r="K84" s="18"/>
      <c r="L84" s="18"/>
      <c r="M84" s="18"/>
      <c r="N84" s="351"/>
      <c r="O84" s="413"/>
    </row>
    <row r="85" spans="1:16" ht="18" customHeight="1">
      <c r="A85" s="13">
        <v>340</v>
      </c>
      <c r="B85" s="15" t="s">
        <v>250</v>
      </c>
      <c r="C85" s="15">
        <f>C86</f>
        <v>74570</v>
      </c>
      <c r="D85" s="18"/>
      <c r="E85" s="15">
        <f>E86</f>
        <v>59656</v>
      </c>
      <c r="F85" s="15">
        <f>F86</f>
        <v>0</v>
      </c>
      <c r="G85" s="723"/>
      <c r="H85" s="15">
        <f>H86</f>
        <v>0</v>
      </c>
      <c r="I85" s="15">
        <f>I86</f>
        <v>0</v>
      </c>
      <c r="J85" s="15">
        <f>J86</f>
        <v>0</v>
      </c>
      <c r="K85" s="18">
        <f t="shared" si="1"/>
        <v>0</v>
      </c>
      <c r="L85" s="18" t="e">
        <f>+L87+L89</f>
        <v>#REF!</v>
      </c>
      <c r="M85" s="18" t="e">
        <f>+#REF!*100/#REF!</f>
        <v>#REF!</v>
      </c>
      <c r="N85" s="351">
        <f t="shared" si="2"/>
        <v>59656</v>
      </c>
      <c r="O85" s="413"/>
      <c r="P85" s="36">
        <v>0</v>
      </c>
    </row>
    <row r="86" spans="1:16" ht="18" customHeight="1">
      <c r="A86" s="24">
        <v>340</v>
      </c>
      <c r="B86" s="18" t="s">
        <v>250</v>
      </c>
      <c r="C86" s="18">
        <v>74570</v>
      </c>
      <c r="D86" s="18"/>
      <c r="E86" s="18">
        <v>59656</v>
      </c>
      <c r="F86" s="18"/>
      <c r="G86" s="723"/>
      <c r="H86" s="18"/>
      <c r="I86" s="18"/>
      <c r="J86" s="18"/>
      <c r="K86" s="18">
        <f t="shared" si="1"/>
        <v>0</v>
      </c>
      <c r="L86" s="18"/>
      <c r="M86" s="18"/>
      <c r="N86" s="351"/>
      <c r="O86" s="413"/>
    </row>
    <row r="87" spans="1:16" ht="18" customHeight="1">
      <c r="A87" s="13">
        <v>350</v>
      </c>
      <c r="B87" s="15" t="s">
        <v>519</v>
      </c>
      <c r="C87" s="15">
        <v>99000</v>
      </c>
      <c r="D87" s="15"/>
      <c r="E87" s="15">
        <v>99200</v>
      </c>
      <c r="F87" s="15">
        <v>20000</v>
      </c>
      <c r="G87" s="722"/>
      <c r="H87" s="15"/>
      <c r="I87" s="15"/>
      <c r="J87" s="15"/>
      <c r="K87" s="15">
        <f t="shared" si="1"/>
        <v>20000</v>
      </c>
      <c r="L87" s="15" t="e">
        <f>+L88+#REF!</f>
        <v>#REF!</v>
      </c>
      <c r="M87" s="15" t="e">
        <f>+#REF!*100/#REF!</f>
        <v>#REF!</v>
      </c>
      <c r="N87" s="275">
        <f t="shared" si="2"/>
        <v>99200</v>
      </c>
      <c r="O87" s="413"/>
    </row>
    <row r="88" spans="1:16" ht="18" customHeight="1">
      <c r="A88" s="13">
        <v>370</v>
      </c>
      <c r="B88" s="15" t="s">
        <v>520</v>
      </c>
      <c r="C88" s="15">
        <v>782000</v>
      </c>
      <c r="D88" s="15"/>
      <c r="E88" s="15">
        <v>782000</v>
      </c>
      <c r="F88" s="15">
        <v>156400</v>
      </c>
      <c r="G88" s="722">
        <v>100377.18</v>
      </c>
      <c r="H88" s="15">
        <v>109418.68</v>
      </c>
      <c r="I88" s="15">
        <v>9041.5</v>
      </c>
      <c r="J88" s="15"/>
      <c r="K88" s="15">
        <f t="shared" si="1"/>
        <v>46981.320000000007</v>
      </c>
      <c r="L88" s="15" t="e">
        <f>+L89+#REF!</f>
        <v>#REF!</v>
      </c>
      <c r="M88" s="15" t="e">
        <f>+#REF!*100/#REF!</f>
        <v>#REF!</v>
      </c>
      <c r="N88" s="275">
        <f t="shared" si="2"/>
        <v>672581.32000000007</v>
      </c>
      <c r="O88" s="413">
        <f t="shared" ref="O88:O96" si="10">H88/F88*100</f>
        <v>69.960792838874681</v>
      </c>
      <c r="P88" s="36">
        <v>9041.5</v>
      </c>
    </row>
    <row r="89" spans="1:16" ht="18" customHeight="1">
      <c r="A89" s="13">
        <v>380</v>
      </c>
      <c r="B89" s="15" t="s">
        <v>521</v>
      </c>
      <c r="C89" s="15">
        <v>1465000</v>
      </c>
      <c r="D89" s="15"/>
      <c r="E89" s="15">
        <v>1196513</v>
      </c>
      <c r="F89" s="15">
        <v>24513</v>
      </c>
      <c r="G89" s="722">
        <v>10300.89</v>
      </c>
      <c r="H89" s="15">
        <v>17870.8</v>
      </c>
      <c r="I89" s="15">
        <v>7569.91</v>
      </c>
      <c r="J89" s="15"/>
      <c r="K89" s="18">
        <f t="shared" si="1"/>
        <v>6642.2000000000007</v>
      </c>
      <c r="L89" s="18" t="e">
        <f>+#REF!+#REF!</f>
        <v>#REF!</v>
      </c>
      <c r="M89" s="18" t="e">
        <f>+#REF!*100/#REF!</f>
        <v>#REF!</v>
      </c>
      <c r="N89" s="351">
        <f t="shared" si="2"/>
        <v>1178642.2</v>
      </c>
      <c r="O89" s="413">
        <f t="shared" si="10"/>
        <v>72.903357402194743</v>
      </c>
      <c r="P89" s="36">
        <v>7569.91</v>
      </c>
    </row>
    <row r="90" spans="1:16" ht="18" customHeight="1">
      <c r="A90" s="13">
        <v>390</v>
      </c>
      <c r="B90" s="15" t="s">
        <v>522</v>
      </c>
      <c r="C90" s="18"/>
      <c r="D90" s="18"/>
      <c r="E90" s="15">
        <f>E93+E94+E95+E96+E97</f>
        <v>369192</v>
      </c>
      <c r="F90" s="15">
        <f>F93+F94+F95+F96+F97</f>
        <v>369192</v>
      </c>
      <c r="G90" s="722">
        <f>G93+G94+G95+G96+G97</f>
        <v>80318.789999999994</v>
      </c>
      <c r="H90" s="15">
        <f>H93+H97+H94+H95+H96</f>
        <v>361677.06</v>
      </c>
      <c r="I90" s="15">
        <f>I93+I97+I94+I95+I96</f>
        <v>179414.82</v>
      </c>
      <c r="J90" s="15">
        <f>J91+J92+J93+J94+J95+J96+J97</f>
        <v>270409.73000000004</v>
      </c>
      <c r="K90" s="18">
        <f t="shared" si="1"/>
        <v>7514.9400000000023</v>
      </c>
      <c r="L90" s="15" t="e">
        <f>+L98+#REF!</f>
        <v>#REF!</v>
      </c>
      <c r="M90" s="15" t="e">
        <f>+#REF!*100/#REF!</f>
        <v>#REF!</v>
      </c>
      <c r="N90" s="351">
        <f>E90-H90</f>
        <v>7514.9400000000023</v>
      </c>
      <c r="O90" s="413">
        <f t="shared" si="10"/>
        <v>97.964490021452249</v>
      </c>
      <c r="P90" s="36">
        <v>281358.27</v>
      </c>
    </row>
    <row r="91" spans="1:16" ht="0.75" customHeight="1">
      <c r="A91" s="24">
        <v>391</v>
      </c>
      <c r="B91" s="18" t="s">
        <v>591</v>
      </c>
      <c r="C91" s="18"/>
      <c r="D91" s="19"/>
      <c r="E91" s="18"/>
      <c r="F91" s="18"/>
      <c r="G91" s="728"/>
      <c r="H91" s="18"/>
      <c r="I91" s="19"/>
      <c r="J91" s="18"/>
      <c r="K91" s="18">
        <f t="shared" si="1"/>
        <v>0</v>
      </c>
      <c r="L91" s="20"/>
      <c r="M91" s="20"/>
      <c r="N91" s="351">
        <f t="shared" ref="N91:N96" si="11">E91-H91</f>
        <v>0</v>
      </c>
      <c r="O91" s="413" t="e">
        <f t="shared" si="10"/>
        <v>#DIV/0!</v>
      </c>
    </row>
    <row r="92" spans="1:16" ht="10.5" hidden="1" customHeight="1">
      <c r="A92" s="24">
        <v>392</v>
      </c>
      <c r="B92" s="18" t="s">
        <v>592</v>
      </c>
      <c r="C92" s="18"/>
      <c r="D92" s="19"/>
      <c r="E92" s="18"/>
      <c r="F92" s="18"/>
      <c r="G92" s="723"/>
      <c r="H92" s="18"/>
      <c r="I92" s="19"/>
      <c r="J92" s="18"/>
      <c r="K92" s="18">
        <f t="shared" si="1"/>
        <v>0</v>
      </c>
      <c r="L92" s="20"/>
      <c r="M92" s="20"/>
      <c r="N92" s="351">
        <f t="shared" si="11"/>
        <v>0</v>
      </c>
      <c r="O92" s="413" t="e">
        <f t="shared" si="10"/>
        <v>#DIV/0!</v>
      </c>
    </row>
    <row r="93" spans="1:16" ht="21.75" customHeight="1">
      <c r="A93" s="24">
        <v>393</v>
      </c>
      <c r="B93" s="18" t="s">
        <v>593</v>
      </c>
      <c r="C93" s="18"/>
      <c r="D93" s="19"/>
      <c r="E93" s="18">
        <v>270020</v>
      </c>
      <c r="F93" s="18">
        <v>270020</v>
      </c>
      <c r="G93" s="723"/>
      <c r="H93" s="18">
        <v>262507.08</v>
      </c>
      <c r="I93" s="18">
        <v>170975</v>
      </c>
      <c r="J93" s="18">
        <v>190770</v>
      </c>
      <c r="K93" s="18">
        <f t="shared" si="1"/>
        <v>7512.9199999999837</v>
      </c>
      <c r="L93" s="20"/>
      <c r="M93" s="20"/>
      <c r="N93" s="351">
        <f t="shared" si="11"/>
        <v>7512.9199999999837</v>
      </c>
      <c r="O93" s="413">
        <f>H93/F93*100</f>
        <v>97.217643137545366</v>
      </c>
      <c r="P93" s="36">
        <v>262507.08</v>
      </c>
    </row>
    <row r="94" spans="1:16" ht="21.75" customHeight="1">
      <c r="A94" s="24">
        <v>394</v>
      </c>
      <c r="B94" s="18" t="s">
        <v>594</v>
      </c>
      <c r="C94" s="18"/>
      <c r="D94" s="19"/>
      <c r="E94" s="18">
        <v>4470</v>
      </c>
      <c r="F94" s="18">
        <v>4470</v>
      </c>
      <c r="G94" s="723">
        <v>4469.3900000000003</v>
      </c>
      <c r="H94" s="18">
        <f>P94+G94</f>
        <v>4469.3900000000003</v>
      </c>
      <c r="I94" s="18"/>
      <c r="J94" s="18"/>
      <c r="K94" s="18">
        <f t="shared" si="1"/>
        <v>0.60999999999967258</v>
      </c>
      <c r="L94" s="20"/>
      <c r="M94" s="20"/>
      <c r="N94" s="351">
        <f t="shared" si="11"/>
        <v>0.60999999999967258</v>
      </c>
      <c r="O94" s="413">
        <f t="shared" si="10"/>
        <v>99.986353467561528</v>
      </c>
    </row>
    <row r="95" spans="1:16" ht="21.75" customHeight="1">
      <c r="A95" s="24">
        <v>396</v>
      </c>
      <c r="B95" s="196" t="s">
        <v>618</v>
      </c>
      <c r="C95" s="18"/>
      <c r="D95" s="19"/>
      <c r="E95" s="18">
        <v>2362</v>
      </c>
      <c r="F95" s="18">
        <v>2362</v>
      </c>
      <c r="G95" s="723">
        <v>2361.92</v>
      </c>
      <c r="H95" s="18">
        <f>P95+G95</f>
        <v>2361.92</v>
      </c>
      <c r="I95" s="18"/>
      <c r="J95" s="18">
        <v>2361.92</v>
      </c>
      <c r="K95" s="18">
        <f t="shared" si="1"/>
        <v>7.999999999992724E-2</v>
      </c>
      <c r="L95" s="20"/>
      <c r="M95" s="20"/>
      <c r="N95" s="351">
        <f t="shared" si="11"/>
        <v>7.999999999992724E-2</v>
      </c>
      <c r="O95" s="413">
        <f t="shared" si="10"/>
        <v>99.996613039796785</v>
      </c>
    </row>
    <row r="96" spans="1:16" ht="21.75" customHeight="1">
      <c r="A96" s="24">
        <v>398</v>
      </c>
      <c r="B96" s="18" t="s">
        <v>594</v>
      </c>
      <c r="C96" s="18"/>
      <c r="D96" s="19"/>
      <c r="E96" s="18">
        <v>66867</v>
      </c>
      <c r="F96" s="18">
        <v>66867</v>
      </c>
      <c r="G96" s="723">
        <v>66866.44</v>
      </c>
      <c r="H96" s="18">
        <f>P96+G96</f>
        <v>66866.44</v>
      </c>
      <c r="I96" s="18"/>
      <c r="J96" s="18">
        <v>66866.44</v>
      </c>
      <c r="K96" s="18">
        <f t="shared" si="1"/>
        <v>0.55999999999767169</v>
      </c>
      <c r="L96" s="20"/>
      <c r="M96" s="20"/>
      <c r="N96" s="351">
        <f t="shared" si="11"/>
        <v>0.55999999999767169</v>
      </c>
      <c r="O96" s="413">
        <f t="shared" si="10"/>
        <v>99.999162516637512</v>
      </c>
    </row>
    <row r="97" spans="1:17" ht="21.75" customHeight="1">
      <c r="A97" s="24">
        <v>399</v>
      </c>
      <c r="B97" s="18" t="s">
        <v>595</v>
      </c>
      <c r="C97" s="18"/>
      <c r="D97" s="19"/>
      <c r="E97" s="18">
        <v>25473</v>
      </c>
      <c r="F97" s="18">
        <v>25473</v>
      </c>
      <c r="G97" s="723">
        <v>6621.04</v>
      </c>
      <c r="H97" s="18">
        <f>P97+G97</f>
        <v>25472.23</v>
      </c>
      <c r="I97" s="18">
        <v>8439.82</v>
      </c>
      <c r="J97" s="18">
        <v>10411.370000000001</v>
      </c>
      <c r="K97" s="18">
        <f>F97-H97</f>
        <v>0.77000000000043656</v>
      </c>
      <c r="L97" s="20"/>
      <c r="M97" s="20"/>
      <c r="N97" s="351">
        <f>E97-H97</f>
        <v>0.77000000000043656</v>
      </c>
      <c r="O97" s="415"/>
      <c r="P97" s="36">
        <v>18851.189999999999</v>
      </c>
    </row>
    <row r="98" spans="1:17" ht="18" customHeight="1">
      <c r="A98" s="10">
        <v>5</v>
      </c>
      <c r="B98" s="12" t="s">
        <v>523</v>
      </c>
      <c r="C98" s="12">
        <f>C99+C101</f>
        <v>3714182</v>
      </c>
      <c r="D98" s="12">
        <f>D99</f>
        <v>0</v>
      </c>
      <c r="E98" s="12">
        <f>E99+E101</f>
        <v>3714182</v>
      </c>
      <c r="F98" s="12">
        <f>F99+F101</f>
        <v>1622837</v>
      </c>
      <c r="G98" s="721">
        <f>SUM(G99)</f>
        <v>73284.3</v>
      </c>
      <c r="H98" s="12">
        <f>SUM(H99)</f>
        <v>73284.3</v>
      </c>
      <c r="I98" s="12"/>
      <c r="J98" s="12">
        <f>SUM(J99)</f>
        <v>0</v>
      </c>
      <c r="K98" s="12">
        <f>K99+K101</f>
        <v>1549552.7</v>
      </c>
      <c r="L98" s="12" t="e">
        <f>+#REF!+L99</f>
        <v>#REF!</v>
      </c>
      <c r="M98" s="12" t="e">
        <f>+#REF!*100/#REF!</f>
        <v>#REF!</v>
      </c>
      <c r="N98" s="352">
        <f t="shared" si="2"/>
        <v>3640897.7</v>
      </c>
      <c r="O98" s="412">
        <f>H98/F98*100</f>
        <v>4.515813972691034</v>
      </c>
    </row>
    <row r="99" spans="1:17" ht="18" customHeight="1">
      <c r="A99" s="13">
        <v>510</v>
      </c>
      <c r="B99" s="15" t="s">
        <v>524</v>
      </c>
      <c r="C99" s="15">
        <f>C100</f>
        <v>3384182</v>
      </c>
      <c r="D99" s="15"/>
      <c r="E99" s="15">
        <f t="shared" ref="E99:K99" si="12">E100</f>
        <v>3384182</v>
      </c>
      <c r="F99" s="15">
        <f t="shared" si="12"/>
        <v>1556837</v>
      </c>
      <c r="G99" s="722">
        <f t="shared" si="12"/>
        <v>73284.3</v>
      </c>
      <c r="H99" s="15">
        <f t="shared" si="12"/>
        <v>73284.3</v>
      </c>
      <c r="I99" s="15">
        <f t="shared" si="12"/>
        <v>0</v>
      </c>
      <c r="J99" s="15">
        <f t="shared" si="12"/>
        <v>0</v>
      </c>
      <c r="K99" s="15">
        <f t="shared" si="12"/>
        <v>1483552.7</v>
      </c>
      <c r="L99" s="15" t="e">
        <f>+#REF!+L105</f>
        <v>#REF!</v>
      </c>
      <c r="M99" s="15" t="e">
        <f>+#REF!*100/#REF!</f>
        <v>#REF!</v>
      </c>
      <c r="N99" s="275">
        <f>N100</f>
        <v>3310897.7</v>
      </c>
      <c r="O99" s="413">
        <f>H99/F99*100</f>
        <v>4.7072558013459345</v>
      </c>
      <c r="P99" s="36">
        <v>0</v>
      </c>
    </row>
    <row r="100" spans="1:17" ht="19.5" customHeight="1">
      <c r="A100" s="24">
        <v>512</v>
      </c>
      <c r="B100" s="18" t="s">
        <v>596</v>
      </c>
      <c r="C100" s="18">
        <v>3384182</v>
      </c>
      <c r="D100" s="19"/>
      <c r="E100" s="18">
        <v>3384182</v>
      </c>
      <c r="F100" s="18">
        <v>1556837</v>
      </c>
      <c r="G100" s="723">
        <v>73284.3</v>
      </c>
      <c r="H100" s="18">
        <v>73284.3</v>
      </c>
      <c r="I100" s="18"/>
      <c r="J100" s="18"/>
      <c r="K100" s="18">
        <f>F100-H100</f>
        <v>1483552.7</v>
      </c>
      <c r="L100" s="20"/>
      <c r="M100" s="20"/>
      <c r="N100" s="18">
        <f>E100-H100</f>
        <v>3310897.7</v>
      </c>
      <c r="O100" s="415"/>
    </row>
    <row r="101" spans="1:17" ht="19.5" customHeight="1">
      <c r="A101" s="13">
        <v>560</v>
      </c>
      <c r="B101" s="15" t="s">
        <v>597</v>
      </c>
      <c r="C101" s="15">
        <f>C102</f>
        <v>330000</v>
      </c>
      <c r="D101" s="19"/>
      <c r="E101" s="15">
        <f>E102</f>
        <v>330000</v>
      </c>
      <c r="F101" s="15">
        <f>F102</f>
        <v>66000</v>
      </c>
      <c r="G101" s="728"/>
      <c r="H101" s="15">
        <f>H102</f>
        <v>0</v>
      </c>
      <c r="I101" s="19"/>
      <c r="J101" s="19"/>
      <c r="K101" s="15">
        <f>K102</f>
        <v>66000</v>
      </c>
      <c r="L101" s="20"/>
      <c r="M101" s="20"/>
      <c r="N101" s="15">
        <f>N102</f>
        <v>330000</v>
      </c>
      <c r="O101" s="415"/>
      <c r="P101" s="36">
        <v>0</v>
      </c>
    </row>
    <row r="102" spans="1:17" ht="16.5" customHeight="1">
      <c r="A102" s="24">
        <v>562</v>
      </c>
      <c r="B102" s="18" t="s">
        <v>598</v>
      </c>
      <c r="C102" s="18">
        <v>330000</v>
      </c>
      <c r="D102" s="19"/>
      <c r="E102" s="18">
        <v>330000</v>
      </c>
      <c r="F102" s="18">
        <v>66000</v>
      </c>
      <c r="G102" s="728"/>
      <c r="H102" s="18"/>
      <c r="I102" s="19"/>
      <c r="J102" s="19"/>
      <c r="K102" s="18">
        <f>F102-H102</f>
        <v>66000</v>
      </c>
      <c r="L102" s="20"/>
      <c r="M102" s="20"/>
      <c r="N102" s="18">
        <f>E102-H102</f>
        <v>330000</v>
      </c>
      <c r="O102" s="415"/>
    </row>
    <row r="103" spans="1:17" ht="19.5" hidden="1" customHeight="1">
      <c r="A103" s="13">
        <v>590</v>
      </c>
      <c r="B103" s="15" t="s">
        <v>599</v>
      </c>
      <c r="C103" s="19"/>
      <c r="D103" s="19"/>
      <c r="E103" s="15">
        <f>E104</f>
        <v>94742</v>
      </c>
      <c r="F103" s="15">
        <f>F104</f>
        <v>94742</v>
      </c>
      <c r="G103" s="728"/>
      <c r="H103" s="15">
        <f>H104</f>
        <v>94741.3</v>
      </c>
      <c r="I103" s="15">
        <f>I104</f>
        <v>94741.3</v>
      </c>
      <c r="J103" s="19"/>
      <c r="K103" s="18">
        <f>F103-H103</f>
        <v>0.69999999999708962</v>
      </c>
      <c r="L103" s="20"/>
      <c r="M103" s="20"/>
      <c r="N103" s="355"/>
      <c r="O103" s="415"/>
      <c r="P103" s="36">
        <v>94741.3</v>
      </c>
    </row>
    <row r="104" spans="1:17" ht="19.5" hidden="1" customHeight="1">
      <c r="A104" s="24">
        <v>592</v>
      </c>
      <c r="B104" s="18" t="s">
        <v>600</v>
      </c>
      <c r="C104" s="19"/>
      <c r="D104" s="19"/>
      <c r="E104" s="18">
        <v>94742</v>
      </c>
      <c r="F104" s="18">
        <v>94742</v>
      </c>
      <c r="G104" s="728"/>
      <c r="H104" s="18">
        <f>P104+G104</f>
        <v>94741.3</v>
      </c>
      <c r="I104" s="18">
        <v>94741.3</v>
      </c>
      <c r="J104" s="19"/>
      <c r="K104" s="18">
        <f>F104-H104</f>
        <v>0.69999999999708962</v>
      </c>
      <c r="L104" s="20"/>
      <c r="M104" s="20"/>
      <c r="N104" s="355"/>
      <c r="O104" s="415"/>
      <c r="P104" s="36">
        <v>94741.3</v>
      </c>
    </row>
    <row r="105" spans="1:17" ht="18" hidden="1" customHeight="1">
      <c r="A105" s="10" t="s">
        <v>429</v>
      </c>
      <c r="B105" s="11" t="s">
        <v>525</v>
      </c>
      <c r="C105" s="12">
        <f>SUM(C107:C110)</f>
        <v>0</v>
      </c>
      <c r="D105" s="12">
        <f>SUM(D107:D110)</f>
        <v>0</v>
      </c>
      <c r="E105" s="12">
        <f>E107+E110</f>
        <v>2853000</v>
      </c>
      <c r="F105" s="12">
        <f>F107+F110</f>
        <v>2853000</v>
      </c>
      <c r="G105" s="721">
        <f>SUM(G106:G110)</f>
        <v>0</v>
      </c>
      <c r="H105" s="12">
        <f>SUM(H106:H110)</f>
        <v>2700000</v>
      </c>
      <c r="I105" s="12">
        <f>SUM(I106:I110)</f>
        <v>2700000</v>
      </c>
      <c r="J105" s="12">
        <f>SUM(J107)</f>
        <v>0</v>
      </c>
      <c r="K105" s="12">
        <f t="shared" si="1"/>
        <v>153000</v>
      </c>
      <c r="L105" s="12">
        <f>+L106+L110</f>
        <v>0</v>
      </c>
      <c r="M105" s="12" t="e">
        <f>+#REF!*100/#REF!</f>
        <v>#REF!</v>
      </c>
      <c r="N105" s="352">
        <f t="shared" si="2"/>
        <v>153000</v>
      </c>
      <c r="O105" s="412">
        <f>H105/F105*100</f>
        <v>94.637223974763401</v>
      </c>
      <c r="P105" s="36">
        <v>2700000</v>
      </c>
    </row>
    <row r="106" spans="1:17" ht="18" hidden="1" customHeight="1">
      <c r="A106" s="25" t="s">
        <v>435</v>
      </c>
      <c r="B106" s="18" t="s">
        <v>285</v>
      </c>
      <c r="C106" s="18" t="s">
        <v>12</v>
      </c>
      <c r="D106" s="18"/>
      <c r="E106" s="18">
        <f>SUM(C106:C106)</f>
        <v>0</v>
      </c>
      <c r="F106" s="18" t="s">
        <v>12</v>
      </c>
      <c r="G106" s="723"/>
      <c r="H106" s="18"/>
      <c r="I106" s="18"/>
      <c r="J106" s="18"/>
      <c r="K106" s="18" t="s">
        <v>12</v>
      </c>
      <c r="L106" s="18">
        <f>+L107+L112</f>
        <v>0</v>
      </c>
      <c r="M106" s="18" t="e">
        <f>+#REF!*100/#REF!</f>
        <v>#REF!</v>
      </c>
      <c r="N106" s="351">
        <f t="shared" si="2"/>
        <v>0</v>
      </c>
      <c r="O106" s="413" t="s">
        <v>12</v>
      </c>
    </row>
    <row r="107" spans="1:17" ht="18" hidden="1" customHeight="1">
      <c r="A107" s="13">
        <v>620</v>
      </c>
      <c r="B107" s="15" t="s">
        <v>526</v>
      </c>
      <c r="C107" s="18"/>
      <c r="D107" s="18"/>
      <c r="E107" s="15">
        <f>E108</f>
        <v>153000</v>
      </c>
      <c r="F107" s="15">
        <f>F108</f>
        <v>153000</v>
      </c>
      <c r="G107" s="723">
        <v>0</v>
      </c>
      <c r="H107" s="18">
        <f>Q107+G107</f>
        <v>0</v>
      </c>
      <c r="I107" s="18"/>
      <c r="J107" s="18" t="s">
        <v>12</v>
      </c>
      <c r="K107" s="18">
        <f t="shared" si="1"/>
        <v>153000</v>
      </c>
      <c r="L107" s="18">
        <f>+L110+L113</f>
        <v>0</v>
      </c>
      <c r="M107" s="18" t="e">
        <f>+#REF!*100/#REF!</f>
        <v>#REF!</v>
      </c>
      <c r="N107" s="351">
        <f t="shared" si="2"/>
        <v>153000</v>
      </c>
      <c r="O107" s="413">
        <f>H107/F107*100</f>
        <v>0</v>
      </c>
      <c r="P107" s="36">
        <v>0</v>
      </c>
    </row>
    <row r="108" spans="1:17" ht="18" hidden="1" customHeight="1">
      <c r="A108" s="24">
        <v>623</v>
      </c>
      <c r="B108" s="18" t="s">
        <v>601</v>
      </c>
      <c r="C108" s="18"/>
      <c r="D108" s="18"/>
      <c r="E108" s="18">
        <v>153000</v>
      </c>
      <c r="F108" s="18">
        <v>153000</v>
      </c>
      <c r="G108" s="723"/>
      <c r="H108" s="18"/>
      <c r="I108" s="18"/>
      <c r="J108" s="18"/>
      <c r="K108" s="18">
        <f t="shared" si="1"/>
        <v>153000</v>
      </c>
      <c r="L108" s="18"/>
      <c r="M108" s="18"/>
      <c r="N108" s="351"/>
      <c r="O108" s="413"/>
    </row>
    <row r="109" spans="1:17" ht="18" hidden="1" customHeight="1">
      <c r="A109" s="24">
        <v>624</v>
      </c>
      <c r="B109" s="18" t="s">
        <v>602</v>
      </c>
      <c r="C109" s="18"/>
      <c r="D109" s="18"/>
      <c r="E109" s="18">
        <v>0.71</v>
      </c>
      <c r="F109" s="18">
        <v>0.71</v>
      </c>
      <c r="G109" s="723"/>
      <c r="H109" s="18"/>
      <c r="I109" s="18"/>
      <c r="J109" s="18"/>
      <c r="K109" s="18">
        <f t="shared" si="1"/>
        <v>0.71</v>
      </c>
      <c r="L109" s="18"/>
      <c r="M109" s="18"/>
      <c r="N109" s="351"/>
      <c r="O109" s="413"/>
    </row>
    <row r="110" spans="1:17" ht="19.5" hidden="1" customHeight="1">
      <c r="A110" s="13">
        <v>630</v>
      </c>
      <c r="B110" s="15" t="s">
        <v>527</v>
      </c>
      <c r="C110" s="18">
        <v>0</v>
      </c>
      <c r="D110" s="18"/>
      <c r="E110" s="15">
        <v>2700000</v>
      </c>
      <c r="F110" s="18">
        <v>2700000</v>
      </c>
      <c r="G110" s="723"/>
      <c r="H110" s="15">
        <f>H111</f>
        <v>2700000</v>
      </c>
      <c r="I110" s="18">
        <v>2700000</v>
      </c>
      <c r="J110" s="18"/>
      <c r="K110" s="18">
        <f t="shared" si="1"/>
        <v>0</v>
      </c>
      <c r="L110" s="18">
        <f>+L112+L114</f>
        <v>0</v>
      </c>
      <c r="M110" s="18" t="e">
        <f>+#REF!*100/#REF!</f>
        <v>#REF!</v>
      </c>
      <c r="N110" s="351">
        <f t="shared" si="2"/>
        <v>0</v>
      </c>
      <c r="O110" s="413" t="s">
        <v>12</v>
      </c>
      <c r="P110" s="36">
        <v>2700000</v>
      </c>
    </row>
    <row r="111" spans="1:17" ht="19.5" hidden="1" customHeight="1">
      <c r="A111" s="24">
        <v>632</v>
      </c>
      <c r="B111" s="18" t="s">
        <v>603</v>
      </c>
      <c r="C111" s="340"/>
      <c r="D111" s="342"/>
      <c r="E111" s="376">
        <v>2700000</v>
      </c>
      <c r="F111" s="18">
        <v>2700000</v>
      </c>
      <c r="G111" s="723"/>
      <c r="H111" s="18">
        <v>2700000</v>
      </c>
      <c r="I111" s="18"/>
      <c r="J111" s="18"/>
      <c r="K111" s="18">
        <f t="shared" si="1"/>
        <v>0</v>
      </c>
      <c r="L111" s="18"/>
      <c r="M111" s="18"/>
      <c r="N111" s="351"/>
      <c r="O111" s="413"/>
      <c r="P111" s="36">
        <v>2700000</v>
      </c>
    </row>
    <row r="112" spans="1:17" ht="19.149999999999999" customHeight="1">
      <c r="A112" s="30" t="s">
        <v>12</v>
      </c>
      <c r="B112" s="31" t="s">
        <v>528</v>
      </c>
      <c r="C112" s="32">
        <f>+C105+C98+C68+C41+C20+C9</f>
        <v>46208546</v>
      </c>
      <c r="D112" s="341">
        <f>D105+D98+D68+D41+D20+D9</f>
        <v>0</v>
      </c>
      <c r="E112" s="32">
        <f>E9+E20+E41+E68+E98</f>
        <v>46208546</v>
      </c>
      <c r="F112" s="32">
        <f>F9+F20+F41+F68+F98</f>
        <v>10192820</v>
      </c>
      <c r="G112" s="729">
        <f>G9+G20+G41+G68+G98</f>
        <v>504188.57999999996</v>
      </c>
      <c r="H112" s="32">
        <f>H9+H20+H41+H68+H98</f>
        <v>1030843.8200000001</v>
      </c>
      <c r="I112" s="32">
        <f>I9+I20+I41+I68+I98</f>
        <v>297834.16000000003</v>
      </c>
      <c r="J112" s="32">
        <f>+J105+J98+J68+J41+J20+J9</f>
        <v>311425.20000000007</v>
      </c>
      <c r="K112" s="32">
        <f t="shared" si="1"/>
        <v>9161976.1799999997</v>
      </c>
      <c r="L112" s="32">
        <f>+L113+L115</f>
        <v>0</v>
      </c>
      <c r="M112" s="32" t="e">
        <f>+#REF!*100/#REF!</f>
        <v>#REF!</v>
      </c>
      <c r="N112" s="357">
        <f>E112-H112</f>
        <v>45177702.18</v>
      </c>
      <c r="O112" s="417">
        <f>H112/F112*100</f>
        <v>10.11343102301424</v>
      </c>
      <c r="P112" s="36">
        <v>526655.24</v>
      </c>
      <c r="Q112" s="36"/>
    </row>
    <row r="113" spans="1:17">
      <c r="A113" s="33"/>
      <c r="B113" s="34"/>
      <c r="C113" s="35"/>
      <c r="E113" s="35"/>
      <c r="F113" s="35"/>
      <c r="G113" s="35"/>
      <c r="H113" s="35"/>
      <c r="I113" s="35"/>
      <c r="J113" s="35"/>
      <c r="K113" s="35"/>
      <c r="L113" s="43"/>
      <c r="M113" s="44"/>
      <c r="N113" s="358"/>
    </row>
    <row r="114" spans="1:17">
      <c r="A114" s="866" t="s">
        <v>44</v>
      </c>
      <c r="B114" s="866"/>
      <c r="F114" s="1" t="s">
        <v>12</v>
      </c>
      <c r="H114" s="1" t="s">
        <v>12</v>
      </c>
      <c r="Q114" s="36"/>
    </row>
    <row r="115" spans="1:17">
      <c r="A115" s="37"/>
      <c r="B115" s="38"/>
    </row>
    <row r="116" spans="1:17">
      <c r="B116" s="39">
        <v>0</v>
      </c>
      <c r="C116" s="40" t="s">
        <v>12</v>
      </c>
      <c r="D116" s="40"/>
    </row>
    <row r="117" spans="1:17">
      <c r="B117" s="45"/>
      <c r="C117" s="46"/>
      <c r="D117" s="46"/>
      <c r="E117" s="46"/>
    </row>
    <row r="118" spans="1:17">
      <c r="B118" s="47"/>
      <c r="C118" s="48"/>
      <c r="D118" s="331"/>
      <c r="E118" s="196"/>
      <c r="F118" s="196"/>
      <c r="G118" s="196"/>
    </row>
    <row r="119" spans="1:17">
      <c r="B119" s="49"/>
      <c r="C119" s="50"/>
      <c r="D119" s="332"/>
      <c r="E119" s="332"/>
      <c r="F119" s="196"/>
      <c r="G119" s="196"/>
    </row>
    <row r="120" spans="1:17">
      <c r="B120" s="47"/>
      <c r="C120" s="39"/>
      <c r="D120" s="333"/>
      <c r="E120" s="196"/>
      <c r="F120" s="196"/>
      <c r="G120" s="196"/>
    </row>
    <row r="121" spans="1:17">
      <c r="B121" s="49"/>
      <c r="C121" s="49"/>
      <c r="D121" s="334"/>
      <c r="E121" s="334"/>
      <c r="F121" s="196"/>
      <c r="G121" s="196"/>
    </row>
    <row r="122" spans="1:17">
      <c r="B122" s="47"/>
      <c r="C122" s="335"/>
      <c r="D122" s="336"/>
      <c r="E122" s="196"/>
      <c r="F122" s="196"/>
      <c r="G122" s="196"/>
    </row>
    <row r="123" spans="1:17">
      <c r="B123" s="49"/>
      <c r="C123" s="50"/>
      <c r="D123" s="332"/>
      <c r="E123" s="332"/>
      <c r="F123" s="196"/>
      <c r="G123" s="196"/>
    </row>
    <row r="124" spans="1:17">
      <c r="B124" s="47"/>
      <c r="C124" s="39"/>
      <c r="D124" s="333"/>
      <c r="E124" s="196"/>
      <c r="F124" s="196"/>
      <c r="G124" s="196"/>
    </row>
    <row r="125" spans="1:17">
      <c r="B125" s="49"/>
      <c r="C125" s="49"/>
      <c r="D125" s="334"/>
      <c r="E125" s="334"/>
      <c r="F125" s="196"/>
      <c r="G125" s="196"/>
    </row>
    <row r="126" spans="1:17">
      <c r="B126" s="47"/>
      <c r="C126" s="335"/>
      <c r="D126" s="336"/>
      <c r="E126" s="196"/>
      <c r="F126" s="196"/>
      <c r="G126" s="196"/>
    </row>
    <row r="127" spans="1:17">
      <c r="B127" s="49"/>
      <c r="C127" s="50"/>
      <c r="D127" s="332"/>
      <c r="E127" s="332"/>
      <c r="F127" s="196"/>
      <c r="G127" s="196"/>
    </row>
    <row r="128" spans="1:17">
      <c r="B128" s="47"/>
      <c r="C128" s="39"/>
      <c r="D128" s="333"/>
      <c r="E128" s="196"/>
      <c r="F128" s="196"/>
      <c r="G128" s="196"/>
    </row>
    <row r="129" spans="1:12">
      <c r="B129" s="49"/>
      <c r="C129" s="49"/>
      <c r="D129" s="334"/>
      <c r="E129" s="334"/>
      <c r="F129" s="196"/>
      <c r="G129" s="196"/>
    </row>
    <row r="130" spans="1:12">
      <c r="B130" s="47"/>
      <c r="C130" s="39"/>
      <c r="D130" s="333"/>
      <c r="E130" s="196"/>
      <c r="F130" s="196"/>
      <c r="G130" s="196"/>
    </row>
    <row r="131" spans="1:12">
      <c r="B131" s="49"/>
      <c r="C131" s="49"/>
      <c r="D131" s="334"/>
      <c r="E131" s="334"/>
      <c r="F131" s="196"/>
      <c r="G131" s="196"/>
    </row>
    <row r="132" spans="1:12">
      <c r="B132" s="47"/>
      <c r="C132" s="39"/>
      <c r="D132" s="333"/>
      <c r="E132" s="196"/>
      <c r="F132" s="196"/>
      <c r="G132" s="196"/>
    </row>
    <row r="133" spans="1:12">
      <c r="B133" s="49"/>
      <c r="C133" s="49"/>
      <c r="D133" s="334"/>
      <c r="E133" s="334"/>
      <c r="F133" s="196"/>
      <c r="G133" s="196"/>
    </row>
    <row r="134" spans="1:12">
      <c r="B134" s="47"/>
      <c r="C134" s="39"/>
      <c r="D134" s="333"/>
      <c r="E134" s="196"/>
      <c r="F134" s="196"/>
      <c r="G134" s="196"/>
    </row>
    <row r="135" spans="1:12">
      <c r="A135" s="867"/>
      <c r="B135" s="38"/>
    </row>
    <row r="136" spans="1:12">
      <c r="A136" s="867"/>
      <c r="B136" s="38"/>
    </row>
    <row r="137" spans="1:12">
      <c r="A137" s="37"/>
      <c r="B137" s="38"/>
    </row>
    <row r="138" spans="1:12">
      <c r="A138" s="37"/>
      <c r="B138" s="38"/>
    </row>
    <row r="139" spans="1:12">
      <c r="A139" s="51"/>
      <c r="B139" s="38"/>
    </row>
    <row r="140" spans="1:12">
      <c r="A140" s="51"/>
      <c r="B140" s="38"/>
    </row>
    <row r="141" spans="1:12">
      <c r="A141" s="51"/>
      <c r="B141" s="38"/>
    </row>
    <row r="142" spans="1:12">
      <c r="A142" s="51"/>
      <c r="B142" s="38"/>
    </row>
    <row r="143" spans="1:12">
      <c r="A143" s="37"/>
      <c r="B143" s="38"/>
    </row>
    <row r="144" spans="1:12">
      <c r="A144" s="37"/>
      <c r="B144" s="337"/>
      <c r="C144" s="330"/>
      <c r="D144" s="330"/>
      <c r="E144" s="330"/>
      <c r="F144" s="330"/>
      <c r="G144" s="330"/>
      <c r="H144" s="330"/>
      <c r="I144" s="330"/>
      <c r="J144" s="330"/>
      <c r="K144" s="330"/>
      <c r="L144" s="338"/>
    </row>
    <row r="145" spans="1:12">
      <c r="A145" s="52"/>
      <c r="B145" s="53"/>
      <c r="C145" s="52"/>
      <c r="D145" s="52"/>
      <c r="E145" s="52"/>
      <c r="F145" s="52"/>
      <c r="G145" s="52"/>
      <c r="H145" s="770"/>
      <c r="I145" s="52"/>
      <c r="J145" s="52"/>
      <c r="K145" s="52"/>
      <c r="L145" s="54"/>
    </row>
    <row r="146" spans="1:12">
      <c r="A146" s="52"/>
      <c r="B146" s="53"/>
      <c r="C146" s="52"/>
      <c r="D146" s="52"/>
      <c r="E146" s="52"/>
      <c r="F146" s="52"/>
      <c r="G146" s="52"/>
      <c r="H146" s="770"/>
      <c r="I146" s="52"/>
      <c r="J146" s="52"/>
      <c r="K146" s="52"/>
      <c r="L146" s="54"/>
    </row>
    <row r="147" spans="1:12">
      <c r="A147" s="52"/>
      <c r="B147" s="53"/>
      <c r="C147" s="52"/>
      <c r="D147" s="52"/>
      <c r="E147" s="52"/>
      <c r="F147" s="52"/>
      <c r="G147" s="52"/>
      <c r="H147" s="770"/>
      <c r="I147" s="52"/>
      <c r="J147" s="52"/>
      <c r="K147" s="52"/>
      <c r="L147" s="54"/>
    </row>
    <row r="148" spans="1:12">
      <c r="A148" s="52"/>
      <c r="B148" s="53"/>
      <c r="C148" s="52"/>
      <c r="D148" s="52"/>
      <c r="E148" s="52"/>
      <c r="F148" s="52"/>
      <c r="G148" s="52"/>
      <c r="H148" s="770"/>
      <c r="I148" s="52"/>
      <c r="J148" s="52"/>
      <c r="K148" s="52"/>
      <c r="L148" s="54"/>
    </row>
    <row r="149" spans="1:12">
      <c r="A149" s="52"/>
      <c r="B149" s="53"/>
      <c r="C149" s="52"/>
      <c r="D149" s="52"/>
      <c r="E149" s="52"/>
      <c r="F149" s="52"/>
      <c r="G149" s="52"/>
      <c r="H149" s="770"/>
      <c r="I149" s="52"/>
      <c r="J149" s="52"/>
      <c r="K149" s="52"/>
      <c r="L149" s="54"/>
    </row>
    <row r="150" spans="1:12">
      <c r="A150" s="52"/>
      <c r="B150" s="53"/>
      <c r="C150" s="52"/>
      <c r="D150" s="52"/>
      <c r="E150" s="52"/>
      <c r="F150" s="52"/>
      <c r="G150" s="52"/>
      <c r="H150" s="770"/>
      <c r="I150" s="52"/>
      <c r="J150" s="52"/>
      <c r="K150" s="52"/>
      <c r="L150" s="54"/>
    </row>
    <row r="151" spans="1:12">
      <c r="A151" s="52"/>
      <c r="B151" s="53"/>
      <c r="C151" s="52"/>
      <c r="D151" s="52"/>
      <c r="E151" s="52"/>
      <c r="F151" s="52"/>
      <c r="G151" s="52"/>
      <c r="H151" s="770"/>
      <c r="I151" s="52"/>
      <c r="J151" s="52"/>
      <c r="K151" s="52"/>
      <c r="L151" s="54"/>
    </row>
    <row r="152" spans="1:12">
      <c r="A152" s="52"/>
      <c r="B152" s="53"/>
      <c r="C152" s="52"/>
      <c r="D152" s="52"/>
      <c r="E152" s="52"/>
      <c r="F152" s="52"/>
      <c r="G152" s="52"/>
      <c r="H152" s="770"/>
      <c r="I152" s="52"/>
      <c r="J152" s="52"/>
      <c r="K152" s="52"/>
      <c r="L152" s="54"/>
    </row>
    <row r="153" spans="1:12">
      <c r="A153" s="52"/>
      <c r="B153" s="53"/>
      <c r="C153" s="52"/>
      <c r="D153" s="52"/>
      <c r="E153" s="52"/>
      <c r="F153" s="52"/>
      <c r="G153" s="52"/>
      <c r="H153" s="770"/>
      <c r="I153" s="52"/>
      <c r="J153" s="52"/>
      <c r="K153" s="52"/>
      <c r="L153" s="54"/>
    </row>
    <row r="154" spans="1:12">
      <c r="A154" s="52"/>
      <c r="B154" s="53"/>
      <c r="C154" s="52"/>
      <c r="D154" s="52"/>
      <c r="E154" s="52"/>
      <c r="F154" s="52"/>
      <c r="G154" s="52"/>
      <c r="H154" s="770"/>
      <c r="I154" s="52"/>
      <c r="J154" s="52"/>
      <c r="K154" s="52"/>
      <c r="L154" s="54"/>
    </row>
    <row r="155" spans="1:12">
      <c r="A155" s="52"/>
      <c r="B155" s="53"/>
      <c r="C155" s="52"/>
      <c r="D155" s="52"/>
      <c r="E155" s="52"/>
      <c r="F155" s="52"/>
      <c r="G155" s="52"/>
      <c r="H155" s="770"/>
      <c r="I155" s="52"/>
      <c r="J155" s="52"/>
      <c r="K155" s="52"/>
      <c r="L155" s="54"/>
    </row>
    <row r="156" spans="1:12">
      <c r="A156" s="52"/>
      <c r="B156" s="53"/>
      <c r="C156" s="52"/>
      <c r="D156" s="52"/>
      <c r="E156" s="52"/>
      <c r="F156" s="52"/>
      <c r="G156" s="52"/>
      <c r="H156" s="770"/>
      <c r="I156" s="52"/>
      <c r="J156" s="52"/>
      <c r="K156" s="52"/>
      <c r="L156" s="54"/>
    </row>
    <row r="157" spans="1:12">
      <c r="A157" s="52"/>
      <c r="B157" s="53"/>
      <c r="C157" s="52"/>
      <c r="D157" s="52"/>
      <c r="E157" s="52"/>
      <c r="F157" s="52"/>
      <c r="G157" s="52"/>
      <c r="H157" s="770"/>
      <c r="I157" s="52"/>
      <c r="J157" s="52"/>
      <c r="K157" s="52"/>
      <c r="L157" s="54"/>
    </row>
    <row r="158" spans="1:12">
      <c r="A158" s="52"/>
      <c r="B158" s="53"/>
      <c r="C158" s="52"/>
      <c r="D158" s="52"/>
      <c r="E158" s="52"/>
      <c r="F158" s="52"/>
      <c r="G158" s="52"/>
      <c r="H158" s="770"/>
      <c r="I158" s="52"/>
      <c r="J158" s="52"/>
      <c r="K158" s="52"/>
      <c r="L158" s="54"/>
    </row>
    <row r="159" spans="1:12">
      <c r="A159" s="52"/>
      <c r="B159" s="53"/>
      <c r="C159" s="52"/>
      <c r="D159" s="52"/>
      <c r="E159" s="52"/>
      <c r="F159" s="52"/>
      <c r="G159" s="52"/>
      <c r="H159" s="770"/>
      <c r="I159" s="52"/>
      <c r="J159" s="52"/>
      <c r="K159" s="52"/>
      <c r="L159" s="54"/>
    </row>
    <row r="160" spans="1:12">
      <c r="A160" s="52"/>
      <c r="B160" s="53"/>
      <c r="C160" s="52"/>
      <c r="D160" s="52"/>
      <c r="E160" s="52"/>
      <c r="F160" s="52"/>
      <c r="G160" s="52"/>
      <c r="H160" s="770"/>
      <c r="I160" s="52"/>
      <c r="J160" s="52"/>
      <c r="K160" s="52"/>
      <c r="L160" s="54"/>
    </row>
    <row r="161" spans="1:15">
      <c r="A161" s="52"/>
      <c r="B161" s="53"/>
      <c r="C161" s="52"/>
      <c r="D161" s="52"/>
      <c r="E161" s="52"/>
      <c r="F161" s="52"/>
      <c r="G161" s="52"/>
      <c r="H161" s="770"/>
      <c r="I161" s="52"/>
      <c r="J161" s="52"/>
      <c r="K161" s="52"/>
      <c r="L161" s="54"/>
    </row>
    <row r="162" spans="1:15">
      <c r="A162" s="52"/>
      <c r="B162" s="53"/>
      <c r="C162" s="52"/>
      <c r="D162" s="52"/>
      <c r="E162" s="52"/>
      <c r="F162" s="52"/>
      <c r="G162" s="52"/>
      <c r="H162" s="770"/>
      <c r="I162" s="52"/>
      <c r="J162" s="52"/>
      <c r="K162" s="52"/>
      <c r="L162" s="54"/>
    </row>
    <row r="163" spans="1:15">
      <c r="A163" s="52"/>
      <c r="B163" s="53"/>
      <c r="C163" s="52"/>
      <c r="D163" s="52"/>
      <c r="E163" s="52"/>
      <c r="F163" s="52"/>
      <c r="G163" s="52"/>
      <c r="H163" s="770"/>
      <c r="I163" s="52"/>
      <c r="J163" s="52"/>
      <c r="K163" s="52"/>
      <c r="L163" s="54"/>
    </row>
    <row r="164" spans="1:15">
      <c r="A164" s="52"/>
      <c r="B164" s="53"/>
      <c r="C164" s="52"/>
      <c r="D164" s="52"/>
      <c r="E164" s="52"/>
      <c r="F164" s="52"/>
      <c r="G164" s="52"/>
      <c r="H164" s="770"/>
      <c r="I164" s="52"/>
      <c r="J164" s="52"/>
      <c r="K164" s="52"/>
      <c r="L164" s="54"/>
    </row>
    <row r="165" spans="1:15">
      <c r="A165" s="52"/>
      <c r="B165" s="53"/>
      <c r="C165" s="52"/>
      <c r="D165" s="52"/>
      <c r="E165" s="52"/>
      <c r="F165" s="52"/>
      <c r="G165" s="52"/>
      <c r="H165" s="770"/>
      <c r="I165" s="52"/>
      <c r="J165" s="52"/>
      <c r="K165" s="52"/>
      <c r="L165" s="54"/>
    </row>
    <row r="166" spans="1:15">
      <c r="A166" s="52"/>
      <c r="B166" s="53"/>
      <c r="C166" s="52"/>
      <c r="D166" s="52"/>
      <c r="E166" s="52"/>
      <c r="F166" s="52"/>
      <c r="G166" s="52"/>
      <c r="H166" s="770"/>
      <c r="I166" s="52"/>
      <c r="J166" s="52"/>
      <c r="K166" s="52"/>
      <c r="L166" s="54"/>
      <c r="M166" s="55"/>
      <c r="N166" s="133" t="s">
        <v>12</v>
      </c>
      <c r="O166" s="418"/>
    </row>
    <row r="167" spans="1:15">
      <c r="A167" s="52"/>
      <c r="B167" s="53"/>
      <c r="C167" s="52"/>
      <c r="D167" s="52"/>
      <c r="E167" s="52"/>
      <c r="F167" s="52"/>
      <c r="G167" s="52"/>
      <c r="H167" s="770"/>
      <c r="I167" s="52"/>
      <c r="J167" s="52"/>
      <c r="K167" s="52"/>
      <c r="L167" s="54"/>
      <c r="M167" s="55"/>
      <c r="N167" s="133" t="s">
        <v>12</v>
      </c>
      <c r="O167" s="418"/>
    </row>
    <row r="168" spans="1:15">
      <c r="A168" s="52"/>
      <c r="B168" s="53"/>
      <c r="C168" s="52"/>
      <c r="D168" s="52"/>
      <c r="E168" s="52"/>
      <c r="F168" s="52"/>
      <c r="G168" s="52"/>
      <c r="H168" s="770"/>
      <c r="I168" s="52"/>
      <c r="J168" s="52"/>
      <c r="K168" s="52"/>
      <c r="L168" s="54"/>
      <c r="M168" s="55"/>
      <c r="N168" s="133" t="s">
        <v>12</v>
      </c>
      <c r="O168" s="418"/>
    </row>
    <row r="169" spans="1:15">
      <c r="A169" s="52"/>
      <c r="B169" s="53"/>
      <c r="C169" s="52"/>
      <c r="D169" s="52"/>
      <c r="E169" s="52"/>
      <c r="F169" s="52"/>
      <c r="G169" s="52"/>
      <c r="H169" s="770"/>
      <c r="I169" s="52"/>
      <c r="J169" s="52"/>
      <c r="K169" s="52"/>
      <c r="L169" s="54"/>
      <c r="M169" s="55"/>
      <c r="N169" s="133" t="s">
        <v>12</v>
      </c>
      <c r="O169" s="418"/>
    </row>
    <row r="170" spans="1:15">
      <c r="A170" s="52"/>
      <c r="B170" s="53"/>
      <c r="C170" s="52"/>
      <c r="D170" s="52"/>
      <c r="E170" s="52"/>
      <c r="F170" s="52"/>
      <c r="G170" s="52"/>
      <c r="H170" s="770"/>
      <c r="I170" s="52"/>
      <c r="J170" s="52"/>
      <c r="K170" s="52"/>
      <c r="L170" s="54"/>
      <c r="M170" s="55"/>
      <c r="N170" s="133" t="s">
        <v>12</v>
      </c>
      <c r="O170" s="418"/>
    </row>
    <row r="171" spans="1:15">
      <c r="A171" s="52"/>
      <c r="B171" s="53"/>
      <c r="C171" s="52"/>
      <c r="D171" s="52"/>
      <c r="E171" s="52"/>
      <c r="F171" s="52"/>
      <c r="G171" s="52"/>
      <c r="H171" s="770"/>
      <c r="I171" s="52"/>
      <c r="J171" s="52"/>
      <c r="K171" s="52"/>
      <c r="L171" s="54"/>
      <c r="M171" s="55"/>
      <c r="N171" s="133" t="s">
        <v>12</v>
      </c>
      <c r="O171" s="418"/>
    </row>
    <row r="172" spans="1:15">
      <c r="A172" s="52"/>
      <c r="B172" s="53"/>
      <c r="C172" s="52"/>
      <c r="D172" s="52"/>
      <c r="E172" s="52"/>
      <c r="F172" s="52"/>
      <c r="G172" s="52"/>
      <c r="H172" s="770"/>
      <c r="I172" s="52"/>
      <c r="J172" s="52"/>
      <c r="K172" s="52"/>
      <c r="L172" s="54"/>
      <c r="M172" s="55"/>
      <c r="N172" s="133" t="s">
        <v>12</v>
      </c>
      <c r="O172" s="418"/>
    </row>
    <row r="173" spans="1:15">
      <c r="A173" s="52"/>
      <c r="B173" s="53"/>
      <c r="C173" s="52"/>
      <c r="D173" s="52"/>
      <c r="E173" s="52"/>
      <c r="F173" s="52"/>
      <c r="G173" s="52"/>
      <c r="H173" s="770"/>
      <c r="I173" s="52"/>
      <c r="J173" s="52"/>
      <c r="K173" s="52"/>
      <c r="L173" s="54"/>
      <c r="M173" s="55"/>
      <c r="N173" s="133" t="s">
        <v>12</v>
      </c>
      <c r="O173" s="418"/>
    </row>
    <row r="174" spans="1:15">
      <c r="A174" s="52"/>
      <c r="B174" s="53"/>
      <c r="C174" s="52"/>
      <c r="D174" s="52"/>
      <c r="E174" s="52"/>
      <c r="F174" s="52"/>
      <c r="G174" s="52"/>
      <c r="H174" s="770"/>
      <c r="I174" s="52"/>
      <c r="J174" s="52"/>
      <c r="K174" s="52"/>
      <c r="L174" s="54"/>
      <c r="M174" s="55"/>
      <c r="N174" s="133" t="s">
        <v>12</v>
      </c>
      <c r="O174" s="418"/>
    </row>
    <row r="175" spans="1:15">
      <c r="A175" s="52"/>
      <c r="B175" s="53"/>
      <c r="C175" s="52"/>
      <c r="D175" s="52"/>
      <c r="E175" s="52"/>
      <c r="F175" s="52"/>
      <c r="G175" s="52"/>
      <c r="H175" s="770"/>
      <c r="I175" s="52"/>
      <c r="J175" s="52"/>
      <c r="K175" s="52"/>
      <c r="L175" s="57"/>
      <c r="M175" s="55"/>
      <c r="N175" s="133" t="s">
        <v>12</v>
      </c>
      <c r="O175" s="418"/>
    </row>
    <row r="176" spans="1:15">
      <c r="A176" s="52"/>
      <c r="B176" s="53"/>
      <c r="C176" s="52"/>
      <c r="D176" s="52"/>
      <c r="E176" s="52"/>
      <c r="F176" s="52"/>
      <c r="G176" s="52"/>
      <c r="H176" s="770"/>
      <c r="I176" s="52"/>
      <c r="J176" s="52"/>
      <c r="K176" s="52"/>
      <c r="L176" s="57"/>
      <c r="M176" s="55"/>
      <c r="N176" s="133" t="s">
        <v>12</v>
      </c>
      <c r="O176" s="418"/>
    </row>
    <row r="177" spans="1:15">
      <c r="A177" s="52"/>
      <c r="B177" s="53"/>
      <c r="C177" s="52"/>
      <c r="D177" s="52"/>
      <c r="E177" s="52"/>
      <c r="F177" s="52"/>
      <c r="G177" s="52"/>
      <c r="H177" s="770"/>
      <c r="I177" s="52"/>
      <c r="J177" s="52"/>
      <c r="K177" s="52"/>
      <c r="L177" s="57"/>
      <c r="M177" s="55"/>
      <c r="N177" s="133" t="s">
        <v>12</v>
      </c>
      <c r="O177" s="418"/>
    </row>
    <row r="178" spans="1:15">
      <c r="A178" s="52"/>
      <c r="B178" s="53"/>
      <c r="C178" s="52"/>
      <c r="D178" s="52"/>
      <c r="E178" s="52"/>
      <c r="F178" s="52"/>
      <c r="G178" s="52"/>
      <c r="H178" s="770"/>
      <c r="I178" s="52"/>
      <c r="J178" s="52"/>
      <c r="K178" s="52"/>
      <c r="L178" s="57"/>
      <c r="M178" s="55"/>
      <c r="N178" s="133" t="s">
        <v>12</v>
      </c>
      <c r="O178" s="418"/>
    </row>
    <row r="179" spans="1:15">
      <c r="A179" s="52"/>
      <c r="B179" s="53"/>
      <c r="C179" s="52"/>
      <c r="D179" s="52"/>
      <c r="E179" s="52"/>
      <c r="F179" s="52"/>
      <c r="G179" s="52"/>
      <c r="H179" s="770"/>
      <c r="I179" s="52"/>
      <c r="J179" s="52"/>
      <c r="K179" s="52"/>
      <c r="L179" s="57"/>
      <c r="M179" s="55"/>
      <c r="N179" s="133" t="s">
        <v>12</v>
      </c>
      <c r="O179" s="418"/>
    </row>
    <row r="180" spans="1:15">
      <c r="A180" s="52"/>
      <c r="B180" s="53"/>
      <c r="C180" s="52"/>
      <c r="D180" s="52"/>
      <c r="E180" s="52"/>
      <c r="F180" s="52"/>
      <c r="G180" s="52"/>
      <c r="H180" s="770"/>
      <c r="I180" s="52"/>
      <c r="J180" s="52"/>
      <c r="K180" s="52"/>
      <c r="L180" s="57"/>
      <c r="M180" s="55"/>
      <c r="N180" s="133" t="s">
        <v>12</v>
      </c>
      <c r="O180" s="418"/>
    </row>
    <row r="181" spans="1:15">
      <c r="A181" s="52"/>
      <c r="B181" s="53"/>
      <c r="C181" s="52"/>
      <c r="D181" s="52"/>
      <c r="E181" s="52"/>
      <c r="F181" s="52"/>
      <c r="G181" s="52"/>
      <c r="H181" s="770"/>
      <c r="I181" s="52"/>
      <c r="J181" s="52"/>
      <c r="K181" s="52"/>
      <c r="L181" s="57"/>
      <c r="M181" s="55"/>
      <c r="N181" s="133" t="s">
        <v>12</v>
      </c>
      <c r="O181" s="418"/>
    </row>
    <row r="182" spans="1:15">
      <c r="B182" s="38"/>
      <c r="L182" s="56"/>
      <c r="M182" s="58"/>
      <c r="N182" s="133" t="s">
        <v>12</v>
      </c>
      <c r="O182" s="418"/>
    </row>
    <row r="183" spans="1:15">
      <c r="B183" s="38"/>
      <c r="L183" s="56"/>
      <c r="M183" s="58"/>
      <c r="N183" s="133" t="s">
        <v>12</v>
      </c>
      <c r="O183" s="418"/>
    </row>
    <row r="184" spans="1:15">
      <c r="B184" s="38"/>
      <c r="L184" s="56"/>
      <c r="M184" s="58"/>
      <c r="N184" s="133" t="s">
        <v>12</v>
      </c>
      <c r="O184" s="418"/>
    </row>
    <row r="185" spans="1:15">
      <c r="B185" s="38"/>
      <c r="L185" s="56"/>
      <c r="M185" s="58"/>
      <c r="N185" s="133" t="s">
        <v>12</v>
      </c>
      <c r="O185" s="418"/>
    </row>
    <row r="186" spans="1:15">
      <c r="B186" s="38"/>
      <c r="L186" s="56"/>
      <c r="M186" s="58"/>
      <c r="N186" s="133" t="s">
        <v>12</v>
      </c>
      <c r="O186" s="418"/>
    </row>
    <row r="187" spans="1:15">
      <c r="B187" s="38"/>
      <c r="L187" s="56"/>
      <c r="M187" s="58"/>
      <c r="N187" s="133" t="s">
        <v>12</v>
      </c>
      <c r="O187" s="418"/>
    </row>
    <row r="188" spans="1:15">
      <c r="B188" s="38"/>
      <c r="L188" s="56"/>
      <c r="M188" s="58"/>
      <c r="N188" s="133" t="s">
        <v>12</v>
      </c>
      <c r="O188" s="418"/>
    </row>
    <row r="189" spans="1:15">
      <c r="B189" s="38"/>
      <c r="L189" s="56"/>
      <c r="M189" s="58"/>
      <c r="N189" s="133" t="s">
        <v>12</v>
      </c>
      <c r="O189" s="418"/>
    </row>
    <row r="190" spans="1:15">
      <c r="B190" s="38"/>
      <c r="L190" s="56"/>
      <c r="M190" s="58"/>
      <c r="N190" s="133" t="s">
        <v>12</v>
      </c>
      <c r="O190" s="418"/>
    </row>
    <row r="191" spans="1:15">
      <c r="B191" s="38"/>
      <c r="L191" s="56"/>
      <c r="M191" s="58"/>
      <c r="N191" s="133" t="s">
        <v>12</v>
      </c>
      <c r="O191" s="418"/>
    </row>
    <row r="192" spans="1:15">
      <c r="B192" s="38"/>
      <c r="L192" s="56"/>
      <c r="M192" s="58"/>
      <c r="N192" s="133" t="s">
        <v>12</v>
      </c>
      <c r="O192" s="418"/>
    </row>
    <row r="193" spans="2:15">
      <c r="B193" s="38"/>
      <c r="L193" s="56"/>
      <c r="M193" s="58"/>
      <c r="N193" s="133" t="s">
        <v>12</v>
      </c>
      <c r="O193" s="418"/>
    </row>
    <row r="194" spans="2:15">
      <c r="B194" s="38"/>
      <c r="L194" s="56"/>
      <c r="M194" s="58"/>
      <c r="N194" s="133" t="s">
        <v>12</v>
      </c>
      <c r="O194" s="418"/>
    </row>
    <row r="195" spans="2:15">
      <c r="B195" s="38"/>
      <c r="L195" s="56"/>
      <c r="M195" s="58"/>
      <c r="N195" s="133" t="s">
        <v>12</v>
      </c>
      <c r="O195" s="418"/>
    </row>
    <row r="196" spans="2:15">
      <c r="B196" s="38"/>
      <c r="L196" s="56"/>
      <c r="M196" s="58"/>
      <c r="N196" s="133" t="s">
        <v>12</v>
      </c>
      <c r="O196" s="418"/>
    </row>
    <row r="197" spans="2:15">
      <c r="B197" s="38"/>
      <c r="L197" s="56"/>
      <c r="M197" s="58"/>
      <c r="N197" s="133" t="s">
        <v>12</v>
      </c>
      <c r="O197" s="418"/>
    </row>
    <row r="198" spans="2:15">
      <c r="B198" s="38"/>
      <c r="L198" s="56"/>
      <c r="M198" s="58"/>
      <c r="N198" s="133" t="s">
        <v>12</v>
      </c>
      <c r="O198" s="418"/>
    </row>
    <row r="199" spans="2:15">
      <c r="B199" s="38"/>
      <c r="L199" s="56"/>
      <c r="M199" s="58"/>
      <c r="N199" s="133" t="s">
        <v>12</v>
      </c>
      <c r="O199" s="418"/>
    </row>
    <row r="200" spans="2:15">
      <c r="B200" s="38"/>
      <c r="L200" s="56"/>
      <c r="M200" s="58"/>
      <c r="N200" s="133" t="s">
        <v>12</v>
      </c>
      <c r="O200" s="418"/>
    </row>
    <row r="201" spans="2:15">
      <c r="B201" s="38"/>
      <c r="L201" s="56"/>
      <c r="M201" s="58"/>
      <c r="N201" s="133" t="s">
        <v>12</v>
      </c>
      <c r="O201" s="419"/>
    </row>
    <row r="202" spans="2:15">
      <c r="B202" s="38"/>
      <c r="L202" s="56"/>
      <c r="M202" s="58"/>
      <c r="N202" s="133" t="s">
        <v>12</v>
      </c>
      <c r="O202" s="419"/>
    </row>
    <row r="203" spans="2:15">
      <c r="B203" s="38"/>
      <c r="L203" s="56"/>
      <c r="M203" s="58"/>
      <c r="N203" s="133" t="s">
        <v>12</v>
      </c>
      <c r="O203" s="419"/>
    </row>
    <row r="204" spans="2:15">
      <c r="B204" s="38"/>
      <c r="L204" s="56"/>
      <c r="M204" s="58"/>
      <c r="N204" s="133" t="s">
        <v>12</v>
      </c>
      <c r="O204" s="419"/>
    </row>
    <row r="205" spans="2:15">
      <c r="B205" s="38"/>
      <c r="L205" s="56"/>
      <c r="M205" s="58"/>
      <c r="N205" s="133" t="s">
        <v>12</v>
      </c>
      <c r="O205" s="419"/>
    </row>
    <row r="206" spans="2:15">
      <c r="B206" s="38"/>
      <c r="L206" s="56"/>
      <c r="M206" s="58"/>
      <c r="N206" s="133" t="s">
        <v>12</v>
      </c>
      <c r="O206" s="419"/>
    </row>
    <row r="207" spans="2:15">
      <c r="B207" s="38"/>
      <c r="L207" s="56"/>
      <c r="M207" s="58"/>
      <c r="N207" s="133" t="s">
        <v>12</v>
      </c>
      <c r="O207" s="419"/>
    </row>
    <row r="208" spans="2:15">
      <c r="B208" s="38"/>
      <c r="L208" s="56"/>
      <c r="M208" s="58"/>
      <c r="N208" s="133" t="s">
        <v>12</v>
      </c>
      <c r="O208" s="419"/>
    </row>
    <row r="209" spans="2:15">
      <c r="B209" s="38"/>
      <c r="L209" s="56"/>
      <c r="M209" s="58"/>
      <c r="N209" s="133" t="s">
        <v>12</v>
      </c>
      <c r="O209" s="419"/>
    </row>
    <row r="210" spans="2:15">
      <c r="B210" s="38"/>
      <c r="L210" s="56"/>
      <c r="M210" s="58"/>
      <c r="N210" s="133" t="s">
        <v>12</v>
      </c>
      <c r="O210" s="419"/>
    </row>
    <row r="211" spans="2:15">
      <c r="B211" s="38"/>
      <c r="L211" s="56"/>
      <c r="M211" s="58"/>
      <c r="N211" s="133" t="s">
        <v>12</v>
      </c>
      <c r="O211" s="419"/>
    </row>
    <row r="212" spans="2:15">
      <c r="B212" s="38"/>
      <c r="L212" s="56"/>
      <c r="M212" s="58"/>
      <c r="N212" s="133" t="s">
        <v>12</v>
      </c>
      <c r="O212" s="419"/>
    </row>
    <row r="213" spans="2:15">
      <c r="B213" s="38"/>
      <c r="L213" s="56"/>
      <c r="M213" s="58"/>
      <c r="N213" s="133" t="s">
        <v>12</v>
      </c>
      <c r="O213" s="419"/>
    </row>
    <row r="214" spans="2:15">
      <c r="B214" s="38"/>
      <c r="L214" s="56"/>
      <c r="M214" s="58"/>
      <c r="N214" s="133" t="s">
        <v>12</v>
      </c>
      <c r="O214" s="419"/>
    </row>
    <row r="215" spans="2:15">
      <c r="B215" s="38"/>
      <c r="L215" s="56"/>
      <c r="M215" s="58"/>
      <c r="N215" s="133" t="s">
        <v>12</v>
      </c>
      <c r="O215" s="419"/>
    </row>
    <row r="216" spans="2:15">
      <c r="B216" s="38"/>
      <c r="L216" s="56"/>
      <c r="M216" s="58"/>
      <c r="N216" s="133" t="s">
        <v>12</v>
      </c>
      <c r="O216" s="419"/>
    </row>
    <row r="217" spans="2:15">
      <c r="B217" s="38"/>
      <c r="L217" s="56"/>
      <c r="M217" s="58"/>
      <c r="N217" s="133" t="s">
        <v>12</v>
      </c>
      <c r="O217" s="419"/>
    </row>
    <row r="218" spans="2:15">
      <c r="B218" s="38"/>
      <c r="L218" s="56"/>
      <c r="M218" s="58"/>
      <c r="N218" s="133" t="s">
        <v>12</v>
      </c>
      <c r="O218" s="419"/>
    </row>
    <row r="219" spans="2:15">
      <c r="B219" s="38"/>
      <c r="L219" s="56"/>
      <c r="M219" s="58"/>
      <c r="N219" s="133" t="s">
        <v>12</v>
      </c>
      <c r="O219" s="419"/>
    </row>
    <row r="220" spans="2:15">
      <c r="B220" s="38"/>
      <c r="L220" s="56"/>
      <c r="M220" s="58"/>
      <c r="N220" s="133" t="s">
        <v>12</v>
      </c>
      <c r="O220" s="419"/>
    </row>
    <row r="221" spans="2:15">
      <c r="B221" s="38"/>
      <c r="L221" s="56"/>
      <c r="M221" s="58"/>
      <c r="N221" s="133" t="s">
        <v>12</v>
      </c>
      <c r="O221" s="419"/>
    </row>
    <row r="222" spans="2:15">
      <c r="B222" s="38"/>
      <c r="L222" s="56"/>
      <c r="M222" s="58"/>
      <c r="N222" s="133" t="s">
        <v>12</v>
      </c>
      <c r="O222" s="419"/>
    </row>
    <row r="223" spans="2:15">
      <c r="B223" s="38"/>
      <c r="L223" s="56"/>
      <c r="M223" s="58"/>
      <c r="N223" s="133" t="s">
        <v>12</v>
      </c>
      <c r="O223" s="419"/>
    </row>
    <row r="224" spans="2:15">
      <c r="B224" s="38"/>
      <c r="L224" s="56"/>
      <c r="M224" s="58"/>
      <c r="N224" s="133" t="s">
        <v>12</v>
      </c>
      <c r="O224" s="419"/>
    </row>
    <row r="225" spans="2:15">
      <c r="B225" s="38"/>
      <c r="L225" s="56"/>
      <c r="M225" s="58"/>
      <c r="N225" s="133" t="s">
        <v>12</v>
      </c>
      <c r="O225" s="419"/>
    </row>
    <row r="226" spans="2:15">
      <c r="B226" s="38"/>
      <c r="L226" s="56"/>
      <c r="M226" s="58"/>
      <c r="N226" s="133" t="s">
        <v>12</v>
      </c>
      <c r="O226" s="419"/>
    </row>
    <row r="227" spans="2:15">
      <c r="B227" s="38"/>
      <c r="L227" s="56"/>
      <c r="M227" s="58"/>
      <c r="N227" s="133" t="s">
        <v>12</v>
      </c>
      <c r="O227" s="419"/>
    </row>
    <row r="228" spans="2:15">
      <c r="B228" s="38"/>
      <c r="L228" s="56"/>
      <c r="M228" s="58"/>
      <c r="N228" s="133" t="s">
        <v>12</v>
      </c>
      <c r="O228" s="419"/>
    </row>
    <row r="229" spans="2:15">
      <c r="B229" s="38"/>
      <c r="L229" s="56"/>
      <c r="M229" s="58"/>
      <c r="N229" s="133" t="s">
        <v>12</v>
      </c>
      <c r="O229" s="419"/>
    </row>
    <row r="230" spans="2:15">
      <c r="B230" s="38"/>
      <c r="L230" s="56"/>
      <c r="M230" s="58"/>
      <c r="N230" s="133" t="s">
        <v>12</v>
      </c>
      <c r="O230" s="419"/>
    </row>
    <row r="231" spans="2:15">
      <c r="B231" s="38"/>
      <c r="L231" s="56"/>
      <c r="M231" s="58"/>
      <c r="N231" s="133" t="s">
        <v>12</v>
      </c>
      <c r="O231" s="419"/>
    </row>
    <row r="232" spans="2:15">
      <c r="B232" s="38"/>
      <c r="L232" s="56"/>
      <c r="M232" s="58"/>
      <c r="N232" s="133" t="s">
        <v>12</v>
      </c>
      <c r="O232" s="419"/>
    </row>
    <row r="233" spans="2:15">
      <c r="B233" s="38"/>
      <c r="L233" s="56"/>
      <c r="M233" s="58"/>
      <c r="N233" s="133" t="s">
        <v>12</v>
      </c>
      <c r="O233" s="419"/>
    </row>
    <row r="234" spans="2:15">
      <c r="B234" s="38"/>
      <c r="L234" s="56"/>
      <c r="M234" s="58"/>
      <c r="N234" s="133" t="s">
        <v>12</v>
      </c>
      <c r="O234" s="419"/>
    </row>
    <row r="235" spans="2:15">
      <c r="B235" s="38"/>
      <c r="L235" s="56"/>
      <c r="M235" s="58"/>
      <c r="N235" s="133" t="s">
        <v>12</v>
      </c>
      <c r="O235" s="419"/>
    </row>
    <row r="236" spans="2:15">
      <c r="B236" s="38"/>
      <c r="L236" s="56"/>
      <c r="M236" s="58"/>
      <c r="N236" s="133" t="s">
        <v>12</v>
      </c>
      <c r="O236" s="419"/>
    </row>
    <row r="237" spans="2:15">
      <c r="B237" s="38"/>
      <c r="L237" s="56"/>
      <c r="M237" s="58"/>
      <c r="N237" s="133" t="s">
        <v>12</v>
      </c>
      <c r="O237" s="419"/>
    </row>
    <row r="238" spans="2:15">
      <c r="B238" s="38"/>
      <c r="L238" s="56"/>
      <c r="M238" s="58"/>
      <c r="N238" s="133" t="s">
        <v>12</v>
      </c>
      <c r="O238" s="419"/>
    </row>
    <row r="239" spans="2:15">
      <c r="B239" s="38"/>
      <c r="L239" s="56"/>
      <c r="M239" s="58"/>
      <c r="N239" s="133" t="s">
        <v>12</v>
      </c>
      <c r="O239" s="419"/>
    </row>
    <row r="240" spans="2:15">
      <c r="B240" s="38"/>
      <c r="L240" s="56"/>
      <c r="M240" s="58"/>
      <c r="N240" s="133" t="s">
        <v>12</v>
      </c>
      <c r="O240" s="419"/>
    </row>
    <row r="241" spans="2:15">
      <c r="B241" s="38"/>
      <c r="L241" s="56"/>
      <c r="M241" s="58"/>
      <c r="N241" s="133" t="s">
        <v>12</v>
      </c>
      <c r="O241" s="419"/>
    </row>
    <row r="242" spans="2:15">
      <c r="B242" s="38"/>
      <c r="L242" s="56"/>
      <c r="M242" s="58"/>
      <c r="N242" s="133" t="s">
        <v>12</v>
      </c>
      <c r="O242" s="419"/>
    </row>
    <row r="243" spans="2:15">
      <c r="B243" s="38"/>
      <c r="L243" s="56"/>
      <c r="M243" s="58"/>
      <c r="N243" s="133" t="s">
        <v>12</v>
      </c>
      <c r="O243" s="419"/>
    </row>
    <row r="244" spans="2:15">
      <c r="B244" s="38"/>
      <c r="L244" s="56"/>
      <c r="M244" s="58"/>
      <c r="N244" s="133" t="s">
        <v>12</v>
      </c>
      <c r="O244" s="419"/>
    </row>
    <row r="245" spans="2:15">
      <c r="B245" s="38"/>
      <c r="L245" s="56"/>
      <c r="M245" s="58"/>
      <c r="N245" s="133" t="s">
        <v>12</v>
      </c>
      <c r="O245" s="419"/>
    </row>
    <row r="246" spans="2:15">
      <c r="B246" s="38"/>
      <c r="L246" s="56"/>
      <c r="M246" s="58"/>
      <c r="N246" s="133" t="s">
        <v>12</v>
      </c>
      <c r="O246" s="419"/>
    </row>
    <row r="247" spans="2:15">
      <c r="B247" s="38"/>
      <c r="L247" s="56"/>
      <c r="M247" s="58"/>
      <c r="N247" s="133" t="s">
        <v>12</v>
      </c>
      <c r="O247" s="419"/>
    </row>
    <row r="248" spans="2:15">
      <c r="B248" s="38"/>
      <c r="L248" s="56"/>
      <c r="M248" s="58"/>
      <c r="N248" s="133" t="s">
        <v>12</v>
      </c>
      <c r="O248" s="419"/>
    </row>
    <row r="249" spans="2:15">
      <c r="B249" s="38"/>
      <c r="L249" s="56"/>
      <c r="M249" s="58"/>
      <c r="N249" s="133" t="s">
        <v>12</v>
      </c>
      <c r="O249" s="419"/>
    </row>
    <row r="250" spans="2:15">
      <c r="B250" s="38"/>
      <c r="L250" s="56"/>
      <c r="M250" s="58"/>
      <c r="N250" s="133" t="s">
        <v>12</v>
      </c>
      <c r="O250" s="419"/>
    </row>
    <row r="251" spans="2:15">
      <c r="B251" s="38"/>
      <c r="L251" s="56"/>
      <c r="M251" s="58"/>
      <c r="N251" s="133" t="s">
        <v>12</v>
      </c>
      <c r="O251" s="419"/>
    </row>
    <row r="252" spans="2:15">
      <c r="B252" s="38"/>
      <c r="L252" s="56"/>
      <c r="M252" s="58"/>
      <c r="N252" s="133" t="s">
        <v>12</v>
      </c>
      <c r="O252" s="419"/>
    </row>
    <row r="253" spans="2:15">
      <c r="B253" s="38"/>
      <c r="L253" s="56"/>
      <c r="M253" s="58"/>
      <c r="N253" s="133" t="s">
        <v>12</v>
      </c>
      <c r="O253" s="419"/>
    </row>
    <row r="254" spans="2:15">
      <c r="B254" s="38"/>
      <c r="L254" s="56"/>
      <c r="M254" s="58"/>
      <c r="N254" s="133" t="s">
        <v>12</v>
      </c>
      <c r="O254" s="419"/>
    </row>
    <row r="255" spans="2:15">
      <c r="B255" s="38"/>
      <c r="L255" s="56"/>
      <c r="M255" s="58"/>
      <c r="N255" s="133" t="s">
        <v>12</v>
      </c>
      <c r="O255" s="419"/>
    </row>
    <row r="256" spans="2:15">
      <c r="B256" s="38"/>
      <c r="L256" s="56"/>
      <c r="M256" s="58"/>
      <c r="N256" s="133" t="s">
        <v>12</v>
      </c>
      <c r="O256" s="419"/>
    </row>
    <row r="257" spans="2:15">
      <c r="B257" s="38"/>
      <c r="L257" s="56"/>
      <c r="M257" s="58"/>
      <c r="N257" s="133" t="s">
        <v>12</v>
      </c>
      <c r="O257" s="419"/>
    </row>
    <row r="258" spans="2:15">
      <c r="B258" s="38"/>
      <c r="L258" s="56"/>
      <c r="M258" s="58"/>
      <c r="N258" s="133" t="s">
        <v>12</v>
      </c>
      <c r="O258" s="419"/>
    </row>
    <row r="259" spans="2:15">
      <c r="B259" s="38"/>
      <c r="L259" s="56"/>
      <c r="M259" s="58"/>
      <c r="N259" s="133" t="s">
        <v>12</v>
      </c>
      <c r="O259" s="419"/>
    </row>
    <row r="260" spans="2:15">
      <c r="B260" s="38"/>
      <c r="L260" s="56"/>
      <c r="M260" s="58"/>
      <c r="N260" s="133" t="s">
        <v>12</v>
      </c>
      <c r="O260" s="419"/>
    </row>
    <row r="261" spans="2:15">
      <c r="B261" s="38"/>
      <c r="L261" s="56"/>
      <c r="M261" s="58"/>
      <c r="N261" s="133" t="s">
        <v>12</v>
      </c>
      <c r="O261" s="419"/>
    </row>
    <row r="262" spans="2:15">
      <c r="B262" s="38"/>
      <c r="L262" s="56"/>
      <c r="M262" s="58"/>
      <c r="N262" s="133" t="s">
        <v>12</v>
      </c>
      <c r="O262" s="419"/>
    </row>
    <row r="263" spans="2:15">
      <c r="B263" s="38"/>
      <c r="L263" s="56"/>
      <c r="M263" s="58"/>
      <c r="N263" s="133" t="s">
        <v>12</v>
      </c>
      <c r="O263" s="419"/>
    </row>
    <row r="264" spans="2:15">
      <c r="B264" s="38"/>
      <c r="L264" s="56"/>
      <c r="M264" s="58"/>
      <c r="N264" s="133" t="s">
        <v>12</v>
      </c>
      <c r="O264" s="419"/>
    </row>
    <row r="265" spans="2:15">
      <c r="B265" s="38"/>
      <c r="L265" s="56"/>
      <c r="M265" s="58"/>
      <c r="N265" s="133" t="s">
        <v>12</v>
      </c>
      <c r="O265" s="419"/>
    </row>
    <row r="266" spans="2:15">
      <c r="B266" s="38"/>
      <c r="L266" s="56"/>
      <c r="M266" s="58"/>
      <c r="N266" s="133" t="s">
        <v>12</v>
      </c>
      <c r="O266" s="56"/>
    </row>
    <row r="267" spans="2:15">
      <c r="B267" s="38"/>
      <c r="L267" s="56"/>
      <c r="M267" s="58"/>
      <c r="N267" s="133" t="s">
        <v>12</v>
      </c>
      <c r="O267" s="56"/>
    </row>
    <row r="268" spans="2:15">
      <c r="B268" s="38"/>
      <c r="L268" s="56"/>
      <c r="M268" s="58"/>
      <c r="N268" s="133" t="s">
        <v>12</v>
      </c>
      <c r="O268" s="56"/>
    </row>
    <row r="269" spans="2:15">
      <c r="B269" s="38"/>
      <c r="L269" s="56"/>
      <c r="M269" s="58"/>
      <c r="N269" s="133" t="s">
        <v>12</v>
      </c>
      <c r="O269" s="56"/>
    </row>
    <row r="270" spans="2:15">
      <c r="B270" s="38"/>
      <c r="L270" s="56"/>
      <c r="M270" s="58"/>
      <c r="N270" s="133" t="s">
        <v>12</v>
      </c>
      <c r="O270" s="56"/>
    </row>
    <row r="271" spans="2:15">
      <c r="B271" s="38"/>
      <c r="L271" s="56"/>
      <c r="M271" s="58"/>
      <c r="N271" s="133" t="s">
        <v>12</v>
      </c>
      <c r="O271" s="56"/>
    </row>
    <row r="272" spans="2:15">
      <c r="B272" s="38"/>
      <c r="L272" s="56"/>
      <c r="M272" s="58"/>
      <c r="N272" s="133" t="s">
        <v>12</v>
      </c>
      <c r="O272" s="56"/>
    </row>
    <row r="273" spans="2:15">
      <c r="B273" s="38"/>
      <c r="L273" s="56"/>
      <c r="M273" s="58"/>
      <c r="N273" s="133" t="s">
        <v>12</v>
      </c>
      <c r="O273" s="56"/>
    </row>
    <row r="274" spans="2:15">
      <c r="B274" s="38"/>
      <c r="L274" s="56"/>
      <c r="M274" s="58"/>
      <c r="N274" s="133" t="s">
        <v>12</v>
      </c>
      <c r="O274" s="56"/>
    </row>
    <row r="275" spans="2:15">
      <c r="B275" s="38"/>
      <c r="L275" s="56"/>
      <c r="M275" s="58"/>
      <c r="N275" s="133" t="s">
        <v>12</v>
      </c>
      <c r="O275" s="56"/>
    </row>
    <row r="276" spans="2:15">
      <c r="B276" s="38"/>
      <c r="L276" s="56"/>
      <c r="M276" s="58"/>
      <c r="N276" s="133" t="s">
        <v>12</v>
      </c>
      <c r="O276" s="56"/>
    </row>
    <row r="277" spans="2:15">
      <c r="B277" s="38"/>
      <c r="L277" s="56"/>
      <c r="M277" s="58"/>
      <c r="N277" s="133" t="s">
        <v>12</v>
      </c>
      <c r="O277" s="56"/>
    </row>
    <row r="278" spans="2:15">
      <c r="B278" s="38"/>
      <c r="L278" s="56"/>
      <c r="M278" s="58"/>
      <c r="N278" s="133" t="s">
        <v>12</v>
      </c>
      <c r="O278" s="56"/>
    </row>
    <row r="279" spans="2:15">
      <c r="B279" s="38"/>
      <c r="L279" s="56"/>
      <c r="M279" s="58"/>
      <c r="N279" s="133" t="s">
        <v>12</v>
      </c>
      <c r="O279" s="56"/>
    </row>
    <row r="280" spans="2:15">
      <c r="B280" s="38"/>
      <c r="L280" s="56"/>
      <c r="M280" s="58"/>
      <c r="N280" s="133" t="s">
        <v>12</v>
      </c>
      <c r="O280" s="56"/>
    </row>
    <row r="281" spans="2:15">
      <c r="B281" s="38"/>
      <c r="L281" s="56"/>
      <c r="M281" s="58"/>
      <c r="N281" s="133" t="s">
        <v>12</v>
      </c>
      <c r="O281" s="56"/>
    </row>
    <row r="282" spans="2:15">
      <c r="B282" s="38"/>
      <c r="L282" s="56"/>
      <c r="M282" s="58"/>
      <c r="N282" s="133" t="s">
        <v>12</v>
      </c>
      <c r="O282" s="56"/>
    </row>
    <row r="283" spans="2:15">
      <c r="B283" s="38"/>
      <c r="L283" s="56"/>
      <c r="M283" s="58"/>
      <c r="N283" s="133" t="s">
        <v>12</v>
      </c>
      <c r="O283" s="56"/>
    </row>
    <row r="284" spans="2:15">
      <c r="B284" s="38"/>
      <c r="L284" s="56"/>
      <c r="M284" s="58"/>
      <c r="N284" s="133" t="s">
        <v>12</v>
      </c>
      <c r="O284" s="56"/>
    </row>
    <row r="285" spans="2:15">
      <c r="B285" s="38"/>
      <c r="L285" s="56"/>
      <c r="M285" s="58"/>
      <c r="N285" s="133" t="s">
        <v>12</v>
      </c>
      <c r="O285" s="56"/>
    </row>
    <row r="286" spans="2:15">
      <c r="B286" s="38"/>
      <c r="L286" s="56"/>
      <c r="M286" s="58"/>
      <c r="N286" s="133" t="s">
        <v>12</v>
      </c>
      <c r="O286" s="56"/>
    </row>
    <row r="287" spans="2:15">
      <c r="B287" s="38"/>
      <c r="L287" s="56"/>
      <c r="M287" s="58"/>
      <c r="N287" s="133" t="s">
        <v>12</v>
      </c>
      <c r="O287" s="56"/>
    </row>
    <row r="288" spans="2:15">
      <c r="B288" s="38"/>
      <c r="L288" s="56"/>
      <c r="M288" s="58"/>
      <c r="N288" s="133" t="s">
        <v>12</v>
      </c>
      <c r="O288" s="56"/>
    </row>
    <row r="289" spans="2:15">
      <c r="B289" s="38"/>
      <c r="L289" s="56"/>
      <c r="M289" s="58"/>
      <c r="N289" s="133" t="s">
        <v>12</v>
      </c>
      <c r="O289" s="56"/>
    </row>
    <row r="290" spans="2:15">
      <c r="B290" s="38"/>
      <c r="L290" s="56"/>
      <c r="M290" s="58"/>
      <c r="N290" s="133" t="s">
        <v>12</v>
      </c>
      <c r="O290" s="56"/>
    </row>
    <row r="291" spans="2:15">
      <c r="B291" s="38"/>
      <c r="L291" s="56"/>
      <c r="M291" s="58"/>
      <c r="N291" s="133" t="s">
        <v>12</v>
      </c>
      <c r="O291" s="56"/>
    </row>
    <row r="292" spans="2:15">
      <c r="B292" s="38"/>
      <c r="L292" s="56"/>
      <c r="M292" s="58"/>
      <c r="N292" s="133" t="s">
        <v>12</v>
      </c>
      <c r="O292" s="56"/>
    </row>
    <row r="293" spans="2:15">
      <c r="B293" s="38"/>
      <c r="L293" s="56"/>
      <c r="M293" s="58"/>
      <c r="N293" s="133" t="s">
        <v>12</v>
      </c>
      <c r="O293" s="56"/>
    </row>
    <row r="294" spans="2:15">
      <c r="B294" s="38"/>
      <c r="L294" s="56"/>
      <c r="M294" s="58"/>
      <c r="N294" s="133" t="s">
        <v>12</v>
      </c>
      <c r="O294" s="56"/>
    </row>
    <row r="295" spans="2:15">
      <c r="B295" s="38"/>
      <c r="L295" s="56"/>
      <c r="M295" s="58"/>
      <c r="N295" s="133" t="s">
        <v>12</v>
      </c>
      <c r="O295" s="56"/>
    </row>
    <row r="296" spans="2:15">
      <c r="B296" s="38"/>
      <c r="L296" s="56"/>
      <c r="M296" s="58"/>
      <c r="N296" s="133" t="s">
        <v>12</v>
      </c>
      <c r="O296" s="56"/>
    </row>
    <row r="297" spans="2:15">
      <c r="B297" s="38"/>
      <c r="L297" s="56"/>
      <c r="M297" s="58"/>
      <c r="N297" s="133" t="s">
        <v>12</v>
      </c>
      <c r="O297" s="56"/>
    </row>
    <row r="298" spans="2:15">
      <c r="B298" s="38"/>
      <c r="L298" s="56"/>
      <c r="M298" s="58"/>
      <c r="N298" s="133" t="s">
        <v>12</v>
      </c>
      <c r="O298" s="56"/>
    </row>
    <row r="299" spans="2:15">
      <c r="B299" s="38"/>
      <c r="L299" s="56"/>
      <c r="M299" s="58"/>
      <c r="N299" s="133" t="s">
        <v>12</v>
      </c>
      <c r="O299" s="56"/>
    </row>
    <row r="300" spans="2:15">
      <c r="B300" s="38"/>
      <c r="L300" s="56"/>
      <c r="M300" s="58"/>
      <c r="N300" s="133" t="s">
        <v>12</v>
      </c>
      <c r="O300" s="56"/>
    </row>
    <row r="301" spans="2:15">
      <c r="B301" s="38"/>
      <c r="L301" s="56"/>
      <c r="M301" s="58"/>
      <c r="N301" s="133" t="s">
        <v>12</v>
      </c>
      <c r="O301" s="56"/>
    </row>
    <row r="302" spans="2:15">
      <c r="B302" s="38"/>
      <c r="L302" s="56"/>
      <c r="M302" s="58"/>
      <c r="N302" s="133" t="s">
        <v>12</v>
      </c>
      <c r="O302" s="56"/>
    </row>
    <row r="303" spans="2:15">
      <c r="B303" s="38"/>
      <c r="L303" s="56"/>
      <c r="M303" s="58"/>
      <c r="N303" s="133" t="s">
        <v>12</v>
      </c>
      <c r="O303" s="56"/>
    </row>
    <row r="304" spans="2:15">
      <c r="B304" s="38"/>
      <c r="L304" s="56"/>
      <c r="M304" s="58"/>
      <c r="N304" s="133" t="s">
        <v>12</v>
      </c>
      <c r="O304" s="56"/>
    </row>
    <row r="305" spans="2:15">
      <c r="B305" s="38"/>
      <c r="L305" s="56"/>
      <c r="M305" s="58"/>
      <c r="N305" s="133" t="s">
        <v>12</v>
      </c>
      <c r="O305" s="56"/>
    </row>
    <row r="306" spans="2:15">
      <c r="B306" s="38"/>
      <c r="L306" s="56"/>
      <c r="M306" s="58"/>
      <c r="N306" s="133" t="s">
        <v>12</v>
      </c>
      <c r="O306" s="56"/>
    </row>
    <row r="307" spans="2:15">
      <c r="B307" s="38"/>
      <c r="L307" s="56"/>
      <c r="M307" s="58"/>
      <c r="N307" s="133" t="s">
        <v>12</v>
      </c>
      <c r="O307" s="56"/>
    </row>
    <row r="308" spans="2:15">
      <c r="B308" s="38"/>
      <c r="L308" s="56"/>
      <c r="M308" s="58"/>
      <c r="N308" s="133" t="s">
        <v>12</v>
      </c>
      <c r="O308" s="56"/>
    </row>
    <row r="309" spans="2:15">
      <c r="B309" s="38"/>
      <c r="L309" s="56"/>
      <c r="M309" s="58"/>
      <c r="N309" s="133" t="s">
        <v>12</v>
      </c>
      <c r="O309" s="56"/>
    </row>
    <row r="310" spans="2:15">
      <c r="B310" s="38"/>
      <c r="L310" s="56"/>
      <c r="M310" s="58"/>
      <c r="N310" s="133" t="s">
        <v>12</v>
      </c>
      <c r="O310" s="56"/>
    </row>
    <row r="311" spans="2:15">
      <c r="B311" s="38"/>
      <c r="L311" s="56"/>
      <c r="M311" s="58"/>
      <c r="N311" s="133" t="s">
        <v>12</v>
      </c>
      <c r="O311" s="56"/>
    </row>
    <row r="312" spans="2:15">
      <c r="B312" s="38"/>
      <c r="L312" s="56"/>
      <c r="M312" s="58"/>
      <c r="N312" s="133" t="s">
        <v>12</v>
      </c>
      <c r="O312" s="56"/>
    </row>
    <row r="313" spans="2:15">
      <c r="B313" s="38"/>
      <c r="L313" s="56"/>
      <c r="M313" s="58"/>
      <c r="N313" s="133" t="s">
        <v>12</v>
      </c>
      <c r="O313" s="56"/>
    </row>
    <row r="314" spans="2:15">
      <c r="B314" s="38"/>
      <c r="L314" s="56"/>
      <c r="M314" s="58"/>
      <c r="N314" s="133" t="s">
        <v>12</v>
      </c>
      <c r="O314" s="56"/>
    </row>
    <row r="315" spans="2:15">
      <c r="B315" s="38"/>
      <c r="L315" s="56"/>
      <c r="M315" s="58"/>
      <c r="N315" s="133" t="s">
        <v>12</v>
      </c>
      <c r="O315" s="56"/>
    </row>
    <row r="316" spans="2:15">
      <c r="B316" s="38"/>
      <c r="L316" s="56"/>
      <c r="M316" s="58"/>
      <c r="N316" s="133" t="s">
        <v>12</v>
      </c>
      <c r="O316" s="56"/>
    </row>
    <row r="317" spans="2:15">
      <c r="B317" s="38"/>
      <c r="L317" s="56"/>
      <c r="M317" s="58"/>
      <c r="N317" s="133" t="s">
        <v>12</v>
      </c>
      <c r="O317" s="56"/>
    </row>
    <row r="318" spans="2:15">
      <c r="B318" s="38"/>
      <c r="L318" s="56"/>
      <c r="M318" s="58"/>
      <c r="N318" s="133" t="s">
        <v>12</v>
      </c>
      <c r="O318" s="56"/>
    </row>
    <row r="319" spans="2:15">
      <c r="B319" s="38"/>
      <c r="L319" s="56"/>
      <c r="M319" s="58"/>
      <c r="N319" s="133" t="s">
        <v>12</v>
      </c>
      <c r="O319" s="56"/>
    </row>
    <row r="320" spans="2:15">
      <c r="B320" s="38"/>
      <c r="L320" s="56"/>
      <c r="M320" s="58"/>
      <c r="N320" s="133" t="s">
        <v>12</v>
      </c>
      <c r="O320" s="56"/>
    </row>
    <row r="321" spans="2:15">
      <c r="B321" s="38"/>
      <c r="L321" s="56"/>
      <c r="M321" s="58"/>
      <c r="N321" s="133" t="s">
        <v>12</v>
      </c>
      <c r="O321" s="56"/>
    </row>
    <row r="322" spans="2:15">
      <c r="B322" s="38"/>
      <c r="L322" s="56"/>
      <c r="M322" s="58"/>
      <c r="N322" s="133" t="s">
        <v>12</v>
      </c>
      <c r="O322" s="56"/>
    </row>
    <row r="323" spans="2:15">
      <c r="B323" s="38"/>
      <c r="L323" s="56"/>
      <c r="M323" s="58"/>
      <c r="N323" s="133" t="s">
        <v>12</v>
      </c>
      <c r="O323" s="56"/>
    </row>
    <row r="324" spans="2:15">
      <c r="B324" s="38"/>
      <c r="L324" s="56"/>
      <c r="M324" s="58"/>
      <c r="N324" s="133" t="s">
        <v>12</v>
      </c>
      <c r="O324" s="56"/>
    </row>
    <row r="325" spans="2:15">
      <c r="B325" s="38"/>
      <c r="L325" s="56"/>
      <c r="M325" s="58"/>
      <c r="N325" s="133" t="s">
        <v>12</v>
      </c>
      <c r="O325" s="56"/>
    </row>
    <row r="326" spans="2:15">
      <c r="B326" s="38"/>
      <c r="L326" s="56"/>
      <c r="M326" s="58"/>
      <c r="N326" s="133" t="s">
        <v>12</v>
      </c>
      <c r="O326" s="56"/>
    </row>
    <row r="327" spans="2:15">
      <c r="B327" s="38"/>
      <c r="L327" s="56"/>
      <c r="M327" s="58"/>
      <c r="N327" s="133" t="s">
        <v>12</v>
      </c>
      <c r="O327" s="56"/>
    </row>
    <row r="328" spans="2:15">
      <c r="B328" s="38"/>
      <c r="L328" s="56"/>
      <c r="M328" s="58"/>
      <c r="N328" s="133" t="s">
        <v>12</v>
      </c>
      <c r="O328" s="56"/>
    </row>
    <row r="329" spans="2:15">
      <c r="B329" s="38"/>
      <c r="L329" s="56"/>
      <c r="M329" s="58"/>
      <c r="N329" s="133" t="s">
        <v>12</v>
      </c>
      <c r="O329" s="56"/>
    </row>
    <row r="330" spans="2:15">
      <c r="B330" s="38"/>
      <c r="L330" s="56"/>
      <c r="M330" s="58"/>
      <c r="N330" s="133" t="s">
        <v>12</v>
      </c>
      <c r="O330" s="56"/>
    </row>
    <row r="331" spans="2:15">
      <c r="B331" s="38"/>
      <c r="L331" s="56"/>
      <c r="M331" s="58"/>
      <c r="N331" s="133" t="s">
        <v>12</v>
      </c>
      <c r="O331" s="56"/>
    </row>
    <row r="332" spans="2:15">
      <c r="B332" s="38"/>
      <c r="L332" s="56"/>
      <c r="M332" s="58"/>
      <c r="N332" s="133" t="s">
        <v>12</v>
      </c>
      <c r="O332" s="56"/>
    </row>
    <row r="333" spans="2:15">
      <c r="B333" s="38"/>
    </row>
    <row r="334" spans="2:15">
      <c r="B334" s="38"/>
    </row>
    <row r="335" spans="2:15">
      <c r="B335" s="38"/>
    </row>
    <row r="336" spans="2:15">
      <c r="B336" s="38"/>
    </row>
    <row r="337" spans="2:2">
      <c r="B337" s="38"/>
    </row>
    <row r="338" spans="2:2">
      <c r="B338" s="38"/>
    </row>
    <row r="339" spans="2:2">
      <c r="B339" s="38"/>
    </row>
    <row r="340" spans="2:2">
      <c r="B340" s="38"/>
    </row>
    <row r="341" spans="2:2">
      <c r="B341" s="38"/>
    </row>
    <row r="342" spans="2:2">
      <c r="B342" s="38"/>
    </row>
    <row r="343" spans="2:2">
      <c r="B343" s="38"/>
    </row>
    <row r="344" spans="2:2">
      <c r="B344" s="38"/>
    </row>
    <row r="345" spans="2:2">
      <c r="B345" s="38"/>
    </row>
    <row r="346" spans="2:2">
      <c r="B346" s="38"/>
    </row>
    <row r="347" spans="2:2">
      <c r="B347" s="38"/>
    </row>
    <row r="348" spans="2:2">
      <c r="B348" s="38"/>
    </row>
    <row r="349" spans="2:2">
      <c r="B349" s="38"/>
    </row>
    <row r="350" spans="2:2">
      <c r="B350" s="38"/>
    </row>
    <row r="351" spans="2:2">
      <c r="B351" s="38"/>
    </row>
    <row r="352" spans="2:2">
      <c r="B352" s="38"/>
    </row>
    <row r="353" spans="2:2">
      <c r="B353" s="38"/>
    </row>
    <row r="354" spans="2:2">
      <c r="B354" s="38"/>
    </row>
    <row r="355" spans="2:2">
      <c r="B355" s="38"/>
    </row>
    <row r="356" spans="2:2">
      <c r="B356" s="38"/>
    </row>
    <row r="357" spans="2:2">
      <c r="B357" s="38"/>
    </row>
    <row r="358" spans="2:2">
      <c r="B358" s="38"/>
    </row>
    <row r="359" spans="2:2">
      <c r="B359" s="38"/>
    </row>
    <row r="360" spans="2:2">
      <c r="B360" s="38"/>
    </row>
    <row r="361" spans="2:2">
      <c r="B361" s="38"/>
    </row>
    <row r="362" spans="2:2">
      <c r="B362" s="38"/>
    </row>
    <row r="363" spans="2:2">
      <c r="B363" s="38"/>
    </row>
    <row r="364" spans="2:2">
      <c r="B364" s="38"/>
    </row>
    <row r="365" spans="2:2">
      <c r="B365" s="38"/>
    </row>
    <row r="366" spans="2:2">
      <c r="B366" s="38"/>
    </row>
    <row r="367" spans="2:2">
      <c r="B367" s="38"/>
    </row>
    <row r="368" spans="2:2">
      <c r="B368" s="38"/>
    </row>
    <row r="369" spans="2:2">
      <c r="B369" s="38"/>
    </row>
    <row r="370" spans="2:2">
      <c r="B370" s="38"/>
    </row>
    <row r="371" spans="2:2">
      <c r="B371" s="38"/>
    </row>
    <row r="372" spans="2:2">
      <c r="B372" s="38"/>
    </row>
    <row r="373" spans="2:2">
      <c r="B373" s="38"/>
    </row>
    <row r="374" spans="2:2">
      <c r="B374" s="38"/>
    </row>
    <row r="375" spans="2:2">
      <c r="B375" s="38"/>
    </row>
    <row r="376" spans="2:2">
      <c r="B376" s="38"/>
    </row>
    <row r="377" spans="2:2">
      <c r="B377" s="38"/>
    </row>
    <row r="378" spans="2:2">
      <c r="B378" s="38"/>
    </row>
    <row r="379" spans="2:2">
      <c r="B379" s="38"/>
    </row>
    <row r="380" spans="2:2">
      <c r="B380" s="38"/>
    </row>
    <row r="381" spans="2:2">
      <c r="B381" s="38"/>
    </row>
    <row r="382" spans="2:2">
      <c r="B382" s="38"/>
    </row>
    <row r="383" spans="2:2">
      <c r="B383" s="38"/>
    </row>
    <row r="384" spans="2:2">
      <c r="B384" s="38"/>
    </row>
    <row r="385" spans="2:2">
      <c r="B385" s="38"/>
    </row>
    <row r="386" spans="2:2">
      <c r="B386" s="38"/>
    </row>
    <row r="387" spans="2:2">
      <c r="B387" s="38"/>
    </row>
    <row r="388" spans="2:2">
      <c r="B388" s="38"/>
    </row>
    <row r="389" spans="2:2">
      <c r="B389" s="38"/>
    </row>
    <row r="390" spans="2:2">
      <c r="B390" s="38"/>
    </row>
    <row r="391" spans="2:2">
      <c r="B391" s="38"/>
    </row>
    <row r="392" spans="2:2">
      <c r="B392" s="38"/>
    </row>
    <row r="393" spans="2:2">
      <c r="B393" s="38"/>
    </row>
    <row r="394" spans="2:2">
      <c r="B394" s="38"/>
    </row>
    <row r="395" spans="2:2">
      <c r="B395" s="38"/>
    </row>
    <row r="396" spans="2:2">
      <c r="B396" s="38"/>
    </row>
    <row r="397" spans="2:2">
      <c r="B397" s="38"/>
    </row>
    <row r="398" spans="2:2">
      <c r="B398" s="38"/>
    </row>
    <row r="399" spans="2:2">
      <c r="B399" s="38"/>
    </row>
    <row r="400" spans="2:2">
      <c r="B400" s="38"/>
    </row>
    <row r="401" spans="2:2">
      <c r="B401" s="38"/>
    </row>
    <row r="402" spans="2:2">
      <c r="B402" s="38"/>
    </row>
    <row r="403" spans="2:2">
      <c r="B403" s="38"/>
    </row>
    <row r="404" spans="2:2">
      <c r="B404" s="38"/>
    </row>
    <row r="405" spans="2:2">
      <c r="B405" s="38"/>
    </row>
    <row r="406" spans="2:2">
      <c r="B406" s="38"/>
    </row>
    <row r="407" spans="2:2">
      <c r="B407" s="38"/>
    </row>
    <row r="408" spans="2:2">
      <c r="B408" s="38"/>
    </row>
    <row r="409" spans="2:2">
      <c r="B409" s="38"/>
    </row>
    <row r="410" spans="2:2">
      <c r="B410" s="38"/>
    </row>
    <row r="411" spans="2:2">
      <c r="B411" s="38"/>
    </row>
    <row r="412" spans="2:2">
      <c r="B412" s="38"/>
    </row>
    <row r="413" spans="2:2">
      <c r="B413" s="38"/>
    </row>
    <row r="414" spans="2:2">
      <c r="B414" s="38"/>
    </row>
    <row r="415" spans="2:2">
      <c r="B415" s="38"/>
    </row>
    <row r="416" spans="2:2">
      <c r="B416" s="38"/>
    </row>
    <row r="417" spans="2:2">
      <c r="B417" s="38"/>
    </row>
    <row r="418" spans="2:2">
      <c r="B418" s="38"/>
    </row>
    <row r="419" spans="2:2">
      <c r="B419" s="38"/>
    </row>
    <row r="420" spans="2:2">
      <c r="B420" s="38"/>
    </row>
    <row r="421" spans="2:2">
      <c r="B421" s="38"/>
    </row>
    <row r="422" spans="2:2">
      <c r="B422" s="38"/>
    </row>
    <row r="423" spans="2:2">
      <c r="B423" s="38"/>
    </row>
    <row r="424" spans="2:2">
      <c r="B424" s="38"/>
    </row>
    <row r="425" spans="2:2">
      <c r="B425" s="38"/>
    </row>
    <row r="426" spans="2:2">
      <c r="B426" s="38"/>
    </row>
    <row r="427" spans="2:2">
      <c r="B427" s="38"/>
    </row>
    <row r="428" spans="2:2">
      <c r="B428" s="38"/>
    </row>
    <row r="429" spans="2:2">
      <c r="B429" s="38"/>
    </row>
    <row r="430" spans="2:2">
      <c r="B430" s="38"/>
    </row>
    <row r="431" spans="2:2">
      <c r="B431" s="38"/>
    </row>
    <row r="432" spans="2:2">
      <c r="B432" s="38"/>
    </row>
    <row r="433" spans="2:2">
      <c r="B433" s="38"/>
    </row>
    <row r="434" spans="2:2">
      <c r="B434" s="38"/>
    </row>
    <row r="435" spans="2:2">
      <c r="B435" s="38"/>
    </row>
    <row r="436" spans="2:2">
      <c r="B436" s="38"/>
    </row>
    <row r="437" spans="2:2">
      <c r="B437" s="38"/>
    </row>
    <row r="438" spans="2:2">
      <c r="B438" s="38"/>
    </row>
    <row r="439" spans="2:2">
      <c r="B439" s="38"/>
    </row>
    <row r="440" spans="2:2">
      <c r="B440" s="38"/>
    </row>
    <row r="441" spans="2:2">
      <c r="B441" s="38"/>
    </row>
    <row r="442" spans="2:2">
      <c r="B442" s="38"/>
    </row>
    <row r="443" spans="2:2">
      <c r="B443" s="38"/>
    </row>
    <row r="444" spans="2:2">
      <c r="B444" s="38"/>
    </row>
    <row r="445" spans="2:2">
      <c r="B445" s="38"/>
    </row>
    <row r="446" spans="2:2">
      <c r="B446" s="38"/>
    </row>
    <row r="447" spans="2:2">
      <c r="B447" s="38"/>
    </row>
    <row r="448" spans="2:2">
      <c r="B448" s="38"/>
    </row>
    <row r="449" spans="2:2">
      <c r="B449" s="38"/>
    </row>
    <row r="450" spans="2:2">
      <c r="B450" s="38"/>
    </row>
    <row r="451" spans="2:2">
      <c r="B451" s="38"/>
    </row>
    <row r="452" spans="2:2">
      <c r="B452" s="38"/>
    </row>
    <row r="453" spans="2:2">
      <c r="B453" s="38"/>
    </row>
    <row r="454" spans="2:2">
      <c r="B454" s="38"/>
    </row>
    <row r="455" spans="2:2">
      <c r="B455" s="38"/>
    </row>
    <row r="456" spans="2:2">
      <c r="B456" s="38"/>
    </row>
    <row r="457" spans="2:2">
      <c r="B457" s="38"/>
    </row>
    <row r="458" spans="2:2">
      <c r="B458" s="38"/>
    </row>
    <row r="459" spans="2:2">
      <c r="B459" s="38"/>
    </row>
    <row r="460" spans="2:2">
      <c r="B460" s="38"/>
    </row>
  </sheetData>
  <mergeCells count="11">
    <mergeCell ref="A114:B114"/>
    <mergeCell ref="A135:A136"/>
    <mergeCell ref="A1:O1"/>
    <mergeCell ref="A2:O2"/>
    <mergeCell ref="A3:O3"/>
    <mergeCell ref="A4:O4"/>
    <mergeCell ref="A7:A8"/>
    <mergeCell ref="B7:B8"/>
    <mergeCell ref="C7:J7"/>
    <mergeCell ref="O7:O8"/>
    <mergeCell ref="K7:N7"/>
  </mergeCells>
  <pageMargins left="0.19685039370078741" right="0" top="0.55118110236220474" bottom="0.74803149606299213" header="0.31496062992125984" footer="0.31496062992125984"/>
  <pageSetup scale="55" orientation="portrait" r:id="rId1"/>
  <ignoredErrors>
    <ignoredError sqref="A34" numberStoredAsText="1"/>
    <ignoredError sqref="O10 K30 H85 H81 H78 K100:K101 G68:G69 H41 N100:N101 N99 H10 H1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tabColor theme="8" tint="0.39985351115451523"/>
  </sheetPr>
  <dimension ref="A1:P129"/>
  <sheetViews>
    <sheetView showGridLines="0" showZeros="0" topLeftCell="A201" zoomScale="77" zoomScaleNormal="77" workbookViewId="0">
      <pane ySplit="1380" activePane="bottomLeft"/>
      <selection activeCell="G213" sqref="G213"/>
      <selection pane="bottomLeft" activeCell="Y9" sqref="Y9"/>
    </sheetView>
  </sheetViews>
  <sheetFormatPr baseColWidth="10" defaultColWidth="11" defaultRowHeight="12.75"/>
  <cols>
    <col min="1" max="1" width="17.85546875" style="254" customWidth="1"/>
    <col min="2" max="2" width="41.140625" style="4" customWidth="1"/>
    <col min="3" max="3" width="12.85546875" style="4" customWidth="1"/>
    <col min="4" max="4" width="15.7109375" style="4" customWidth="1"/>
    <col min="5" max="5" width="12.7109375" style="4" customWidth="1"/>
    <col min="6" max="6" width="15.5703125" style="100" customWidth="1"/>
    <col min="7" max="7" width="14.140625" style="382" customWidth="1"/>
    <col min="8" max="8" width="15.7109375" style="4" customWidth="1"/>
    <col min="9" max="9" width="15.85546875" style="254" customWidth="1"/>
    <col min="10" max="10" width="0.140625" style="328" customWidth="1"/>
    <col min="11" max="11" width="11" style="254" hidden="1" customWidth="1"/>
    <col min="12" max="12" width="13" style="254" hidden="1" customWidth="1"/>
    <col min="13" max="13" width="4.5703125" style="254" hidden="1" customWidth="1"/>
    <col min="14" max="16" width="11" style="254" hidden="1" customWidth="1"/>
    <col min="17" max="16384" width="11" style="254"/>
  </cols>
  <sheetData>
    <row r="1" spans="1:16" ht="21.75" customHeight="1">
      <c r="A1" s="779" t="s">
        <v>61</v>
      </c>
      <c r="B1" s="779"/>
      <c r="C1" s="779"/>
      <c r="D1" s="779"/>
      <c r="E1" s="779"/>
      <c r="F1" s="779"/>
      <c r="G1" s="779"/>
      <c r="H1" s="779"/>
      <c r="I1" s="779"/>
      <c r="J1" s="85"/>
      <c r="K1" s="204"/>
      <c r="L1" s="204"/>
      <c r="M1" s="204"/>
    </row>
    <row r="2" spans="1:16" ht="18" customHeight="1">
      <c r="A2" s="779" t="s">
        <v>62</v>
      </c>
      <c r="B2" s="779"/>
      <c r="C2" s="779"/>
      <c r="D2" s="779"/>
      <c r="E2" s="779"/>
      <c r="F2" s="779"/>
      <c r="G2" s="779"/>
      <c r="H2" s="779"/>
      <c r="I2" s="779"/>
      <c r="J2" s="85"/>
      <c r="K2" s="204"/>
      <c r="L2" s="204"/>
      <c r="M2" s="204"/>
    </row>
    <row r="3" spans="1:16" ht="15">
      <c r="A3" s="780" t="s">
        <v>63</v>
      </c>
      <c r="B3" s="780"/>
      <c r="C3" s="780"/>
      <c r="D3" s="780"/>
      <c r="E3" s="780"/>
      <c r="F3" s="780"/>
      <c r="G3" s="780"/>
      <c r="H3" s="780"/>
      <c r="I3" s="780"/>
    </row>
    <row r="4" spans="1:16" ht="20.25" customHeight="1">
      <c r="A4" s="780" t="s">
        <v>636</v>
      </c>
      <c r="B4" s="780"/>
      <c r="C4" s="780"/>
      <c r="D4" s="780"/>
      <c r="E4" s="780"/>
      <c r="F4" s="780"/>
      <c r="G4" s="780"/>
      <c r="H4" s="780"/>
      <c r="I4" s="780"/>
    </row>
    <row r="5" spans="1:16" ht="9.75" customHeight="1">
      <c r="A5"/>
      <c r="B5" s="255"/>
      <c r="C5" s="255"/>
      <c r="D5" s="255"/>
      <c r="E5" s="255"/>
      <c r="F5" s="744"/>
      <c r="G5" s="749"/>
      <c r="H5"/>
      <c r="I5" t="s">
        <v>12</v>
      </c>
    </row>
    <row r="6" spans="1:16" ht="24" customHeight="1">
      <c r="A6" s="785" t="s">
        <v>64</v>
      </c>
      <c r="B6" s="787" t="s">
        <v>0</v>
      </c>
      <c r="C6" s="789" t="s">
        <v>49</v>
      </c>
      <c r="D6" s="789"/>
      <c r="E6" s="789"/>
      <c r="F6" s="789" t="s">
        <v>65</v>
      </c>
      <c r="G6" s="789"/>
      <c r="H6" s="781" t="s">
        <v>24</v>
      </c>
      <c r="I6" s="782"/>
    </row>
    <row r="7" spans="1:16" ht="36" customHeight="1">
      <c r="A7" s="786"/>
      <c r="B7" s="788"/>
      <c r="C7" s="483" t="s">
        <v>2</v>
      </c>
      <c r="D7" s="483" t="s">
        <v>66</v>
      </c>
      <c r="E7" s="483" t="s">
        <v>25</v>
      </c>
      <c r="F7" s="745" t="s">
        <v>67</v>
      </c>
      <c r="G7" s="750" t="s">
        <v>68</v>
      </c>
      <c r="H7" s="484" t="s">
        <v>26</v>
      </c>
      <c r="I7" s="485" t="s">
        <v>69</v>
      </c>
    </row>
    <row r="8" spans="1:16" ht="8.25" hidden="1" customHeight="1">
      <c r="A8" s="486"/>
      <c r="B8" s="487" t="s">
        <v>12</v>
      </c>
      <c r="C8" s="487"/>
      <c r="D8" s="488"/>
      <c r="E8" s="488"/>
      <c r="F8" s="488"/>
      <c r="G8" s="751"/>
      <c r="H8" s="488"/>
      <c r="I8" s="489"/>
    </row>
    <row r="9" spans="1:16" ht="21.75" customHeight="1">
      <c r="A9" s="486"/>
      <c r="B9" s="490" t="s">
        <v>28</v>
      </c>
      <c r="C9" s="491">
        <f>+C11+C36</f>
        <v>179349116</v>
      </c>
      <c r="D9" s="492">
        <f>+D11+D36</f>
        <v>179349116</v>
      </c>
      <c r="E9" s="491">
        <f>E11+E36</f>
        <v>40083741</v>
      </c>
      <c r="F9" s="491">
        <f>+F11+F36</f>
        <v>13412098.58</v>
      </c>
      <c r="G9" s="764">
        <f>J9+F9</f>
        <v>16310340.370000001</v>
      </c>
      <c r="H9" s="493">
        <f>+G9-E9</f>
        <v>-23773400.629999999</v>
      </c>
      <c r="I9" s="494">
        <f>+G9/E9*100</f>
        <v>40.690664002643864</v>
      </c>
      <c r="J9" s="743">
        <v>2898241.79</v>
      </c>
      <c r="K9" s="783" t="s">
        <v>634</v>
      </c>
      <c r="L9" s="783"/>
      <c r="M9" s="783"/>
      <c r="N9" s="783"/>
      <c r="O9" s="783"/>
      <c r="P9" s="783"/>
    </row>
    <row r="10" spans="1:16" ht="9.9499999999999993" customHeight="1">
      <c r="A10" s="486"/>
      <c r="B10" s="490"/>
      <c r="C10" s="491"/>
      <c r="D10" s="491"/>
      <c r="E10" s="491"/>
      <c r="F10" s="491"/>
      <c r="G10" s="764"/>
      <c r="H10" s="495"/>
      <c r="I10" s="494"/>
      <c r="N10" s="254" t="s">
        <v>12</v>
      </c>
    </row>
    <row r="11" spans="1:16" ht="21" customHeight="1">
      <c r="A11" s="496" t="s">
        <v>70</v>
      </c>
      <c r="B11" s="497" t="s">
        <v>29</v>
      </c>
      <c r="C11" s="498">
        <f>+C13</f>
        <v>133140570</v>
      </c>
      <c r="D11" s="491">
        <f>+D13</f>
        <v>133140570</v>
      </c>
      <c r="E11" s="491">
        <f>E17+E25+E26+E31+E33</f>
        <v>29955756</v>
      </c>
      <c r="F11" s="491">
        <f>+F13</f>
        <v>13412098.58</v>
      </c>
      <c r="G11" s="764">
        <f>+G13</f>
        <v>15210340.370000001</v>
      </c>
      <c r="H11" s="493">
        <f t="shared" ref="H11:H47" si="0">+G11-E11</f>
        <v>-14745415.629999999</v>
      </c>
      <c r="I11" s="494">
        <f t="shared" ref="I11:I50" si="1">+G11/E11*100</f>
        <v>50.776019039546192</v>
      </c>
      <c r="J11" s="329">
        <f>J13</f>
        <v>1798241.79</v>
      </c>
      <c r="M11" s="272"/>
    </row>
    <row r="12" spans="1:16" ht="9.9499999999999993" customHeight="1">
      <c r="A12" s="486"/>
      <c r="B12" s="499"/>
      <c r="C12" s="500"/>
      <c r="D12" s="501"/>
      <c r="E12" s="501" t="s">
        <v>12</v>
      </c>
      <c r="F12" s="501"/>
      <c r="G12" s="765"/>
      <c r="H12" s="502"/>
      <c r="I12" s="494"/>
      <c r="M12" s="272"/>
      <c r="O12" s="254" t="s">
        <v>12</v>
      </c>
    </row>
    <row r="13" spans="1:16" ht="21" customHeight="1">
      <c r="A13" s="496" t="s">
        <v>71</v>
      </c>
      <c r="B13" s="490" t="s">
        <v>72</v>
      </c>
      <c r="C13" s="491">
        <f>+C15+C21+C26+C31+C33</f>
        <v>133140570</v>
      </c>
      <c r="D13" s="491">
        <f>+D15+D21+D26+D31+D33</f>
        <v>133140570</v>
      </c>
      <c r="E13" s="491">
        <f>+E15+E21+E26+E31</f>
        <v>28955756</v>
      </c>
      <c r="F13" s="716">
        <f>F15+F21+F26+F31</f>
        <v>13412098.58</v>
      </c>
      <c r="G13" s="764">
        <f>J13+F13</f>
        <v>15210340.370000001</v>
      </c>
      <c r="H13" s="493">
        <f t="shared" si="0"/>
        <v>-13745415.629999999</v>
      </c>
      <c r="I13" s="494">
        <f t="shared" si="1"/>
        <v>52.529591594845606</v>
      </c>
      <c r="J13" s="329">
        <v>1798241.79</v>
      </c>
      <c r="K13" s="273"/>
      <c r="L13" s="272"/>
      <c r="M13" s="272"/>
    </row>
    <row r="14" spans="1:16" ht="14.25" customHeight="1">
      <c r="A14" s="496"/>
      <c r="B14" s="503"/>
      <c r="C14" s="501"/>
      <c r="D14" s="501"/>
      <c r="E14" s="501"/>
      <c r="F14" s="501"/>
      <c r="G14" s="765" t="s">
        <v>12</v>
      </c>
      <c r="H14" s="502" t="s">
        <v>12</v>
      </c>
      <c r="I14" s="494"/>
      <c r="J14" s="328" t="s">
        <v>12</v>
      </c>
      <c r="K14" s="273"/>
      <c r="M14" s="272"/>
    </row>
    <row r="15" spans="1:16" ht="21" customHeight="1">
      <c r="A15" s="496" t="s">
        <v>73</v>
      </c>
      <c r="B15" s="490" t="s">
        <v>74</v>
      </c>
      <c r="C15" s="491">
        <f>+C17</f>
        <v>3672711</v>
      </c>
      <c r="D15" s="491">
        <f>SUM(D18:D19)</f>
        <v>3672711</v>
      </c>
      <c r="E15" s="491">
        <f>E17</f>
        <v>686353</v>
      </c>
      <c r="F15" s="491">
        <f>SUM(F18:F19)</f>
        <v>71224.149999999994</v>
      </c>
      <c r="G15" s="764">
        <f>J15+F15</f>
        <v>146507.57999999999</v>
      </c>
      <c r="H15" s="493">
        <f t="shared" si="0"/>
        <v>-539845.42000000004</v>
      </c>
      <c r="I15" s="494">
        <f t="shared" si="1"/>
        <v>21.345806021099929</v>
      </c>
      <c r="J15" s="328">
        <f>J17</f>
        <v>75283.429999999993</v>
      </c>
      <c r="K15" s="273"/>
      <c r="M15" s="272"/>
    </row>
    <row r="16" spans="1:16" ht="11.45" customHeight="1">
      <c r="A16" s="496"/>
      <c r="B16" s="490"/>
      <c r="C16" s="491"/>
      <c r="D16" s="501"/>
      <c r="E16" s="491"/>
      <c r="F16" s="491"/>
      <c r="G16" s="764"/>
      <c r="H16" s="495"/>
      <c r="I16" s="494"/>
      <c r="K16" s="273"/>
    </row>
    <row r="17" spans="1:13" ht="19.149999999999999" customHeight="1">
      <c r="A17" s="496" t="s">
        <v>75</v>
      </c>
      <c r="B17" s="504" t="s">
        <v>76</v>
      </c>
      <c r="C17" s="505">
        <f>+C18+C19</f>
        <v>3672711</v>
      </c>
      <c r="D17" s="491">
        <f>+D18+D19</f>
        <v>3672711</v>
      </c>
      <c r="E17" s="491">
        <f>SUM(E18:E19)</f>
        <v>686353</v>
      </c>
      <c r="F17" s="491">
        <f>SUM(F18:F19)</f>
        <v>71224.149999999994</v>
      </c>
      <c r="G17" s="766">
        <f>J17+F17</f>
        <v>146507.57999999999</v>
      </c>
      <c r="H17" s="493">
        <f t="shared" si="0"/>
        <v>-539845.42000000004</v>
      </c>
      <c r="I17" s="494">
        <f t="shared" si="1"/>
        <v>21.345806021099929</v>
      </c>
      <c r="J17" s="329">
        <f>J18+J19</f>
        <v>75283.429999999993</v>
      </c>
    </row>
    <row r="18" spans="1:13" ht="24.95" customHeight="1">
      <c r="A18" s="506" t="s">
        <v>77</v>
      </c>
      <c r="B18" s="503" t="s">
        <v>78</v>
      </c>
      <c r="C18" s="501">
        <v>1264345</v>
      </c>
      <c r="D18" s="501">
        <v>1264345</v>
      </c>
      <c r="E18" s="501">
        <f>12647+12644</f>
        <v>25291</v>
      </c>
      <c r="F18" s="746">
        <v>5519</v>
      </c>
      <c r="G18" s="767">
        <f>J18+F18</f>
        <v>11874.23</v>
      </c>
      <c r="H18" s="507">
        <f t="shared" si="0"/>
        <v>-13416.77</v>
      </c>
      <c r="I18" s="494">
        <f t="shared" si="1"/>
        <v>46.950417144438731</v>
      </c>
      <c r="J18" s="2">
        <v>6355.23</v>
      </c>
      <c r="M18" s="272"/>
    </row>
    <row r="19" spans="1:13" ht="24.95" customHeight="1">
      <c r="A19" s="506" t="s">
        <v>79</v>
      </c>
      <c r="B19" s="503" t="s">
        <v>80</v>
      </c>
      <c r="C19" s="501">
        <v>2408366</v>
      </c>
      <c r="D19" s="501">
        <v>2408366</v>
      </c>
      <c r="E19" s="501">
        <f>24083+636979</f>
        <v>661062</v>
      </c>
      <c r="F19" s="746">
        <v>65705.149999999994</v>
      </c>
      <c r="G19" s="767">
        <f>J19+F19</f>
        <v>134633.34999999998</v>
      </c>
      <c r="H19" s="507">
        <f t="shared" si="0"/>
        <v>-526428.65</v>
      </c>
      <c r="I19" s="494">
        <f t="shared" si="1"/>
        <v>20.366221322659595</v>
      </c>
      <c r="J19" s="2">
        <v>68928.2</v>
      </c>
    </row>
    <row r="20" spans="1:13" ht="9.9499999999999993" customHeight="1">
      <c r="A20" s="496"/>
      <c r="B20" s="503" t="s">
        <v>12</v>
      </c>
      <c r="C20" s="501"/>
      <c r="D20" s="501" t="s">
        <v>12</v>
      </c>
      <c r="E20" s="501"/>
      <c r="F20" s="501"/>
      <c r="G20" s="765"/>
      <c r="H20" s="502"/>
      <c r="I20" s="494"/>
    </row>
    <row r="21" spans="1:13" ht="24.95" customHeight="1">
      <c r="A21" s="496" t="s">
        <v>81</v>
      </c>
      <c r="B21" s="490" t="s">
        <v>82</v>
      </c>
      <c r="C21" s="491">
        <f>+C23</f>
        <v>121012398</v>
      </c>
      <c r="D21" s="491">
        <f>SUM(D23:D23)</f>
        <v>121012398</v>
      </c>
      <c r="E21" s="491">
        <f>SUM(E23)</f>
        <v>24288147</v>
      </c>
      <c r="F21" s="491">
        <f>F23</f>
        <v>12771873</v>
      </c>
      <c r="G21" s="766">
        <f>G23</f>
        <v>12771873</v>
      </c>
      <c r="H21" s="493">
        <f>+G21-E21</f>
        <v>-11516274</v>
      </c>
      <c r="I21" s="494"/>
      <c r="J21" s="329"/>
      <c r="M21" s="272"/>
    </row>
    <row r="22" spans="1:13" ht="5.25" customHeight="1">
      <c r="A22" s="496"/>
      <c r="B22" s="503"/>
      <c r="C22" s="501"/>
      <c r="D22" s="501"/>
      <c r="E22" s="501"/>
      <c r="F22" s="501"/>
      <c r="G22" s="767">
        <f>F22</f>
        <v>0</v>
      </c>
      <c r="H22" s="502">
        <f t="shared" si="0"/>
        <v>0</v>
      </c>
      <c r="I22" s="494"/>
    </row>
    <row r="23" spans="1:13" ht="24.75" customHeight="1">
      <c r="A23" s="496" t="s">
        <v>83</v>
      </c>
      <c r="B23" s="490" t="s">
        <v>84</v>
      </c>
      <c r="C23" s="491">
        <f>+C25</f>
        <v>121012398</v>
      </c>
      <c r="D23" s="491">
        <f>+D25</f>
        <v>121012398</v>
      </c>
      <c r="E23" s="491">
        <f>E25</f>
        <v>24288147</v>
      </c>
      <c r="F23" s="491">
        <f>F25</f>
        <v>12771873</v>
      </c>
      <c r="G23" s="766">
        <f>G25</f>
        <v>12771873</v>
      </c>
      <c r="H23" s="493">
        <f t="shared" si="0"/>
        <v>-11516274</v>
      </c>
      <c r="I23" s="494">
        <f t="shared" si="1"/>
        <v>52.584797843985378</v>
      </c>
      <c r="J23" s="329"/>
    </row>
    <row r="24" spans="1:13" ht="10.15" customHeight="1">
      <c r="A24" s="496"/>
      <c r="B24" s="503"/>
      <c r="C24" s="501"/>
      <c r="D24" s="501"/>
      <c r="E24" s="501"/>
      <c r="F24" s="501"/>
      <c r="G24" s="767">
        <f>F24</f>
        <v>0</v>
      </c>
      <c r="H24" s="502">
        <f t="shared" si="0"/>
        <v>0</v>
      </c>
      <c r="I24" s="494"/>
    </row>
    <row r="25" spans="1:13" ht="22.15" customHeight="1">
      <c r="A25" s="506" t="s">
        <v>85</v>
      </c>
      <c r="B25" s="503" t="s">
        <v>86</v>
      </c>
      <c r="C25" s="501">
        <v>121012398</v>
      </c>
      <c r="D25" s="501">
        <v>121012398</v>
      </c>
      <c r="E25" s="501">
        <f>12771873+11516274</f>
        <v>24288147</v>
      </c>
      <c r="F25" s="501">
        <v>12771873</v>
      </c>
      <c r="G25" s="767">
        <f>J25+F25</f>
        <v>12771873</v>
      </c>
      <c r="H25" s="507">
        <f>G25-E25</f>
        <v>-11516274</v>
      </c>
      <c r="I25" s="494">
        <f t="shared" si="1"/>
        <v>52.584797843985378</v>
      </c>
    </row>
    <row r="26" spans="1:13" ht="24.95" customHeight="1">
      <c r="A26" s="496" t="s">
        <v>87</v>
      </c>
      <c r="B26" s="490" t="s">
        <v>30</v>
      </c>
      <c r="C26" s="491">
        <f>+C27+C28+C29</f>
        <v>6461773</v>
      </c>
      <c r="D26" s="491">
        <f>SUM(D27:D29)</f>
        <v>6461773</v>
      </c>
      <c r="E26" s="491">
        <f>SUM(E27:E29)</f>
        <v>3513590</v>
      </c>
      <c r="F26" s="491">
        <f>F27+F28+F29</f>
        <v>529789.62</v>
      </c>
      <c r="G26" s="764">
        <f>J26+F26</f>
        <v>1178865.3599999999</v>
      </c>
      <c r="H26" s="493">
        <f t="shared" si="0"/>
        <v>-2334724.64</v>
      </c>
      <c r="I26" s="494">
        <f t="shared" si="1"/>
        <v>33.55159139227969</v>
      </c>
      <c r="J26" s="329">
        <f>J27+J28+J29</f>
        <v>649075.74</v>
      </c>
    </row>
    <row r="27" spans="1:13" ht="24.95" customHeight="1">
      <c r="A27" s="506" t="s">
        <v>88</v>
      </c>
      <c r="B27" s="503" t="s">
        <v>89</v>
      </c>
      <c r="C27" s="501">
        <v>713904</v>
      </c>
      <c r="D27" s="501">
        <v>713904</v>
      </c>
      <c r="E27" s="501">
        <f>64255+71390</f>
        <v>135645</v>
      </c>
      <c r="F27" s="501">
        <v>139165.46</v>
      </c>
      <c r="G27" s="765">
        <f>J27+F27</f>
        <v>246492.74</v>
      </c>
      <c r="H27" s="502">
        <f t="shared" si="0"/>
        <v>110847.73999999999</v>
      </c>
      <c r="I27" s="494">
        <f t="shared" si="1"/>
        <v>181.71900180618525</v>
      </c>
      <c r="J27" s="328">
        <v>107327.28</v>
      </c>
    </row>
    <row r="28" spans="1:13" ht="24.95" customHeight="1">
      <c r="A28" s="506" t="s">
        <v>90</v>
      </c>
      <c r="B28" s="503" t="s">
        <v>91</v>
      </c>
      <c r="C28" s="501">
        <v>5674884</v>
      </c>
      <c r="D28" s="501">
        <v>5674884</v>
      </c>
      <c r="E28" s="501">
        <f>367198+2999796</f>
        <v>3366994</v>
      </c>
      <c r="F28" s="501">
        <v>384825.29</v>
      </c>
      <c r="G28" s="765">
        <f>J28+F28</f>
        <v>918348.5</v>
      </c>
      <c r="H28" s="507">
        <f t="shared" si="0"/>
        <v>-2448645.5</v>
      </c>
      <c r="I28" s="494">
        <f t="shared" si="1"/>
        <v>27.275026329123246</v>
      </c>
      <c r="J28" s="328">
        <v>533523.21</v>
      </c>
      <c r="L28" s="272"/>
    </row>
    <row r="29" spans="1:13" ht="24.95" customHeight="1">
      <c r="A29" s="506" t="s">
        <v>92</v>
      </c>
      <c r="B29" s="503" t="s">
        <v>93</v>
      </c>
      <c r="C29" s="501">
        <v>72985</v>
      </c>
      <c r="D29" s="501">
        <v>72985</v>
      </c>
      <c r="E29" s="501">
        <f>3653+7298</f>
        <v>10951</v>
      </c>
      <c r="F29" s="501">
        <v>5798.87</v>
      </c>
      <c r="G29" s="765">
        <f>J29+F29</f>
        <v>14024.119999999999</v>
      </c>
      <c r="H29" s="502">
        <f t="shared" si="0"/>
        <v>3073.119999999999</v>
      </c>
      <c r="I29" s="494">
        <f t="shared" si="1"/>
        <v>128.06246004931057</v>
      </c>
      <c r="J29" s="328">
        <v>8225.25</v>
      </c>
    </row>
    <row r="30" spans="1:13" ht="9.9499999999999993" customHeight="1">
      <c r="A30" s="496" t="s">
        <v>12</v>
      </c>
      <c r="B30" s="503"/>
      <c r="C30" s="502"/>
      <c r="D30" s="502"/>
      <c r="E30" s="501"/>
      <c r="F30" s="501"/>
      <c r="G30" s="765">
        <f>F30</f>
        <v>0</v>
      </c>
      <c r="H30" s="502">
        <f t="shared" si="0"/>
        <v>0</v>
      </c>
      <c r="I30" s="494"/>
    </row>
    <row r="31" spans="1:13" ht="24.95" customHeight="1">
      <c r="A31" s="496" t="s">
        <v>94</v>
      </c>
      <c r="B31" s="490" t="s">
        <v>625</v>
      </c>
      <c r="C31" s="495">
        <f>+C32</f>
        <v>993688</v>
      </c>
      <c r="D31" s="495">
        <f>SUM(D32)</f>
        <v>993688</v>
      </c>
      <c r="E31" s="491">
        <f>SUM(E32)</f>
        <v>467666</v>
      </c>
      <c r="F31" s="491">
        <f>F32</f>
        <v>39211.81</v>
      </c>
      <c r="G31" s="764">
        <f>J31+F31</f>
        <v>113094.43</v>
      </c>
      <c r="H31" s="493">
        <f t="shared" si="0"/>
        <v>-354571.57</v>
      </c>
      <c r="I31" s="494">
        <f t="shared" si="1"/>
        <v>24.182735114376499</v>
      </c>
      <c r="J31" s="329">
        <f>J32</f>
        <v>73882.62</v>
      </c>
    </row>
    <row r="32" spans="1:13" ht="24.95" customHeight="1">
      <c r="A32" s="496" t="s">
        <v>95</v>
      </c>
      <c r="B32" s="503" t="s">
        <v>96</v>
      </c>
      <c r="C32" s="502">
        <v>993688</v>
      </c>
      <c r="D32" s="502">
        <v>993688</v>
      </c>
      <c r="E32" s="501">
        <f>99368+368298</f>
        <v>467666</v>
      </c>
      <c r="F32" s="501">
        <v>39211.81</v>
      </c>
      <c r="G32" s="765">
        <f>J32+F32</f>
        <v>113094.43</v>
      </c>
      <c r="H32" s="507">
        <f t="shared" si="0"/>
        <v>-354571.57</v>
      </c>
      <c r="I32" s="494">
        <f t="shared" si="1"/>
        <v>24.182735114376499</v>
      </c>
      <c r="J32" s="328">
        <v>73882.62</v>
      </c>
    </row>
    <row r="33" spans="1:16" ht="24.95" customHeight="1">
      <c r="A33" s="496">
        <v>1.4</v>
      </c>
      <c r="B33" s="490" t="s">
        <v>627</v>
      </c>
      <c r="C33" s="495">
        <f>+C34</f>
        <v>1000000</v>
      </c>
      <c r="D33" s="495">
        <f t="shared" ref="D33:E33" si="2">+D34</f>
        <v>1000000</v>
      </c>
      <c r="E33" s="495">
        <f t="shared" si="2"/>
        <v>1000000</v>
      </c>
      <c r="F33" s="491">
        <f t="shared" ref="F33:H34" si="3">+F34</f>
        <v>1000000</v>
      </c>
      <c r="G33" s="764">
        <f>+J34</f>
        <v>1000000</v>
      </c>
      <c r="H33" s="508">
        <f t="shared" si="3"/>
        <v>0</v>
      </c>
      <c r="I33" s="494">
        <f t="shared" si="1"/>
        <v>100</v>
      </c>
      <c r="J33" s="328">
        <v>1000000</v>
      </c>
    </row>
    <row r="34" spans="1:16" ht="24.95" customHeight="1">
      <c r="A34" s="506" t="s">
        <v>628</v>
      </c>
      <c r="B34" s="503" t="s">
        <v>629</v>
      </c>
      <c r="C34" s="502">
        <f>+C35</f>
        <v>1000000</v>
      </c>
      <c r="D34" s="502">
        <f t="shared" ref="D34:E34" si="4">+D35</f>
        <v>1000000</v>
      </c>
      <c r="E34" s="502">
        <f t="shared" si="4"/>
        <v>1000000</v>
      </c>
      <c r="F34" s="501">
        <f t="shared" si="3"/>
        <v>1000000</v>
      </c>
      <c r="G34" s="764">
        <f t="shared" ref="G34" si="5">+J35</f>
        <v>1000000</v>
      </c>
      <c r="H34" s="508">
        <f t="shared" si="3"/>
        <v>0</v>
      </c>
      <c r="I34" s="494">
        <f t="shared" si="1"/>
        <v>100</v>
      </c>
      <c r="J34" s="328">
        <v>1000000</v>
      </c>
    </row>
    <row r="35" spans="1:16" ht="17.25" customHeight="1">
      <c r="A35" s="506" t="s">
        <v>626</v>
      </c>
      <c r="B35" s="503" t="s">
        <v>630</v>
      </c>
      <c r="C35" s="502">
        <v>1000000</v>
      </c>
      <c r="D35" s="502">
        <v>1000000</v>
      </c>
      <c r="E35" s="501">
        <v>1000000</v>
      </c>
      <c r="F35" s="501">
        <v>1000000</v>
      </c>
      <c r="G35" s="491">
        <f>+J35</f>
        <v>1000000</v>
      </c>
      <c r="H35" s="508">
        <f>+G35-E35</f>
        <v>0</v>
      </c>
      <c r="I35" s="494">
        <f t="shared" si="1"/>
        <v>100</v>
      </c>
      <c r="J35" s="328">
        <v>1000000</v>
      </c>
    </row>
    <row r="36" spans="1:16" ht="24.95" customHeight="1">
      <c r="A36" s="496" t="s">
        <v>97</v>
      </c>
      <c r="B36" s="490" t="s">
        <v>31</v>
      </c>
      <c r="C36" s="495">
        <f>+C38+C42</f>
        <v>46208546</v>
      </c>
      <c r="D36" s="495">
        <f>+D42+D38</f>
        <v>46208546</v>
      </c>
      <c r="E36" s="491">
        <f>+E42+E38</f>
        <v>10127985</v>
      </c>
      <c r="F36" s="491">
        <f>+F42+F38</f>
        <v>0</v>
      </c>
      <c r="G36" s="495">
        <v>1100000</v>
      </c>
      <c r="H36" s="493">
        <f>G36-E36</f>
        <v>-9027985</v>
      </c>
      <c r="I36" s="494">
        <f t="shared" si="1"/>
        <v>10.86099554847287</v>
      </c>
      <c r="J36" s="329"/>
    </row>
    <row r="37" spans="1:16" ht="9.9499999999999993" customHeight="1">
      <c r="A37" s="496"/>
      <c r="B37" s="503"/>
      <c r="C37" s="502"/>
      <c r="D37" s="502"/>
      <c r="E37" s="501"/>
      <c r="F37" s="502"/>
      <c r="G37" s="502"/>
      <c r="H37" s="508"/>
      <c r="I37" s="494"/>
    </row>
    <row r="38" spans="1:16" ht="18" customHeight="1">
      <c r="A38" s="496" t="s">
        <v>98</v>
      </c>
      <c r="B38" s="490" t="s">
        <v>99</v>
      </c>
      <c r="C38" s="495">
        <f>+C39</f>
        <v>45108546</v>
      </c>
      <c r="D38" s="495">
        <f>D39</f>
        <v>45108546</v>
      </c>
      <c r="E38" s="495">
        <f>E39</f>
        <v>9027985</v>
      </c>
      <c r="F38" s="495">
        <f t="shared" ref="F38:G40" si="6">F39</f>
        <v>0</v>
      </c>
      <c r="G38" s="491">
        <f t="shared" si="6"/>
        <v>0</v>
      </c>
      <c r="H38" s="493">
        <f>H39</f>
        <v>-9027985</v>
      </c>
      <c r="I38" s="494">
        <f t="shared" si="1"/>
        <v>0</v>
      </c>
      <c r="J38" s="329"/>
    </row>
    <row r="39" spans="1:16" ht="18" customHeight="1">
      <c r="A39" s="506" t="s">
        <v>100</v>
      </c>
      <c r="B39" s="503" t="s">
        <v>101</v>
      </c>
      <c r="C39" s="502">
        <f>+C40</f>
        <v>45108546</v>
      </c>
      <c r="D39" s="502">
        <f>D40</f>
        <v>45108546</v>
      </c>
      <c r="E39" s="501">
        <f>E41</f>
        <v>9027985</v>
      </c>
      <c r="F39" s="502"/>
      <c r="G39" s="502">
        <f t="shared" si="6"/>
        <v>0</v>
      </c>
      <c r="H39" s="507">
        <f>H40</f>
        <v>-9027985</v>
      </c>
      <c r="I39" s="494">
        <f t="shared" si="1"/>
        <v>0</v>
      </c>
    </row>
    <row r="40" spans="1:16" ht="18" customHeight="1">
      <c r="A40" s="506" t="s">
        <v>102</v>
      </c>
      <c r="B40" s="503" t="s">
        <v>103</v>
      </c>
      <c r="C40" s="502">
        <f>+C41</f>
        <v>45108546</v>
      </c>
      <c r="D40" s="502">
        <f>D41</f>
        <v>45108546</v>
      </c>
      <c r="E40" s="501">
        <v>24718</v>
      </c>
      <c r="F40" s="502">
        <f>+F41</f>
        <v>0</v>
      </c>
      <c r="G40" s="502">
        <f t="shared" si="6"/>
        <v>0</v>
      </c>
      <c r="H40" s="507">
        <f>H41</f>
        <v>-9027985</v>
      </c>
      <c r="I40" s="494">
        <f t="shared" si="1"/>
        <v>0</v>
      </c>
    </row>
    <row r="41" spans="1:16" ht="18" customHeight="1">
      <c r="A41" s="506" t="s">
        <v>104</v>
      </c>
      <c r="B41" s="503" t="s">
        <v>105</v>
      </c>
      <c r="C41" s="502">
        <v>45108546</v>
      </c>
      <c r="D41" s="502">
        <v>45108546</v>
      </c>
      <c r="E41" s="501">
        <f>9003267+24718</f>
        <v>9027985</v>
      </c>
      <c r="F41" s="502">
        <v>0</v>
      </c>
      <c r="G41" s="502"/>
      <c r="H41" s="507">
        <f>G41-E41</f>
        <v>-9027985</v>
      </c>
      <c r="I41" s="494">
        <f t="shared" si="1"/>
        <v>0</v>
      </c>
    </row>
    <row r="42" spans="1:16" ht="24.95" customHeight="1">
      <c r="A42" s="496" t="s">
        <v>106</v>
      </c>
      <c r="B42" s="490" t="s">
        <v>107</v>
      </c>
      <c r="C42" s="495">
        <f>+C43</f>
        <v>1100000</v>
      </c>
      <c r="D42" s="495">
        <f>SUM(D43)</f>
        <v>1100000</v>
      </c>
      <c r="E42" s="491">
        <f>E43</f>
        <v>1100000</v>
      </c>
      <c r="F42" s="495">
        <f>+F43</f>
        <v>0</v>
      </c>
      <c r="G42" s="491">
        <f>G43</f>
        <v>1100000</v>
      </c>
      <c r="H42" s="509">
        <f t="shared" si="0"/>
        <v>0</v>
      </c>
      <c r="I42" s="494">
        <f t="shared" si="1"/>
        <v>100</v>
      </c>
      <c r="J42" s="329">
        <v>1100000</v>
      </c>
    </row>
    <row r="43" spans="1:16" ht="24.95" customHeight="1">
      <c r="A43" s="506" t="s">
        <v>108</v>
      </c>
      <c r="B43" s="503" t="s">
        <v>109</v>
      </c>
      <c r="C43" s="502">
        <f>+C44</f>
        <v>1100000</v>
      </c>
      <c r="D43" s="502">
        <f>+D44</f>
        <v>1100000</v>
      </c>
      <c r="E43" s="501">
        <f>E45</f>
        <v>1100000</v>
      </c>
      <c r="F43" s="502">
        <f>+F44</f>
        <v>0</v>
      </c>
      <c r="G43" s="502">
        <f>+G44</f>
        <v>1100000</v>
      </c>
      <c r="H43" s="508">
        <f t="shared" si="0"/>
        <v>0</v>
      </c>
      <c r="I43" s="494">
        <f t="shared" si="1"/>
        <v>100</v>
      </c>
      <c r="J43" s="328">
        <v>1100000</v>
      </c>
    </row>
    <row r="44" spans="1:16" ht="17.45" customHeight="1">
      <c r="A44" s="506" t="s">
        <v>110</v>
      </c>
      <c r="B44" s="503" t="s">
        <v>111</v>
      </c>
      <c r="C44" s="502">
        <f>+C45</f>
        <v>1100000</v>
      </c>
      <c r="D44" s="502">
        <f>D45</f>
        <v>1100000</v>
      </c>
      <c r="E44" s="502">
        <f>E45</f>
        <v>1100000</v>
      </c>
      <c r="F44" s="502">
        <f>+F45</f>
        <v>0</v>
      </c>
      <c r="G44" s="502">
        <f>G45</f>
        <v>1100000</v>
      </c>
      <c r="H44" s="508">
        <f t="shared" si="0"/>
        <v>0</v>
      </c>
      <c r="I44" s="494">
        <f t="shared" si="1"/>
        <v>100</v>
      </c>
      <c r="J44" s="328">
        <v>1100000</v>
      </c>
    </row>
    <row r="45" spans="1:16" ht="17.45" customHeight="1">
      <c r="A45" s="506" t="s">
        <v>112</v>
      </c>
      <c r="B45" s="503" t="s">
        <v>113</v>
      </c>
      <c r="C45" s="502">
        <v>1100000</v>
      </c>
      <c r="D45" s="502">
        <v>1100000</v>
      </c>
      <c r="E45" s="501">
        <v>1100000</v>
      </c>
      <c r="F45" s="502"/>
      <c r="G45" s="502">
        <f>J45+F45</f>
        <v>1100000</v>
      </c>
      <c r="H45" s="508">
        <f t="shared" si="0"/>
        <v>0</v>
      </c>
      <c r="I45" s="494">
        <f t="shared" si="1"/>
        <v>100</v>
      </c>
      <c r="J45" s="328">
        <v>1100000</v>
      </c>
    </row>
    <row r="46" spans="1:16" ht="16.899999999999999" customHeight="1">
      <c r="A46" s="510"/>
      <c r="B46" s="511"/>
      <c r="C46" s="512"/>
      <c r="D46" s="512"/>
      <c r="E46" s="512"/>
      <c r="F46" s="512"/>
      <c r="G46" s="512"/>
      <c r="H46" s="513"/>
      <c r="I46" s="494"/>
      <c r="K46" s="778" t="s">
        <v>633</v>
      </c>
      <c r="L46" s="778"/>
      <c r="M46" s="778"/>
      <c r="N46" s="778"/>
      <c r="O46" s="778"/>
      <c r="P46" s="778"/>
    </row>
    <row r="47" spans="1:16" ht="24.6" hidden="1" customHeight="1">
      <c r="A47" s="259"/>
      <c r="B47" s="201" t="s">
        <v>114</v>
      </c>
      <c r="C47" s="201"/>
      <c r="D47" s="256">
        <f>SUM(D49)</f>
        <v>5210534</v>
      </c>
      <c r="E47" s="256">
        <f>SUM(E49)</f>
        <v>4639377</v>
      </c>
      <c r="F47" s="256">
        <f>SUM(F49:F49)</f>
        <v>1797741</v>
      </c>
      <c r="G47" s="752" t="e">
        <f>#REF!+F47</f>
        <v>#REF!</v>
      </c>
      <c r="H47" s="260" t="e">
        <f t="shared" si="0"/>
        <v>#REF!</v>
      </c>
      <c r="I47" s="494" t="e">
        <f t="shared" si="1"/>
        <v>#REF!</v>
      </c>
      <c r="J47" s="328">
        <v>4639377</v>
      </c>
    </row>
    <row r="48" spans="1:16" ht="9.6" hidden="1" customHeight="1">
      <c r="A48" s="259"/>
      <c r="B48" s="202"/>
      <c r="C48" s="202"/>
      <c r="D48" s="257"/>
      <c r="E48" s="257"/>
      <c r="F48" s="257"/>
      <c r="G48" s="753">
        <f>F48</f>
        <v>0</v>
      </c>
      <c r="H48" s="261" t="s">
        <v>12</v>
      </c>
      <c r="I48" s="494" t="e">
        <f t="shared" si="1"/>
        <v>#DIV/0!</v>
      </c>
      <c r="J48" s="328">
        <v>0</v>
      </c>
    </row>
    <row r="49" spans="1:10" ht="24.6" hidden="1" customHeight="1">
      <c r="A49" s="259"/>
      <c r="B49" s="202" t="s">
        <v>115</v>
      </c>
      <c r="C49" s="202"/>
      <c r="D49" s="257">
        <v>5210534</v>
      </c>
      <c r="E49" s="257">
        <v>4639377</v>
      </c>
      <c r="F49" s="257">
        <f>1779848+17893</f>
        <v>1797741</v>
      </c>
      <c r="G49" s="753" t="e">
        <f>F49+#REF!</f>
        <v>#REF!</v>
      </c>
      <c r="H49" s="261" t="e">
        <f>+G49-E49</f>
        <v>#REF!</v>
      </c>
      <c r="I49" s="494" t="e">
        <f t="shared" si="1"/>
        <v>#REF!</v>
      </c>
      <c r="J49" s="328">
        <v>4639377</v>
      </c>
    </row>
    <row r="50" spans="1:10" ht="7.15" hidden="1" customHeight="1">
      <c r="A50" s="5"/>
      <c r="B50" s="262"/>
      <c r="C50" s="262"/>
      <c r="D50" s="263"/>
      <c r="E50" s="258" t="s">
        <v>12</v>
      </c>
      <c r="F50" s="258" t="s">
        <v>12</v>
      </c>
      <c r="G50" s="754" t="s">
        <v>12</v>
      </c>
      <c r="H50" s="258" t="s">
        <v>12</v>
      </c>
      <c r="I50" s="494" t="e">
        <f t="shared" si="1"/>
        <v>#VALUE!</v>
      </c>
      <c r="J50" s="328" t="s">
        <v>12</v>
      </c>
    </row>
    <row r="51" spans="1:10" ht="9" customHeight="1">
      <c r="A51"/>
      <c r="B51" s="264" t="s">
        <v>12</v>
      </c>
      <c r="C51" s="265"/>
      <c r="D51" s="265"/>
      <c r="E51" s="266"/>
      <c r="F51" s="266"/>
      <c r="G51" s="755"/>
      <c r="H51" s="267"/>
      <c r="I51" s="265"/>
    </row>
    <row r="52" spans="1:10">
      <c r="A52" s="784" t="s">
        <v>23</v>
      </c>
      <c r="B52" s="784"/>
      <c r="C52" s="90"/>
      <c r="D52" s="1"/>
      <c r="E52" s="1"/>
      <c r="F52" s="1"/>
      <c r="G52" s="36"/>
      <c r="H52" s="268"/>
      <c r="I52"/>
    </row>
    <row r="53" spans="1:10" ht="15.75">
      <c r="B53" s="269" t="s">
        <v>12</v>
      </c>
      <c r="C53" s="269"/>
      <c r="D53" s="41"/>
      <c r="E53" s="204"/>
      <c r="F53" s="747"/>
      <c r="G53" s="756"/>
      <c r="H53" s="204"/>
      <c r="I53" s="273"/>
    </row>
    <row r="54" spans="1:10" ht="15.75">
      <c r="B54" s="270" t="s">
        <v>12</v>
      </c>
      <c r="C54" s="270"/>
      <c r="D54" s="271" t="s">
        <v>12</v>
      </c>
      <c r="E54" s="204"/>
      <c r="F54" s="747"/>
      <c r="G54" s="756"/>
      <c r="H54" s="204"/>
      <c r="I54" s="273"/>
    </row>
    <row r="55" spans="1:10" ht="15.75">
      <c r="B55" s="270" t="s">
        <v>12</v>
      </c>
      <c r="C55" s="270"/>
      <c r="D55" s="100"/>
      <c r="E55" s="204"/>
      <c r="F55" s="747"/>
      <c r="G55" s="756"/>
      <c r="H55" s="204"/>
      <c r="I55" s="273"/>
    </row>
    <row r="56" spans="1:10" ht="15.75">
      <c r="B56" s="269" t="s">
        <v>12</v>
      </c>
      <c r="C56" s="269"/>
      <c r="D56" s="204"/>
      <c r="E56" s="204"/>
      <c r="F56" s="747"/>
      <c r="G56" s="756"/>
      <c r="H56" s="204"/>
      <c r="I56" s="273"/>
    </row>
    <row r="57" spans="1:10" ht="15.75">
      <c r="B57" s="269" t="s">
        <v>12</v>
      </c>
      <c r="C57" s="269"/>
      <c r="D57" s="204"/>
      <c r="E57" s="204"/>
      <c r="F57" s="747"/>
      <c r="G57" s="756"/>
      <c r="H57" s="204"/>
      <c r="I57" s="273"/>
    </row>
    <row r="58" spans="1:10" ht="15.75">
      <c r="B58" s="269" t="s">
        <v>12</v>
      </c>
      <c r="C58" s="269"/>
      <c r="D58" s="204"/>
      <c r="E58" s="204"/>
      <c r="F58" s="747"/>
      <c r="G58" s="756"/>
      <c r="H58" s="204"/>
      <c r="I58" s="273"/>
    </row>
    <row r="59" spans="1:10" ht="15.75">
      <c r="B59" s="269" t="s">
        <v>12</v>
      </c>
      <c r="C59" s="269"/>
      <c r="D59" s="204"/>
      <c r="E59" s="204"/>
      <c r="F59" s="747"/>
      <c r="G59" s="756"/>
      <c r="H59" s="204"/>
      <c r="I59" s="273"/>
    </row>
    <row r="60" spans="1:10">
      <c r="D60" s="191"/>
      <c r="E60" s="191"/>
      <c r="F60" s="748"/>
      <c r="G60" s="757"/>
      <c r="H60" s="191"/>
      <c r="I60" s="273"/>
    </row>
    <row r="129" spans="5:5">
      <c r="E129" s="4" t="s">
        <v>12</v>
      </c>
    </row>
  </sheetData>
  <mergeCells count="12">
    <mergeCell ref="A52:B52"/>
    <mergeCell ref="A6:A7"/>
    <mergeCell ref="B6:B7"/>
    <mergeCell ref="C6:E6"/>
    <mergeCell ref="F6:G6"/>
    <mergeCell ref="K46:P46"/>
    <mergeCell ref="A1:I1"/>
    <mergeCell ref="A2:I2"/>
    <mergeCell ref="A3:I3"/>
    <mergeCell ref="A4:I4"/>
    <mergeCell ref="H6:I6"/>
    <mergeCell ref="K9:P9"/>
  </mergeCells>
  <pageMargins left="0.27559055118110237" right="0.11811023622047245" top="0.74803149606299213" bottom="0.98425196850393704" header="0.51181102362204722" footer="0.51181102362204722"/>
  <pageSetup scale="55" firstPageNumber="0" orientation="landscape" useFirstPageNumber="1" r:id="rId1"/>
  <headerFooter alignWithMargins="0">
    <oddFooter>&amp;R&amp;"Arial,Negrita"</oddFooter>
  </headerFooter>
  <ignoredErrors>
    <ignoredError sqref="E15:F15 E21 G42:G43 G30 G22:G23 H25 F40 E9 E11 F42 E43 G33:G34 F4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3">
    <tabColor theme="8" tint="0.39985351115451523"/>
    <pageSetUpPr fitToPage="1"/>
  </sheetPr>
  <dimension ref="A1:Y70"/>
  <sheetViews>
    <sheetView showGridLines="0" showZeros="0" zoomScaleNormal="100" workbookViewId="0">
      <selection activeCell="Q6" sqref="Q6"/>
    </sheetView>
  </sheetViews>
  <sheetFormatPr baseColWidth="10" defaultColWidth="11.42578125" defaultRowHeight="12.75"/>
  <cols>
    <col min="1" max="1" width="40.28515625" customWidth="1"/>
    <col min="2" max="2" width="17.42578125" customWidth="1"/>
    <col min="3" max="3" width="15.85546875" customWidth="1"/>
    <col min="4" max="4" width="14.7109375" customWidth="1"/>
    <col min="5" max="5" width="6.28515625" hidden="1" customWidth="1"/>
    <col min="6" max="6" width="16.5703125" customWidth="1"/>
    <col min="7" max="7" width="11.28515625" customWidth="1"/>
    <col min="8" max="8" width="15.140625" customWidth="1"/>
    <col min="9" max="9" width="15" customWidth="1"/>
    <col min="10" max="10" width="9.7109375" style="140" customWidth="1"/>
    <col min="11" max="11" width="19.7109375" customWidth="1"/>
    <col min="12" max="12" width="12" customWidth="1"/>
    <col min="13" max="13" width="22.42578125" customWidth="1"/>
    <col min="14" max="14" width="11.5703125" customWidth="1"/>
    <col min="15" max="15" width="9.140625" customWidth="1"/>
    <col min="16" max="16" width="9.28515625" customWidth="1"/>
    <col min="17" max="17" width="15.140625" customWidth="1"/>
    <col min="18" max="18" width="22.42578125" customWidth="1"/>
    <col min="20" max="20" width="1.42578125" customWidth="1"/>
    <col min="21" max="21" width="3.140625" customWidth="1"/>
    <col min="22" max="22" width="0.42578125" customWidth="1"/>
    <col min="23" max="23" width="1.5703125" customWidth="1"/>
    <col min="24" max="24" width="0.42578125" customWidth="1"/>
  </cols>
  <sheetData>
    <row r="1" spans="1:25" ht="15.75">
      <c r="A1" s="779" t="s">
        <v>61</v>
      </c>
      <c r="B1" s="779"/>
      <c r="C1" s="779"/>
      <c r="D1" s="779"/>
      <c r="E1" s="779"/>
      <c r="F1" s="779"/>
      <c r="G1" s="779"/>
      <c r="H1" s="779"/>
      <c r="I1" s="779"/>
      <c r="J1" s="779"/>
    </row>
    <row r="2" spans="1:25" ht="15.75">
      <c r="A2" s="779" t="s">
        <v>62</v>
      </c>
      <c r="B2" s="779"/>
      <c r="C2" s="779"/>
      <c r="D2" s="779"/>
      <c r="E2" s="779"/>
      <c r="F2" s="779"/>
      <c r="G2" s="779"/>
      <c r="H2" s="779"/>
      <c r="I2" s="779"/>
      <c r="J2" s="779"/>
    </row>
    <row r="3" spans="1:25" ht="15">
      <c r="A3" s="790" t="s">
        <v>116</v>
      </c>
      <c r="B3" s="791"/>
      <c r="C3" s="791"/>
      <c r="D3" s="791"/>
      <c r="E3" s="791"/>
      <c r="F3" s="791"/>
      <c r="G3" s="791"/>
      <c r="H3" s="791"/>
      <c r="I3" s="791"/>
      <c r="J3" s="792"/>
    </row>
    <row r="4" spans="1:25" ht="15">
      <c r="A4" s="790" t="s">
        <v>637</v>
      </c>
      <c r="B4" s="791"/>
      <c r="C4" s="791"/>
      <c r="D4" s="791"/>
      <c r="E4" s="791"/>
      <c r="F4" s="791"/>
      <c r="G4" s="791"/>
      <c r="H4" s="791"/>
      <c r="I4" s="791"/>
      <c r="J4" s="792"/>
    </row>
    <row r="5" spans="1:25" ht="14.25">
      <c r="A5" s="206"/>
      <c r="B5" s="207"/>
      <c r="C5" s="207"/>
      <c r="D5" s="207"/>
      <c r="E5" s="207"/>
      <c r="F5" s="207"/>
      <c r="G5" s="207"/>
      <c r="H5" s="207"/>
      <c r="I5" s="207"/>
    </row>
    <row r="6" spans="1:25" ht="21" customHeight="1">
      <c r="A6" s="798" t="s">
        <v>0</v>
      </c>
      <c r="B6" s="800" t="s">
        <v>117</v>
      </c>
      <c r="C6" s="793" t="s">
        <v>49</v>
      </c>
      <c r="D6" s="794"/>
      <c r="E6" s="794"/>
      <c r="F6" s="795"/>
      <c r="G6" s="796" t="s">
        <v>118</v>
      </c>
      <c r="H6" s="796"/>
      <c r="I6" s="796" t="s">
        <v>24</v>
      </c>
      <c r="J6" s="797"/>
    </row>
    <row r="7" spans="1:25" ht="33" customHeight="1">
      <c r="A7" s="799"/>
      <c r="B7" s="801"/>
      <c r="C7" s="459" t="s">
        <v>2</v>
      </c>
      <c r="D7" s="459" t="s">
        <v>3</v>
      </c>
      <c r="E7" s="460" t="s">
        <v>3</v>
      </c>
      <c r="F7" s="460" t="s">
        <v>25</v>
      </c>
      <c r="G7" s="460" t="s">
        <v>67</v>
      </c>
      <c r="H7" s="460" t="s">
        <v>119</v>
      </c>
      <c r="I7" s="460" t="s">
        <v>120</v>
      </c>
      <c r="J7" s="461" t="s">
        <v>27</v>
      </c>
      <c r="L7" s="237"/>
    </row>
    <row r="8" spans="1:25" ht="20.100000000000001" customHeight="1">
      <c r="A8" s="208"/>
      <c r="B8" s="209"/>
      <c r="C8" s="210"/>
      <c r="D8" s="211"/>
      <c r="E8" s="211"/>
      <c r="F8" s="212"/>
      <c r="G8" s="212"/>
      <c r="H8" s="212"/>
      <c r="I8" s="212"/>
      <c r="J8" s="444"/>
      <c r="K8" s="36"/>
    </row>
    <row r="9" spans="1:25" ht="20.100000000000001" customHeight="1">
      <c r="A9" s="213" t="s">
        <v>32</v>
      </c>
      <c r="B9" s="214"/>
      <c r="C9" s="215">
        <f t="shared" ref="C9:H9" si="0">+C11+C22</f>
        <v>179349116</v>
      </c>
      <c r="D9" s="215">
        <f t="shared" si="0"/>
        <v>179349116</v>
      </c>
      <c r="E9" s="215" t="e">
        <f t="shared" si="0"/>
        <v>#REF!</v>
      </c>
      <c r="F9" s="215">
        <f>F11+F22</f>
        <v>40083741</v>
      </c>
      <c r="G9" s="215">
        <f>G11+G22</f>
        <v>13412098.58</v>
      </c>
      <c r="H9" s="215">
        <f t="shared" si="0"/>
        <v>16310340.370000001</v>
      </c>
      <c r="I9" s="238">
        <f>+H9-F9</f>
        <v>-23773400.629999999</v>
      </c>
      <c r="J9" s="445">
        <f>+H9/F9*100</f>
        <v>40.690664002643864</v>
      </c>
      <c r="K9" s="189"/>
      <c r="L9" s="1" t="s">
        <v>12</v>
      </c>
    </row>
    <row r="10" spans="1:25" ht="20.100000000000001" customHeight="1">
      <c r="A10" s="213"/>
      <c r="B10" s="214"/>
      <c r="C10" s="215"/>
      <c r="D10" s="215"/>
      <c r="E10" s="215"/>
      <c r="F10" s="215"/>
      <c r="G10" s="215"/>
      <c r="H10" s="215" t="s">
        <v>12</v>
      </c>
      <c r="I10" s="215"/>
      <c r="J10" s="445"/>
      <c r="K10" s="189"/>
      <c r="M10" t="s">
        <v>12</v>
      </c>
      <c r="R10" s="1" t="s">
        <v>12</v>
      </c>
    </row>
    <row r="11" spans="1:25" ht="20.100000000000001" customHeight="1">
      <c r="A11" s="213" t="s">
        <v>33</v>
      </c>
      <c r="B11" s="214"/>
      <c r="C11" s="215">
        <f t="shared" ref="C11:H11" si="1">SUM(C13:C20)</f>
        <v>13228172</v>
      </c>
      <c r="D11" s="215">
        <f t="shared" si="1"/>
        <v>13228172</v>
      </c>
      <c r="E11" s="215" t="e">
        <f t="shared" si="1"/>
        <v>#REF!</v>
      </c>
      <c r="F11" s="325">
        <f t="shared" si="1"/>
        <v>6767609</v>
      </c>
      <c r="G11" s="325">
        <f t="shared" si="1"/>
        <v>640225.57999999984</v>
      </c>
      <c r="H11" s="215">
        <f t="shared" si="1"/>
        <v>3538467.37</v>
      </c>
      <c r="I11" s="215">
        <f>F11-H11</f>
        <v>3229141.63</v>
      </c>
      <c r="J11" s="445">
        <f>+H11/F11*100</f>
        <v>52.285339918426146</v>
      </c>
      <c r="K11" s="189"/>
      <c r="L11" s="1"/>
    </row>
    <row r="12" spans="1:25" ht="20.100000000000001" customHeight="1">
      <c r="A12" s="216"/>
      <c r="B12" s="217"/>
      <c r="C12" s="218"/>
      <c r="D12" s="218"/>
      <c r="E12" s="218"/>
      <c r="F12" s="218" t="s">
        <v>12</v>
      </c>
      <c r="G12" s="218"/>
      <c r="H12" s="218"/>
      <c r="I12" s="218"/>
      <c r="J12" s="446"/>
      <c r="K12" s="239"/>
    </row>
    <row r="13" spans="1:25" ht="20.100000000000001" customHeight="1">
      <c r="A13" s="219" t="s">
        <v>547</v>
      </c>
      <c r="B13" s="220" t="s">
        <v>121</v>
      </c>
      <c r="C13" s="221">
        <f>+RECAUDACION!C18</f>
        <v>1264345</v>
      </c>
      <c r="D13" s="221">
        <f>+RECAUDACION!D18</f>
        <v>1264345</v>
      </c>
      <c r="E13" s="221" t="e">
        <f>+RECAUDACION!#REF!</f>
        <v>#REF!</v>
      </c>
      <c r="F13" s="323">
        <f>+RECAUDACION!E18</f>
        <v>25291</v>
      </c>
      <c r="G13" s="323">
        <f>+RECAUDACION!F18</f>
        <v>5519</v>
      </c>
      <c r="H13" s="323">
        <f>+RECAUDACION!G18</f>
        <v>11874.23</v>
      </c>
      <c r="I13" s="240">
        <f>+H13-F13</f>
        <v>-13416.77</v>
      </c>
      <c r="J13" s="447">
        <f t="shared" ref="J13:J20" si="2">+H13/F13*100</f>
        <v>46.950417144438731</v>
      </c>
      <c r="K13" s="241"/>
      <c r="L13" s="1"/>
      <c r="M13" s="242"/>
      <c r="N13" s="1"/>
      <c r="R13" s="36"/>
      <c r="S13" s="250"/>
      <c r="T13" s="250"/>
      <c r="U13" s="251"/>
      <c r="V13" s="251"/>
      <c r="W13" s="251"/>
      <c r="X13" s="251"/>
      <c r="Y13" s="251"/>
    </row>
    <row r="14" spans="1:25" ht="20.100000000000001" customHeight="1">
      <c r="A14" s="219" t="s">
        <v>34</v>
      </c>
      <c r="B14" s="220" t="s">
        <v>122</v>
      </c>
      <c r="C14" s="221">
        <f>+RECAUDACION!C19</f>
        <v>2408366</v>
      </c>
      <c r="D14" s="221">
        <f>+RECAUDACION!D19</f>
        <v>2408366</v>
      </c>
      <c r="E14" s="221" t="e">
        <f>+RECAUDACION!#REF!</f>
        <v>#REF!</v>
      </c>
      <c r="F14" s="323">
        <f>+RECAUDACION!E19</f>
        <v>661062</v>
      </c>
      <c r="G14" s="323">
        <f>+RECAUDACION!F19</f>
        <v>65705.149999999994</v>
      </c>
      <c r="H14" s="323">
        <f>+RECAUDACION!G19</f>
        <v>134633.34999999998</v>
      </c>
      <c r="I14" s="240">
        <f t="shared" ref="I14:I20" si="3">+H14-F14</f>
        <v>-526428.65</v>
      </c>
      <c r="J14" s="447">
        <f t="shared" si="2"/>
        <v>20.366221322659595</v>
      </c>
      <c r="K14" s="241"/>
      <c r="L14" s="1"/>
      <c r="M14" s="242"/>
      <c r="S14" s="250"/>
      <c r="T14" s="250"/>
      <c r="U14" s="251"/>
      <c r="V14" s="251"/>
      <c r="W14" s="251"/>
      <c r="X14" s="251"/>
      <c r="Y14" s="251"/>
    </row>
    <row r="15" spans="1:25" ht="20.100000000000001" customHeight="1">
      <c r="A15" s="222" t="s">
        <v>35</v>
      </c>
      <c r="B15" s="220" t="s">
        <v>123</v>
      </c>
      <c r="C15" s="221">
        <f>+RECAUDACION!C28</f>
        <v>5674884</v>
      </c>
      <c r="D15" s="221">
        <f>+RECAUDACION!D28</f>
        <v>5674884</v>
      </c>
      <c r="E15" s="221" t="e">
        <f>+RECAUDACION!#REF!</f>
        <v>#REF!</v>
      </c>
      <c r="F15" s="323">
        <f>+RECAUDACION!E28</f>
        <v>3366994</v>
      </c>
      <c r="G15" s="323">
        <f>+RECAUDACION!F28</f>
        <v>384825.29</v>
      </c>
      <c r="H15" s="323">
        <f>+RECAUDACION!G28</f>
        <v>918348.5</v>
      </c>
      <c r="I15" s="243">
        <f t="shared" si="3"/>
        <v>-2448645.5</v>
      </c>
      <c r="J15" s="447">
        <f t="shared" si="2"/>
        <v>27.275026329123246</v>
      </c>
      <c r="K15" s="241"/>
      <c r="L15" s="1"/>
      <c r="M15" s="242"/>
      <c r="S15" s="250"/>
      <c r="T15" s="250"/>
      <c r="U15" s="251"/>
      <c r="V15" s="251"/>
      <c r="W15" s="251"/>
      <c r="X15" s="251"/>
      <c r="Y15" s="251"/>
    </row>
    <row r="16" spans="1:25" ht="20.100000000000001" customHeight="1">
      <c r="A16" s="222" t="s">
        <v>36</v>
      </c>
      <c r="B16" s="220" t="s">
        <v>124</v>
      </c>
      <c r="C16" s="221">
        <f>+RECAUDACION!C29</f>
        <v>72985</v>
      </c>
      <c r="D16" s="221">
        <f>+RECAUDACION!D29</f>
        <v>72985</v>
      </c>
      <c r="E16" s="221" t="e">
        <f>+RECAUDACION!#REF!</f>
        <v>#REF!</v>
      </c>
      <c r="F16" s="323">
        <f>+RECAUDACION!E29</f>
        <v>10951</v>
      </c>
      <c r="G16" s="323">
        <f>+RECAUDACION!F29</f>
        <v>5798.87</v>
      </c>
      <c r="H16" s="323">
        <f>+RECAUDACION!G29</f>
        <v>14024.119999999999</v>
      </c>
      <c r="I16" s="243">
        <f t="shared" si="3"/>
        <v>3073.119999999999</v>
      </c>
      <c r="J16" s="447">
        <f t="shared" si="2"/>
        <v>128.06246004931057</v>
      </c>
      <c r="K16" s="241"/>
      <c r="L16" s="1"/>
      <c r="M16" s="242"/>
      <c r="S16" s="250"/>
      <c r="T16" s="250"/>
      <c r="U16" s="251"/>
      <c r="V16" s="251"/>
      <c r="W16" s="251"/>
      <c r="X16" s="251"/>
      <c r="Y16" s="251"/>
    </row>
    <row r="17" spans="1:25" ht="20.100000000000001" customHeight="1">
      <c r="A17" s="222" t="s">
        <v>37</v>
      </c>
      <c r="B17" s="220" t="s">
        <v>125</v>
      </c>
      <c r="C17" s="221">
        <f>+RECAUDACION!C27</f>
        <v>713904</v>
      </c>
      <c r="D17" s="221">
        <f>+RECAUDACION!D27</f>
        <v>713904</v>
      </c>
      <c r="E17" s="221" t="e">
        <f>+RECAUDACION!#REF!</f>
        <v>#REF!</v>
      </c>
      <c r="F17" s="323">
        <f>+RECAUDACION!E27</f>
        <v>135645</v>
      </c>
      <c r="G17" s="323">
        <f>+RECAUDACION!F27</f>
        <v>139165.46</v>
      </c>
      <c r="H17" s="323">
        <f>+RECAUDACION!G27</f>
        <v>246492.74</v>
      </c>
      <c r="I17" s="243">
        <f t="shared" si="3"/>
        <v>110847.73999999999</v>
      </c>
      <c r="J17" s="447">
        <f t="shared" si="2"/>
        <v>181.71900180618525</v>
      </c>
      <c r="K17" s="241"/>
      <c r="L17" s="1"/>
      <c r="M17" s="242"/>
      <c r="S17" s="250"/>
      <c r="T17" s="250"/>
      <c r="U17" s="251"/>
      <c r="V17" s="251"/>
      <c r="W17" s="251"/>
      <c r="X17" s="251"/>
      <c r="Y17" s="251"/>
    </row>
    <row r="18" spans="1:25" ht="20.100000000000001" customHeight="1">
      <c r="A18" s="222" t="s">
        <v>38</v>
      </c>
      <c r="B18" s="220" t="s">
        <v>126</v>
      </c>
      <c r="C18" s="221">
        <f>+RECAUDACION!C32</f>
        <v>993688</v>
      </c>
      <c r="D18" s="221">
        <f>+RECAUDACION!D32</f>
        <v>993688</v>
      </c>
      <c r="E18" s="221" t="e">
        <f>+RECAUDACION!#REF!</f>
        <v>#REF!</v>
      </c>
      <c r="F18" s="323">
        <f>+RECAUDACION!E32</f>
        <v>467666</v>
      </c>
      <c r="G18" s="323">
        <f>+RECAUDACION!F32</f>
        <v>39211.81</v>
      </c>
      <c r="H18" s="323">
        <f>+RECAUDACION!G32</f>
        <v>113094.43</v>
      </c>
      <c r="I18" s="240">
        <f t="shared" si="3"/>
        <v>-354571.57</v>
      </c>
      <c r="J18" s="447">
        <f t="shared" si="2"/>
        <v>24.182735114376499</v>
      </c>
      <c r="K18" s="241"/>
      <c r="L18" s="1"/>
      <c r="M18" s="242"/>
      <c r="N18" s="1"/>
      <c r="S18" s="250"/>
      <c r="T18" s="250"/>
      <c r="U18" s="251"/>
      <c r="V18" s="251"/>
      <c r="W18" s="251"/>
      <c r="X18" s="251"/>
      <c r="Y18" s="251"/>
    </row>
    <row r="19" spans="1:25" ht="20.100000000000001" customHeight="1">
      <c r="A19" s="222" t="s">
        <v>127</v>
      </c>
      <c r="B19" s="220" t="s">
        <v>128</v>
      </c>
      <c r="C19" s="221">
        <v>1000000</v>
      </c>
      <c r="D19" s="221">
        <v>1000000</v>
      </c>
      <c r="E19" s="221"/>
      <c r="F19" s="323">
        <v>1000000</v>
      </c>
      <c r="G19" s="323"/>
      <c r="H19" s="323">
        <f>+RECAUDACION!G35</f>
        <v>1000000</v>
      </c>
      <c r="I19" s="240">
        <f t="shared" si="3"/>
        <v>0</v>
      </c>
      <c r="J19" s="447">
        <f t="shared" si="2"/>
        <v>100</v>
      </c>
      <c r="K19" s="241"/>
      <c r="L19" s="1"/>
      <c r="M19" s="242"/>
      <c r="S19" s="250"/>
      <c r="T19" s="250"/>
      <c r="U19" s="251"/>
      <c r="V19" s="251"/>
      <c r="W19" s="251"/>
      <c r="X19" s="251"/>
      <c r="Y19" s="251"/>
    </row>
    <row r="20" spans="1:25" ht="20.100000000000001" customHeight="1">
      <c r="A20" s="222" t="s">
        <v>39</v>
      </c>
      <c r="B20" s="220" t="s">
        <v>129</v>
      </c>
      <c r="C20" s="221">
        <f>+RECAUDACION!C45</f>
        <v>1100000</v>
      </c>
      <c r="D20" s="221">
        <f>+RECAUDACION!D45</f>
        <v>1100000</v>
      </c>
      <c r="E20" s="221" t="e">
        <f>+RECAUDACION!#REF!</f>
        <v>#REF!</v>
      </c>
      <c r="F20" s="323">
        <f>+RECAUDACION!E45</f>
        <v>1100000</v>
      </c>
      <c r="G20" s="323">
        <f>+RECAUDACION!F42</f>
        <v>0</v>
      </c>
      <c r="H20" s="323">
        <f>+RECAUDACION!G45</f>
        <v>1100000</v>
      </c>
      <c r="I20" s="240">
        <f t="shared" si="3"/>
        <v>0</v>
      </c>
      <c r="J20" s="447">
        <f t="shared" si="2"/>
        <v>100</v>
      </c>
      <c r="K20" s="241"/>
      <c r="L20" s="1"/>
      <c r="M20" s="242"/>
      <c r="S20" s="250"/>
      <c r="T20" s="250"/>
      <c r="U20" s="251"/>
      <c r="V20" s="251"/>
      <c r="W20" s="251"/>
      <c r="X20" s="251"/>
      <c r="Y20" s="251"/>
    </row>
    <row r="21" spans="1:25" ht="20.100000000000001" customHeight="1">
      <c r="A21" s="219"/>
      <c r="B21" s="223"/>
      <c r="C21" s="224"/>
      <c r="D21" s="218"/>
      <c r="E21" s="218"/>
      <c r="F21" s="324" t="s">
        <v>12</v>
      </c>
      <c r="G21" s="324" t="s">
        <v>12</v>
      </c>
      <c r="H21" s="324" t="str">
        <f>G21</f>
        <v xml:space="preserve"> </v>
      </c>
      <c r="I21" s="244"/>
      <c r="J21" s="446"/>
      <c r="K21" s="239"/>
      <c r="L21" s="1"/>
      <c r="M21" s="242"/>
      <c r="S21" s="250"/>
      <c r="T21" s="250"/>
      <c r="U21" s="251"/>
      <c r="V21" s="251"/>
      <c r="W21" s="251"/>
      <c r="X21" s="251"/>
      <c r="Y21" s="251"/>
    </row>
    <row r="22" spans="1:25" ht="20.100000000000001" customHeight="1">
      <c r="A22" s="213" t="s">
        <v>22</v>
      </c>
      <c r="B22" s="225"/>
      <c r="C22" s="226">
        <f>+C24+C30</f>
        <v>166120944</v>
      </c>
      <c r="D22" s="215">
        <f>+D24+D30</f>
        <v>166120944</v>
      </c>
      <c r="E22" s="215">
        <f>+E24+E30</f>
        <v>99974034</v>
      </c>
      <c r="F22" s="325">
        <f>F24+F30</f>
        <v>33316132</v>
      </c>
      <c r="G22" s="325">
        <f>+G24+G30</f>
        <v>12771873</v>
      </c>
      <c r="H22" s="325">
        <f>+G22+K22</f>
        <v>12771873</v>
      </c>
      <c r="I22" s="238">
        <f>H22-F22</f>
        <v>-20544259</v>
      </c>
      <c r="J22" s="445">
        <f>+H22/F22*100</f>
        <v>38.335401600641994</v>
      </c>
      <c r="K22" s="245"/>
      <c r="L22" s="1"/>
      <c r="M22" s="242" t="s">
        <v>12</v>
      </c>
      <c r="S22" s="252"/>
      <c r="T22" s="252"/>
      <c r="U22" s="251"/>
      <c r="V22" s="251"/>
      <c r="W22" s="251"/>
      <c r="X22" s="251"/>
      <c r="Y22" s="251"/>
    </row>
    <row r="23" spans="1:25" ht="20.100000000000001" customHeight="1">
      <c r="A23" s="213" t="s">
        <v>12</v>
      </c>
      <c r="B23" s="225"/>
      <c r="C23" s="227"/>
      <c r="D23" s="215"/>
      <c r="E23" s="215"/>
      <c r="F23" s="325"/>
      <c r="G23" s="325"/>
      <c r="H23" s="325">
        <f>G23</f>
        <v>0</v>
      </c>
      <c r="I23" s="226"/>
      <c r="J23" s="445"/>
      <c r="K23" s="245">
        <v>0</v>
      </c>
      <c r="L23" s="1"/>
      <c r="M23" s="242"/>
      <c r="R23" s="1"/>
      <c r="S23" s="250"/>
      <c r="T23" s="250"/>
      <c r="U23" s="251"/>
      <c r="V23" s="251"/>
      <c r="W23" s="251"/>
      <c r="X23" s="251"/>
      <c r="Y23" s="251"/>
    </row>
    <row r="24" spans="1:25" ht="33" customHeight="1">
      <c r="A24" s="228" t="s">
        <v>45</v>
      </c>
      <c r="B24" s="225" t="s">
        <v>130</v>
      </c>
      <c r="C24" s="215">
        <f>SUM(C26:C28)</f>
        <v>121012398</v>
      </c>
      <c r="D24" s="215">
        <f>SUM(D26:D28)</f>
        <v>121012398</v>
      </c>
      <c r="E24" s="215">
        <f>SUM(E26:E28)</f>
        <v>94763500</v>
      </c>
      <c r="F24" s="325">
        <f>+F26+F27+F28</f>
        <v>24288147</v>
      </c>
      <c r="G24" s="325">
        <f>SUM(G26:G28)</f>
        <v>12771873</v>
      </c>
      <c r="H24" s="325">
        <f>H26+H27+H28</f>
        <v>12771873</v>
      </c>
      <c r="I24" s="238">
        <f>+H24-F24</f>
        <v>-11516274</v>
      </c>
      <c r="J24" s="445">
        <f>+H24/F24*100</f>
        <v>52.584797843985378</v>
      </c>
      <c r="K24" s="245"/>
      <c r="L24" s="1"/>
      <c r="M24" s="242"/>
      <c r="S24" s="252"/>
      <c r="T24" s="252"/>
      <c r="U24" s="251"/>
      <c r="V24" s="251"/>
      <c r="W24" s="251"/>
      <c r="X24" s="251"/>
      <c r="Y24" s="251"/>
    </row>
    <row r="25" spans="1:25" ht="17.45" customHeight="1">
      <c r="A25" s="228"/>
      <c r="B25" s="225"/>
      <c r="C25" s="227"/>
      <c r="D25" s="215"/>
      <c r="E25" s="215"/>
      <c r="F25" s="325"/>
      <c r="G25" s="215"/>
      <c r="H25" s="215"/>
      <c r="I25" s="226"/>
      <c r="J25" s="445"/>
      <c r="K25" s="245"/>
      <c r="L25" s="1"/>
      <c r="M25" s="242"/>
      <c r="S25" s="252"/>
      <c r="T25" s="252"/>
      <c r="U25" s="251"/>
      <c r="V25" s="251"/>
      <c r="W25" s="251"/>
      <c r="X25" s="251"/>
      <c r="Y25" s="251"/>
    </row>
    <row r="26" spans="1:25" ht="20.100000000000001" customHeight="1">
      <c r="A26" s="222" t="s">
        <v>131</v>
      </c>
      <c r="B26" s="223"/>
      <c r="C26" s="221">
        <v>104211900</v>
      </c>
      <c r="D26" s="221">
        <v>104211900</v>
      </c>
      <c r="E26" s="221">
        <v>88702609</v>
      </c>
      <c r="F26" s="323">
        <f>10155997+9614203</f>
        <v>19770200</v>
      </c>
      <c r="G26" s="221">
        <v>9614203</v>
      </c>
      <c r="H26" s="221">
        <f>K26+G26</f>
        <v>9614203</v>
      </c>
      <c r="I26" s="240">
        <f>+H26-F26</f>
        <v>-10155997</v>
      </c>
      <c r="J26" s="447">
        <f>+H26/F26*100</f>
        <v>48.62977106958958</v>
      </c>
      <c r="K26" s="246"/>
      <c r="L26" s="1"/>
      <c r="M26" s="242"/>
      <c r="S26" s="250"/>
      <c r="T26" s="250"/>
      <c r="U26" s="251"/>
      <c r="V26" s="251"/>
      <c r="W26" s="251"/>
      <c r="X26" s="251"/>
      <c r="Y26" s="251"/>
    </row>
    <row r="27" spans="1:25" ht="20.100000000000001" customHeight="1">
      <c r="A27" s="222" t="s">
        <v>132</v>
      </c>
      <c r="B27" s="220" t="s">
        <v>12</v>
      </c>
      <c r="C27" s="221">
        <v>100000</v>
      </c>
      <c r="D27" s="221">
        <v>100000</v>
      </c>
      <c r="E27" s="221" t="s">
        <v>12</v>
      </c>
      <c r="F27" s="323">
        <f>10000+10000</f>
        <v>20000</v>
      </c>
      <c r="G27" s="221">
        <v>10000</v>
      </c>
      <c r="H27" s="221">
        <f>K27+G27</f>
        <v>10000</v>
      </c>
      <c r="I27" s="243"/>
      <c r="J27" s="447">
        <f>+H27/F27*100</f>
        <v>50</v>
      </c>
      <c r="K27" s="246"/>
      <c r="L27" s="1"/>
      <c r="M27" s="242"/>
      <c r="S27" s="250"/>
      <c r="T27" s="250"/>
      <c r="U27" s="251"/>
      <c r="V27" s="251"/>
      <c r="W27" s="251"/>
      <c r="X27" s="251"/>
      <c r="Y27" s="251"/>
    </row>
    <row r="28" spans="1:25" ht="20.100000000000001" customHeight="1">
      <c r="A28" s="222" t="s">
        <v>133</v>
      </c>
      <c r="B28" s="220"/>
      <c r="C28" s="221">
        <v>16700498</v>
      </c>
      <c r="D28" s="221">
        <v>16700498</v>
      </c>
      <c r="E28" s="221">
        <v>6060891</v>
      </c>
      <c r="F28" s="323">
        <f>1350277+3147670</f>
        <v>4497947</v>
      </c>
      <c r="G28" s="221">
        <v>3147670</v>
      </c>
      <c r="H28" s="221">
        <f>K28+G28</f>
        <v>3147670</v>
      </c>
      <c r="I28" s="240">
        <f>+H28-F28</f>
        <v>-1350277</v>
      </c>
      <c r="J28" s="447">
        <f>+H28/F28*100</f>
        <v>69.980148721183241</v>
      </c>
      <c r="K28" s="247"/>
      <c r="L28" s="1"/>
      <c r="M28" s="242"/>
      <c r="S28" s="250"/>
      <c r="T28" s="250"/>
      <c r="U28" s="251"/>
      <c r="V28" s="251"/>
      <c r="W28" s="251"/>
      <c r="X28" s="251"/>
      <c r="Y28" s="251"/>
    </row>
    <row r="29" spans="1:25" ht="20.100000000000001" customHeight="1">
      <c r="A29" s="229" t="s">
        <v>12</v>
      </c>
      <c r="B29" s="223"/>
      <c r="C29" s="218" t="s">
        <v>12</v>
      </c>
      <c r="D29" s="218" t="s">
        <v>12</v>
      </c>
      <c r="E29" s="218" t="s">
        <v>12</v>
      </c>
      <c r="F29" s="326" t="s">
        <v>12</v>
      </c>
      <c r="G29" s="221" t="s">
        <v>12</v>
      </c>
      <c r="H29" s="218" t="s">
        <v>12</v>
      </c>
      <c r="I29" s="218"/>
      <c r="J29" s="446"/>
      <c r="K29" s="248"/>
      <c r="L29" s="1"/>
      <c r="M29" s="242"/>
      <c r="S29" s="250"/>
      <c r="T29" s="250"/>
      <c r="U29" s="251"/>
      <c r="V29" s="251"/>
      <c r="W29" s="251"/>
      <c r="X29" s="251"/>
      <c r="Y29" s="251"/>
    </row>
    <row r="30" spans="1:25" ht="23.25" customHeight="1">
      <c r="A30" s="228" t="s">
        <v>46</v>
      </c>
      <c r="B30" s="225" t="s">
        <v>134</v>
      </c>
      <c r="C30" s="215">
        <v>45108546</v>
      </c>
      <c r="D30" s="215">
        <v>45108546</v>
      </c>
      <c r="E30" s="215">
        <v>5210534</v>
      </c>
      <c r="F30" s="325">
        <f>9003267+24718</f>
        <v>9027985</v>
      </c>
      <c r="G30" s="215"/>
      <c r="H30" s="215">
        <f>+G30+K30</f>
        <v>0</v>
      </c>
      <c r="I30" s="240">
        <f>+H30-F30</f>
        <v>-9027985</v>
      </c>
      <c r="J30" s="445">
        <f>+H30/F30*100</f>
        <v>0</v>
      </c>
      <c r="K30" s="249"/>
      <c r="L30" s="1" t="s">
        <v>12</v>
      </c>
      <c r="M30" s="242"/>
      <c r="S30" s="253"/>
      <c r="T30" s="253"/>
      <c r="U30" s="251"/>
      <c r="V30" s="251"/>
      <c r="W30" s="251"/>
      <c r="X30" s="251"/>
      <c r="Y30" s="251"/>
    </row>
    <row r="31" spans="1:25" ht="20.100000000000001" customHeight="1">
      <c r="A31" s="230" t="s">
        <v>12</v>
      </c>
      <c r="B31" s="231"/>
      <c r="C31" s="232"/>
      <c r="D31" s="233"/>
      <c r="E31" s="233"/>
      <c r="F31" s="327">
        <v>0</v>
      </c>
      <c r="G31" s="232" t="s">
        <v>12</v>
      </c>
      <c r="H31" s="233" t="s">
        <v>12</v>
      </c>
      <c r="I31" s="233"/>
      <c r="J31" s="448"/>
      <c r="K31" t="s">
        <v>12</v>
      </c>
    </row>
    <row r="32" spans="1:25" ht="10.5" customHeight="1">
      <c r="A32" s="234" t="s">
        <v>12</v>
      </c>
      <c r="B32" s="234"/>
      <c r="C32" s="235"/>
      <c r="D32" s="234"/>
      <c r="E32" s="234"/>
      <c r="F32" s="234"/>
      <c r="G32" s="234"/>
      <c r="H32" s="234"/>
      <c r="I32" s="234"/>
      <c r="J32" s="449"/>
    </row>
    <row r="33" spans="1:10" ht="15.75">
      <c r="A33" s="139" t="s">
        <v>40</v>
      </c>
      <c r="B33" s="139"/>
      <c r="C33" s="236"/>
      <c r="D33" s="234"/>
      <c r="E33" s="234"/>
      <c r="F33" s="234" t="s">
        <v>12</v>
      </c>
      <c r="G33" s="234"/>
      <c r="H33" s="234"/>
      <c r="I33" s="234"/>
      <c r="J33" s="449"/>
    </row>
    <row r="38" spans="1:10" ht="12" customHeight="1"/>
    <row r="69" spans="1:25">
      <c r="A69" t="s">
        <v>135</v>
      </c>
      <c r="Y69" t="s">
        <v>136</v>
      </c>
    </row>
    <row r="70" spans="1:25">
      <c r="Y70" t="s">
        <v>137</v>
      </c>
    </row>
  </sheetData>
  <mergeCells count="9">
    <mergeCell ref="A1:J1"/>
    <mergeCell ref="A2:J2"/>
    <mergeCell ref="A3:J3"/>
    <mergeCell ref="A4:J4"/>
    <mergeCell ref="C6:F6"/>
    <mergeCell ref="G6:H6"/>
    <mergeCell ref="I6:J6"/>
    <mergeCell ref="A6:A7"/>
    <mergeCell ref="B6:B7"/>
  </mergeCells>
  <pageMargins left="7.8740157480315001E-2" right="0" top="0.39370078740157499" bottom="0.39370078740157499" header="0.511811023622047" footer="0.511811023622047"/>
  <pageSetup scale="87" firstPageNumber="0" orientation="landscape" useFirstPageNumber="1" verticalDpi="4294967294" r:id="rId1"/>
  <headerFooter alignWithMargins="0"/>
  <ignoredErrors>
    <ignoredError sqref="F22:G22 H22:H23 G9 F24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39994506668294322"/>
  </sheetPr>
  <dimension ref="A1:X56"/>
  <sheetViews>
    <sheetView showGridLines="0" showZeros="0" workbookViewId="0">
      <selection activeCell="K14" sqref="K14"/>
    </sheetView>
  </sheetViews>
  <sheetFormatPr baseColWidth="10" defaultColWidth="11.42578125" defaultRowHeight="12.75"/>
  <cols>
    <col min="1" max="1" width="43.28515625" style="307" customWidth="1"/>
    <col min="2" max="2" width="12.28515625" style="307" customWidth="1"/>
    <col min="3" max="3" width="15.28515625" style="307" customWidth="1"/>
    <col min="4" max="4" width="0.140625" style="307" hidden="1" customWidth="1"/>
    <col min="5" max="5" width="9.85546875" style="307" hidden="1" customWidth="1"/>
    <col min="6" max="6" width="13.7109375" style="307" customWidth="1"/>
    <col min="7" max="7" width="14.5703125" style="307" customWidth="1"/>
    <col min="8" max="8" width="13.42578125" style="311" customWidth="1"/>
    <col min="9" max="9" width="15.140625" style="300" customWidth="1"/>
    <col min="10" max="16384" width="11.42578125" style="300"/>
  </cols>
  <sheetData>
    <row r="1" spans="1:24" ht="6.75" customHeight="1">
      <c r="A1" s="297"/>
      <c r="B1" s="297"/>
      <c r="C1" s="297"/>
      <c r="D1" s="298"/>
      <c r="E1" s="298"/>
      <c r="F1" s="298"/>
      <c r="G1" s="298"/>
      <c r="H1" s="299"/>
    </row>
    <row r="2" spans="1:24" ht="15" customHeight="1">
      <c r="A2" s="803" t="s">
        <v>61</v>
      </c>
      <c r="B2" s="803"/>
      <c r="C2" s="803"/>
      <c r="D2" s="803"/>
      <c r="E2" s="803"/>
      <c r="F2" s="803"/>
      <c r="G2" s="803"/>
      <c r="H2" s="803"/>
      <c r="I2" s="301"/>
      <c r="J2" s="301"/>
    </row>
    <row r="3" spans="1:24" ht="16.5" customHeight="1">
      <c r="A3" s="803" t="s">
        <v>62</v>
      </c>
      <c r="B3" s="803"/>
      <c r="C3" s="803"/>
      <c r="D3" s="803"/>
      <c r="E3" s="803"/>
      <c r="F3" s="803"/>
      <c r="G3" s="803"/>
      <c r="H3" s="803"/>
      <c r="I3" s="301"/>
      <c r="J3" s="301"/>
    </row>
    <row r="4" spans="1:24" ht="18" customHeight="1">
      <c r="A4" s="804" t="s">
        <v>529</v>
      </c>
      <c r="B4" s="804"/>
      <c r="C4" s="804"/>
      <c r="D4" s="804"/>
      <c r="E4" s="804"/>
      <c r="F4" s="804"/>
      <c r="G4" s="804"/>
      <c r="H4" s="804"/>
    </row>
    <row r="5" spans="1:24" ht="18" customHeight="1">
      <c r="A5" s="805" t="s">
        <v>636</v>
      </c>
      <c r="B5" s="804"/>
      <c r="C5" s="804"/>
      <c r="D5" s="804"/>
      <c r="E5" s="804"/>
      <c r="F5" s="804"/>
      <c r="G5" s="804"/>
      <c r="H5" s="804"/>
    </row>
    <row r="6" spans="1:24" ht="15.75" customHeight="1">
      <c r="A6" s="302"/>
      <c r="B6" s="302"/>
      <c r="C6" s="302"/>
      <c r="D6" s="302"/>
      <c r="E6" s="302"/>
      <c r="F6" s="302"/>
      <c r="G6" s="302"/>
      <c r="H6" s="302" t="s">
        <v>12</v>
      </c>
    </row>
    <row r="7" spans="1:24" ht="20.25" customHeight="1">
      <c r="A7" s="806" t="s">
        <v>0</v>
      </c>
      <c r="B7" s="808" t="s">
        <v>49</v>
      </c>
      <c r="C7" s="808"/>
      <c r="D7" s="808"/>
      <c r="E7" s="808"/>
      <c r="F7" s="808"/>
      <c r="G7" s="809" t="s">
        <v>42</v>
      </c>
      <c r="H7" s="811" t="s">
        <v>41</v>
      </c>
    </row>
    <row r="8" spans="1:24" ht="31.5" customHeight="1">
      <c r="A8" s="807"/>
      <c r="B8" s="514" t="s">
        <v>2</v>
      </c>
      <c r="C8" s="515" t="s">
        <v>66</v>
      </c>
      <c r="D8" s="516" t="s">
        <v>3</v>
      </c>
      <c r="E8" s="516" t="s">
        <v>3</v>
      </c>
      <c r="F8" s="516" t="s">
        <v>25</v>
      </c>
      <c r="G8" s="810"/>
      <c r="H8" s="812"/>
    </row>
    <row r="9" spans="1:24" s="303" customFormat="1" ht="6" customHeight="1">
      <c r="A9" s="517"/>
      <c r="B9" s="518"/>
      <c r="C9" s="519"/>
      <c r="D9" s="520" t="s">
        <v>12</v>
      </c>
      <c r="E9" s="520"/>
      <c r="F9" s="520"/>
      <c r="G9" s="520" t="s">
        <v>12</v>
      </c>
      <c r="H9" s="521" t="s">
        <v>12</v>
      </c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0"/>
    </row>
    <row r="10" spans="1:24" ht="24.95" customHeight="1">
      <c r="A10" s="522" t="s">
        <v>530</v>
      </c>
      <c r="B10" s="523">
        <f>+RECAUDACION!C11</f>
        <v>133140570</v>
      </c>
      <c r="C10" s="523">
        <f>+RECAUDACION!D11</f>
        <v>133140570</v>
      </c>
      <c r="D10" s="523">
        <f>+[2]CA1!D11</f>
        <v>141094806</v>
      </c>
      <c r="E10" s="524"/>
      <c r="F10" s="524">
        <f>+RECAUDACION!E11</f>
        <v>29955756</v>
      </c>
      <c r="G10" s="524">
        <f>+RECAUDACION!G11</f>
        <v>15210340.370000001</v>
      </c>
      <c r="H10" s="525">
        <f>G10/F10*100</f>
        <v>50.776019039546192</v>
      </c>
      <c r="I10" s="304"/>
    </row>
    <row r="11" spans="1:24" ht="15" customHeight="1">
      <c r="A11" s="522"/>
      <c r="B11" s="526"/>
      <c r="C11" s="523" t="s">
        <v>12</v>
      </c>
      <c r="D11" s="523">
        <f>+'EJECUCION FUNC'!E182</f>
        <v>10000</v>
      </c>
      <c r="E11" s="524"/>
      <c r="F11" s="524"/>
      <c r="G11" s="524"/>
      <c r="H11" s="527"/>
      <c r="I11" s="304" t="s">
        <v>12</v>
      </c>
    </row>
    <row r="12" spans="1:24" ht="24.95" customHeight="1">
      <c r="A12" s="528" t="s">
        <v>531</v>
      </c>
      <c r="B12" s="523">
        <f>+B14+B15</f>
        <v>133140570</v>
      </c>
      <c r="C12" s="523">
        <f>+'BALANCE GASTOS'!C11</f>
        <v>133140570</v>
      </c>
      <c r="D12" s="523" t="e">
        <f>+'BALANCE GASTOS'!#REF!</f>
        <v>#REF!</v>
      </c>
      <c r="E12" s="523"/>
      <c r="F12" s="523">
        <f>+'EJECUCION FUNC'!F183</f>
        <v>30439652</v>
      </c>
      <c r="G12" s="523">
        <f>+'EJECUCION FUNC'!H183</f>
        <v>19164333.009999998</v>
      </c>
      <c r="H12" s="525">
        <f>G12/F12*100</f>
        <v>62.958449754944631</v>
      </c>
    </row>
    <row r="13" spans="1:24" ht="15" customHeight="1">
      <c r="A13" s="529"/>
      <c r="B13" s="530"/>
      <c r="C13" s="523" t="s">
        <v>12</v>
      </c>
      <c r="D13" s="523">
        <f>+'EJECUCION FUNC'!E184</f>
        <v>0</v>
      </c>
      <c r="E13" s="531"/>
      <c r="F13" s="531"/>
      <c r="G13" s="531" t="s">
        <v>12</v>
      </c>
      <c r="H13" s="532"/>
    </row>
    <row r="14" spans="1:24" ht="24.95" customHeight="1">
      <c r="A14" s="533" t="s">
        <v>532</v>
      </c>
      <c r="B14" s="534">
        <f>+'BALANCE GASTOS'!B13</f>
        <v>131474332</v>
      </c>
      <c r="C14" s="534">
        <f>+'BALANCE GASTOS'!C13</f>
        <v>131748882</v>
      </c>
      <c r="D14" s="524" t="e">
        <f>+'BALANCE GASTOS'!#REF!</f>
        <v>#REF!</v>
      </c>
      <c r="E14" s="534"/>
      <c r="F14" s="534">
        <f>+'BALANCE GASTOS'!D13</f>
        <v>29504946</v>
      </c>
      <c r="G14" s="534">
        <f>+G12-G15</f>
        <v>19106824.639999997</v>
      </c>
      <c r="H14" s="535">
        <f>G14/F14*100</f>
        <v>64.758039685956376</v>
      </c>
      <c r="K14" s="640"/>
    </row>
    <row r="15" spans="1:24" ht="24.95" customHeight="1">
      <c r="A15" s="536" t="s">
        <v>533</v>
      </c>
      <c r="B15" s="534">
        <f>+'EJECUCION FUNC'!C159</f>
        <v>1666238</v>
      </c>
      <c r="C15" s="534">
        <f>+'EJECUCION FUNC'!E159</f>
        <v>1391688</v>
      </c>
      <c r="D15" s="524" t="e">
        <f>+'BALANCE GASTOS'!#REF!</f>
        <v>#REF!</v>
      </c>
      <c r="E15" s="534"/>
      <c r="F15" s="534">
        <f>+'EJECUCION FUNC'!F159</f>
        <v>934706</v>
      </c>
      <c r="G15" s="534">
        <f>+'EJECUCION FUNC'!H159</f>
        <v>57508.369999999995</v>
      </c>
      <c r="H15" s="535">
        <f>G15/F15*100</f>
        <v>6.1525624099984375</v>
      </c>
    </row>
    <row r="16" spans="1:24" ht="13.5" customHeight="1">
      <c r="A16" s="536"/>
      <c r="B16" s="537"/>
      <c r="C16" s="537"/>
      <c r="D16" s="534"/>
      <c r="E16" s="534"/>
      <c r="F16" s="534"/>
      <c r="G16" s="534"/>
      <c r="H16" s="535" t="s">
        <v>12</v>
      </c>
      <c r="L16" s="305" t="s">
        <v>12</v>
      </c>
    </row>
    <row r="17" spans="1:12" ht="24.95" customHeight="1">
      <c r="A17" s="528" t="s">
        <v>534</v>
      </c>
      <c r="B17" s="538"/>
      <c r="C17" s="538"/>
      <c r="D17" s="539">
        <v>0</v>
      </c>
      <c r="E17" s="539"/>
      <c r="F17" s="539">
        <v>0</v>
      </c>
      <c r="G17" s="540">
        <f>G10-G12</f>
        <v>-3953992.6399999969</v>
      </c>
      <c r="H17" s="535" t="s">
        <v>12</v>
      </c>
      <c r="L17" s="760"/>
    </row>
    <row r="18" spans="1:12" ht="12.75" customHeight="1">
      <c r="A18" s="536" t="s">
        <v>12</v>
      </c>
      <c r="B18" s="537"/>
      <c r="C18" s="537"/>
      <c r="D18" s="534"/>
      <c r="E18" s="534"/>
      <c r="F18" s="534"/>
      <c r="G18" s="534"/>
      <c r="H18" s="535" t="s">
        <v>12</v>
      </c>
    </row>
    <row r="19" spans="1:12" ht="24.95" customHeight="1">
      <c r="A19" s="528" t="s">
        <v>535</v>
      </c>
      <c r="B19" s="539">
        <f>+B21</f>
        <v>46208546</v>
      </c>
      <c r="C19" s="524">
        <f>SUM(C21)</f>
        <v>46208546</v>
      </c>
      <c r="D19" s="524">
        <f>SUM(D21:D24)</f>
        <v>46208546</v>
      </c>
      <c r="E19" s="524"/>
      <c r="F19" s="524">
        <f>SUM(F21:F24)</f>
        <v>10192820</v>
      </c>
      <c r="G19" s="524">
        <f>SUM(G21:G24)</f>
        <v>1030843.8200000001</v>
      </c>
      <c r="H19" s="525">
        <f>G19/F19*100</f>
        <v>10.11343102301424</v>
      </c>
      <c r="L19" s="762" t="s">
        <v>12</v>
      </c>
    </row>
    <row r="20" spans="1:12" ht="15.75" customHeight="1">
      <c r="A20" s="536"/>
      <c r="B20" s="537"/>
      <c r="C20" s="537"/>
      <c r="D20" s="534" t="s">
        <v>12</v>
      </c>
      <c r="E20" s="534"/>
      <c r="F20" s="534" t="s">
        <v>12</v>
      </c>
      <c r="G20" s="534"/>
      <c r="H20" s="535" t="s">
        <v>12</v>
      </c>
    </row>
    <row r="21" spans="1:12" ht="24.95" customHeight="1">
      <c r="A21" s="536" t="s">
        <v>544</v>
      </c>
      <c r="B21" s="534">
        <f>+PROYECTOS!B47</f>
        <v>46208546</v>
      </c>
      <c r="C21" s="534">
        <f>+PROYECTOS!D47</f>
        <v>46208546</v>
      </c>
      <c r="D21" s="534">
        <f>+PROYECTOS!B47</f>
        <v>46208546</v>
      </c>
      <c r="E21" s="534"/>
      <c r="F21" s="534">
        <f>+PROYECTOS!E47</f>
        <v>10192820</v>
      </c>
      <c r="G21" s="534">
        <f>+PROYECTOS!G47</f>
        <v>1030843.8200000001</v>
      </c>
      <c r="H21" s="535">
        <f>G21/F21*100</f>
        <v>10.11343102301424</v>
      </c>
      <c r="I21" s="300" t="s">
        <v>12</v>
      </c>
      <c r="L21" s="762" t="s">
        <v>12</v>
      </c>
    </row>
    <row r="22" spans="1:12" ht="24.95" customHeight="1">
      <c r="A22" s="536" t="s">
        <v>536</v>
      </c>
      <c r="B22" s="541"/>
      <c r="C22" s="541"/>
      <c r="D22" s="542">
        <v>0</v>
      </c>
      <c r="E22" s="542"/>
      <c r="F22" s="542">
        <v>0</v>
      </c>
      <c r="G22" s="542" t="s">
        <v>12</v>
      </c>
      <c r="H22" s="535" t="s">
        <v>12</v>
      </c>
    </row>
    <row r="23" spans="1:12" ht="24.95" customHeight="1">
      <c r="A23" s="536" t="s">
        <v>537</v>
      </c>
      <c r="B23" s="541"/>
      <c r="C23" s="541"/>
      <c r="D23" s="542">
        <v>0</v>
      </c>
      <c r="E23" s="542"/>
      <c r="F23" s="542">
        <v>0</v>
      </c>
      <c r="G23" s="542">
        <v>0</v>
      </c>
      <c r="H23" s="759" t="s">
        <v>12</v>
      </c>
    </row>
    <row r="24" spans="1:12" ht="24.95" customHeight="1">
      <c r="A24" s="536" t="s">
        <v>538</v>
      </c>
      <c r="B24" s="541"/>
      <c r="C24" s="541"/>
      <c r="D24" s="542" t="s">
        <v>12</v>
      </c>
      <c r="E24" s="542"/>
      <c r="F24" s="542" t="s">
        <v>12</v>
      </c>
      <c r="G24" s="542">
        <v>0</v>
      </c>
      <c r="H24" s="535" t="s">
        <v>12</v>
      </c>
    </row>
    <row r="25" spans="1:12" ht="11.25" customHeight="1">
      <c r="A25" s="536"/>
      <c r="B25" s="541"/>
      <c r="C25" s="541"/>
      <c r="D25" s="542"/>
      <c r="E25" s="542"/>
      <c r="F25" s="542"/>
      <c r="G25" s="542" t="s">
        <v>12</v>
      </c>
      <c r="H25" s="535" t="s">
        <v>12</v>
      </c>
    </row>
    <row r="26" spans="1:12" ht="24.95" customHeight="1">
      <c r="A26" s="528" t="s">
        <v>539</v>
      </c>
      <c r="B26" s="523">
        <f>+B28+B30</f>
        <v>46208546</v>
      </c>
      <c r="C26" s="523">
        <f>SUM(C28:C30)</f>
        <v>46208546</v>
      </c>
      <c r="D26" s="523" t="e">
        <f>SUM(D28:D30)</f>
        <v>#REF!</v>
      </c>
      <c r="E26" s="523"/>
      <c r="F26" s="523">
        <f>SUM(F28:F30)</f>
        <v>10127985</v>
      </c>
      <c r="G26" s="523">
        <f>SUM(G28:G30)</f>
        <v>1100000</v>
      </c>
      <c r="H26" s="525">
        <f>G26/F26*100</f>
        <v>10.86099554847287</v>
      </c>
    </row>
    <row r="27" spans="1:12" ht="12.75" customHeight="1">
      <c r="A27" s="536"/>
      <c r="B27" s="541"/>
      <c r="C27" s="541"/>
      <c r="D27" s="542"/>
      <c r="E27" s="542"/>
      <c r="F27" s="542"/>
      <c r="G27" s="542"/>
      <c r="H27" s="525"/>
    </row>
    <row r="28" spans="1:12" ht="24.95" customHeight="1">
      <c r="A28" s="536" t="s">
        <v>540</v>
      </c>
      <c r="B28" s="542">
        <f>+RECAUDACION!C42</f>
        <v>1100000</v>
      </c>
      <c r="C28" s="542">
        <f>+RECAUDACION!D42</f>
        <v>1100000</v>
      </c>
      <c r="D28" s="542">
        <f>+RECAUDACION!D42</f>
        <v>1100000</v>
      </c>
      <c r="E28" s="542"/>
      <c r="F28" s="542">
        <f>+RECAUDACION!E42</f>
        <v>1100000</v>
      </c>
      <c r="G28" s="542">
        <f>+RECAUDACION!G43</f>
        <v>1100000</v>
      </c>
      <c r="H28" s="525">
        <f t="shared" ref="H28" si="0">G28/F28*100</f>
        <v>100</v>
      </c>
    </row>
    <row r="29" spans="1:12" ht="24.95" customHeight="1">
      <c r="A29" s="536" t="s">
        <v>541</v>
      </c>
      <c r="B29" s="541"/>
      <c r="C29" s="541"/>
      <c r="D29" s="542">
        <v>0</v>
      </c>
      <c r="E29" s="542"/>
      <c r="F29" s="542">
        <v>0</v>
      </c>
      <c r="G29" s="542">
        <v>0</v>
      </c>
      <c r="H29" s="535" t="s">
        <v>12</v>
      </c>
      <c r="K29" s="300" t="s">
        <v>12</v>
      </c>
    </row>
    <row r="30" spans="1:12" ht="24.95" customHeight="1">
      <c r="A30" s="536" t="s">
        <v>542</v>
      </c>
      <c r="B30" s="542">
        <f>+RECAUDACION!C39</f>
        <v>45108546</v>
      </c>
      <c r="C30" s="542">
        <f>+RECAUDACION!D39</f>
        <v>45108546</v>
      </c>
      <c r="D30" s="542" t="e">
        <f>+RECAUDACION!#REF!</f>
        <v>#REF!</v>
      </c>
      <c r="E30" s="542"/>
      <c r="F30" s="542">
        <f>+RECAUDACION!E39</f>
        <v>9027985</v>
      </c>
      <c r="G30" s="542">
        <f>+RECAUDACION!G39</f>
        <v>0</v>
      </c>
      <c r="H30" s="535">
        <f>G30/F30*100</f>
        <v>0</v>
      </c>
    </row>
    <row r="31" spans="1:12" ht="8.25" customHeight="1">
      <c r="A31" s="543"/>
      <c r="B31" s="544"/>
      <c r="C31" s="544"/>
      <c r="D31" s="545" t="s">
        <v>12</v>
      </c>
      <c r="E31" s="545"/>
      <c r="F31" s="545" t="s">
        <v>12</v>
      </c>
      <c r="G31" s="531" t="s">
        <v>12</v>
      </c>
      <c r="H31" s="532" t="s">
        <v>12</v>
      </c>
    </row>
    <row r="32" spans="1:12" ht="24.95" customHeight="1">
      <c r="A32" s="546" t="s">
        <v>543</v>
      </c>
      <c r="B32" s="547"/>
      <c r="C32" s="547"/>
      <c r="D32" s="548" t="s">
        <v>12</v>
      </c>
      <c r="E32" s="548"/>
      <c r="F32" s="548" t="s">
        <v>12</v>
      </c>
      <c r="G32" s="549">
        <f>G17-G19+G26-1</f>
        <v>-3884837.4599999972</v>
      </c>
      <c r="H32" s="550" t="s">
        <v>12</v>
      </c>
    </row>
    <row r="33" spans="1:11" ht="9" customHeight="1">
      <c r="A33" s="636"/>
      <c r="B33" s="636"/>
      <c r="C33" s="636"/>
      <c r="D33" s="637"/>
      <c r="E33" s="637"/>
      <c r="F33" s="637"/>
      <c r="G33" s="638"/>
      <c r="H33" s="639"/>
    </row>
    <row r="34" spans="1:11" ht="15" customHeight="1">
      <c r="A34" s="635" t="s">
        <v>48</v>
      </c>
      <c r="B34" s="761" t="s">
        <v>12</v>
      </c>
      <c r="C34" s="300"/>
      <c r="D34" s="300"/>
      <c r="E34" s="300"/>
      <c r="F34" s="300"/>
      <c r="G34" s="300"/>
      <c r="H34" s="302"/>
      <c r="I34" s="307"/>
      <c r="J34" s="308"/>
      <c r="K34" s="307"/>
    </row>
    <row r="35" spans="1:11" ht="12.75" customHeight="1">
      <c r="A35" s="300"/>
      <c r="B35" s="300"/>
      <c r="C35" s="300"/>
      <c r="D35" s="300"/>
      <c r="E35" s="300"/>
      <c r="F35" s="300"/>
      <c r="G35" s="802" t="s">
        <v>12</v>
      </c>
      <c r="H35" s="802"/>
      <c r="I35" s="307"/>
      <c r="J35" s="309" t="s">
        <v>12</v>
      </c>
      <c r="K35" s="307"/>
    </row>
    <row r="36" spans="1:11" ht="14.25" customHeight="1">
      <c r="D36" s="306"/>
      <c r="E36" s="306"/>
      <c r="F36" s="306"/>
      <c r="G36" s="306"/>
      <c r="H36" s="310"/>
    </row>
    <row r="37" spans="1:11" ht="11.25" customHeight="1">
      <c r="A37" s="306" t="s">
        <v>12</v>
      </c>
      <c r="B37" s="306"/>
      <c r="C37" s="306"/>
    </row>
    <row r="38" spans="1:11" ht="11.25" customHeight="1">
      <c r="A38" s="306"/>
      <c r="B38" s="306"/>
      <c r="C38" s="306"/>
      <c r="J38" s="300" t="s">
        <v>12</v>
      </c>
    </row>
    <row r="39" spans="1:11" ht="11.25" customHeight="1">
      <c r="A39" s="306"/>
      <c r="B39" s="306"/>
      <c r="C39" s="306"/>
    </row>
    <row r="56" spans="7:7">
      <c r="G56" s="307" t="s">
        <v>12</v>
      </c>
    </row>
  </sheetData>
  <mergeCells count="9">
    <mergeCell ref="G35:H35"/>
    <mergeCell ref="A2:H2"/>
    <mergeCell ref="A3:H3"/>
    <mergeCell ref="A4:H4"/>
    <mergeCell ref="A5:H5"/>
    <mergeCell ref="A7:A8"/>
    <mergeCell ref="B7:F7"/>
    <mergeCell ref="G7:G8"/>
    <mergeCell ref="H7:H8"/>
  </mergeCells>
  <pageMargins left="0.70866141732283505" right="0.59055118110236204" top="0.39370078740157499" bottom="0.39370078740157499" header="0.511811023622047" footer="0.511811023622047"/>
  <pageSetup scale="80" firstPageNumber="0" orientation="portrait" useFirstPageNumber="1" verticalDpi="4294967294" r:id="rId1"/>
  <headerFooter alignWithMargins="0"/>
  <ignoredErrors>
    <ignoredError sqref="C21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5">
    <tabColor theme="8" tint="0.39985351115451523"/>
  </sheetPr>
  <dimension ref="A1:K88"/>
  <sheetViews>
    <sheetView showGridLines="0" showZeros="0" zoomScale="96" zoomScaleNormal="96" workbookViewId="0">
      <selection activeCell="L29" sqref="L29"/>
    </sheetView>
  </sheetViews>
  <sheetFormatPr baseColWidth="10" defaultColWidth="11.42578125" defaultRowHeight="12.75"/>
  <cols>
    <col min="1" max="1" width="32" style="4" customWidth="1"/>
    <col min="2" max="2" width="11.85546875" style="453" customWidth="1"/>
    <col min="3" max="3" width="12.28515625" style="4" customWidth="1"/>
    <col min="4" max="4" width="13.28515625" style="4" hidden="1" customWidth="1"/>
    <col min="5" max="5" width="14.28515625" style="4" hidden="1" customWidth="1"/>
    <col min="6" max="6" width="12.28515625" style="4" customWidth="1"/>
    <col min="7" max="7" width="15.140625" style="4" customWidth="1"/>
    <col min="8" max="8" width="14.28515625" style="4" customWidth="1"/>
  </cols>
  <sheetData>
    <row r="1" spans="1:11" ht="18" customHeight="1">
      <c r="A1" s="779" t="s">
        <v>61</v>
      </c>
      <c r="B1" s="779"/>
      <c r="C1" s="779"/>
      <c r="D1" s="779"/>
      <c r="E1" s="779"/>
      <c r="F1" s="779"/>
      <c r="G1" s="779"/>
      <c r="H1" s="779"/>
    </row>
    <row r="2" spans="1:11" ht="19.5" customHeight="1">
      <c r="A2" s="779" t="s">
        <v>62</v>
      </c>
      <c r="B2" s="779"/>
      <c r="C2" s="779"/>
      <c r="D2" s="779"/>
      <c r="E2" s="779"/>
      <c r="F2" s="779"/>
      <c r="G2" s="779"/>
      <c r="H2" s="779"/>
    </row>
    <row r="3" spans="1:11" ht="18" customHeight="1">
      <c r="A3" s="780" t="s">
        <v>138</v>
      </c>
      <c r="B3" s="780"/>
      <c r="C3" s="780"/>
      <c r="D3" s="780"/>
      <c r="E3" s="780"/>
      <c r="F3" s="780"/>
      <c r="G3" s="780"/>
      <c r="H3" s="780"/>
    </row>
    <row r="4" spans="1:11" ht="16.5" customHeight="1">
      <c r="A4" s="780" t="s">
        <v>635</v>
      </c>
      <c r="B4" s="780"/>
      <c r="C4" s="780"/>
      <c r="D4" s="780"/>
      <c r="E4" s="780"/>
      <c r="F4" s="780"/>
      <c r="G4" s="780"/>
      <c r="H4" s="780"/>
    </row>
    <row r="5" spans="1:11" ht="8.25" customHeight="1">
      <c r="A5" s="190"/>
      <c r="B5" s="588"/>
      <c r="C5" s="190"/>
      <c r="D5" s="190"/>
      <c r="E5" s="6"/>
      <c r="F5" s="6"/>
      <c r="G5" s="6"/>
      <c r="H5" s="3"/>
    </row>
    <row r="6" spans="1:11" ht="20.100000000000001" customHeight="1">
      <c r="A6" s="813" t="s">
        <v>0</v>
      </c>
      <c r="B6" s="817" t="s">
        <v>49</v>
      </c>
      <c r="C6" s="817"/>
      <c r="D6" s="817"/>
      <c r="E6" s="817"/>
      <c r="F6" s="817"/>
      <c r="G6" s="817"/>
      <c r="H6" s="815" t="s">
        <v>41</v>
      </c>
    </row>
    <row r="7" spans="1:11" ht="31.5" customHeight="1">
      <c r="A7" s="814"/>
      <c r="B7" s="551" t="s">
        <v>2</v>
      </c>
      <c r="C7" s="552" t="s">
        <v>66</v>
      </c>
      <c r="D7" s="552" t="s">
        <v>3</v>
      </c>
      <c r="E7" s="553" t="s">
        <v>3</v>
      </c>
      <c r="F7" s="553" t="s">
        <v>25</v>
      </c>
      <c r="G7" s="552" t="s">
        <v>42</v>
      </c>
      <c r="H7" s="816"/>
      <c r="K7" t="s">
        <v>12</v>
      </c>
    </row>
    <row r="8" spans="1:11" ht="6.75" customHeight="1">
      <c r="A8" s="554"/>
      <c r="B8" s="555"/>
      <c r="C8" s="556"/>
      <c r="D8" s="557"/>
      <c r="E8" s="558"/>
      <c r="F8" s="559"/>
      <c r="G8" s="559"/>
      <c r="H8" s="560"/>
    </row>
    <row r="9" spans="1:11" ht="18" customHeight="1">
      <c r="A9" s="480" t="s">
        <v>6</v>
      </c>
      <c r="B9" s="481"/>
      <c r="C9" s="561"/>
      <c r="D9" s="562"/>
      <c r="E9" s="562"/>
      <c r="F9" s="562"/>
      <c r="G9" s="562"/>
      <c r="H9" s="563"/>
    </row>
    <row r="10" spans="1:11" ht="9" customHeight="1">
      <c r="A10" s="564"/>
      <c r="B10" s="565"/>
      <c r="C10" s="566"/>
      <c r="D10" s="566"/>
      <c r="E10" s="566"/>
      <c r="F10" s="566"/>
      <c r="G10" s="566"/>
      <c r="H10" s="567"/>
    </row>
    <row r="11" spans="1:11" ht="15" customHeight="1">
      <c r="A11" s="564" t="s">
        <v>56</v>
      </c>
      <c r="B11" s="565">
        <f>B14</f>
        <v>132140.56999999998</v>
      </c>
      <c r="C11" s="565">
        <f>C14</f>
        <v>132140.56999999998</v>
      </c>
      <c r="D11" s="565" t="e">
        <f>+D14</f>
        <v>#REF!</v>
      </c>
      <c r="E11" s="565" t="e">
        <f>+E14+#REF!</f>
        <v>#REF!</v>
      </c>
      <c r="F11" s="565">
        <f>+F14+F19</f>
        <v>29955.756000000001</v>
      </c>
      <c r="G11" s="565">
        <f>+G14</f>
        <v>15210.340370000002</v>
      </c>
      <c r="H11" s="568">
        <f>G11/F11*100</f>
        <v>50.776019039546192</v>
      </c>
    </row>
    <row r="12" spans="1:11" ht="11.25" customHeight="1">
      <c r="A12" s="569"/>
      <c r="B12" s="570"/>
      <c r="C12" s="570"/>
      <c r="D12" s="570"/>
      <c r="E12" s="570"/>
      <c r="F12" s="570"/>
      <c r="G12" s="570"/>
      <c r="H12" s="571" t="s">
        <v>12</v>
      </c>
    </row>
    <row r="13" spans="1:11" ht="15" customHeight="1">
      <c r="A13" s="564" t="s">
        <v>139</v>
      </c>
      <c r="B13" s="570"/>
      <c r="C13" s="570"/>
      <c r="D13" s="570"/>
      <c r="E13" s="570"/>
      <c r="F13" s="570"/>
      <c r="G13" s="570"/>
      <c r="H13" s="571" t="s">
        <v>12</v>
      </c>
    </row>
    <row r="14" spans="1:11" ht="15" customHeight="1">
      <c r="A14" s="564" t="s">
        <v>140</v>
      </c>
      <c r="B14" s="565">
        <f>SUM(B15:B18)</f>
        <v>132140.56999999998</v>
      </c>
      <c r="C14" s="565">
        <f>SUM(C15:C18)</f>
        <v>132140.56999999998</v>
      </c>
      <c r="D14" s="565" t="e">
        <f>SUM(D15:D18)</f>
        <v>#REF!</v>
      </c>
      <c r="E14" s="565">
        <f>SUM(E15:E18)</f>
        <v>132140.56999999998</v>
      </c>
      <c r="F14" s="565">
        <f>+F15+F16+F17+F18</f>
        <v>28955.756000000001</v>
      </c>
      <c r="G14" s="565">
        <f>+(RECAUDACION!G13)/1000</f>
        <v>15210.340370000002</v>
      </c>
      <c r="H14" s="568">
        <f>G14/F14*100</f>
        <v>52.529591594845606</v>
      </c>
    </row>
    <row r="15" spans="1:11" ht="15" customHeight="1">
      <c r="A15" s="573" t="s">
        <v>141</v>
      </c>
      <c r="B15" s="572">
        <f>+(RECAUDACION!C15)/1000</f>
        <v>3672.7109999999998</v>
      </c>
      <c r="C15" s="572">
        <f>+(RECAUDACION!D15)/1000</f>
        <v>3672.7109999999998</v>
      </c>
      <c r="D15" s="572" t="e">
        <f>+(RECAUDACION!#REF!)/1000</f>
        <v>#REF!</v>
      </c>
      <c r="E15" s="572">
        <f>+(RECAUDACION!D15)/1000</f>
        <v>3672.7109999999998</v>
      </c>
      <c r="F15" s="572">
        <f>+(RECAUDACION!E15)/1000</f>
        <v>686.35299999999995</v>
      </c>
      <c r="G15" s="572">
        <f>+(RECAUDACION!G15)/1000</f>
        <v>146.50757999999999</v>
      </c>
      <c r="H15" s="574">
        <f>G15/F15*100</f>
        <v>21.345806021099932</v>
      </c>
      <c r="I15" t="s">
        <v>12</v>
      </c>
    </row>
    <row r="16" spans="1:11" ht="15" customHeight="1">
      <c r="A16" s="573" t="s">
        <v>142</v>
      </c>
      <c r="B16" s="572">
        <f>+(RECAUDACION!C21)/1000</f>
        <v>121012.398</v>
      </c>
      <c r="C16" s="572">
        <f>+(RECAUDACION!D21)/1000</f>
        <v>121012.398</v>
      </c>
      <c r="D16" s="572">
        <f>+(RECAUDACION!D21)/1000</f>
        <v>121012.398</v>
      </c>
      <c r="E16" s="572">
        <f>+(RECAUDACION!D21)/1000</f>
        <v>121012.398</v>
      </c>
      <c r="F16" s="572">
        <f>+(RECAUDACION!E21)/1000</f>
        <v>24288.147000000001</v>
      </c>
      <c r="G16" s="572">
        <f>+(RECAUDACION!G21)/1000</f>
        <v>12771.873</v>
      </c>
      <c r="H16" s="574">
        <f>G16/F16*100</f>
        <v>52.584797843985378</v>
      </c>
      <c r="J16" t="s">
        <v>12</v>
      </c>
    </row>
    <row r="17" spans="1:8" ht="15" customHeight="1">
      <c r="A17" s="573" t="s">
        <v>143</v>
      </c>
      <c r="B17" s="572">
        <f>+(RECAUDACION!C26)/1000</f>
        <v>6461.7730000000001</v>
      </c>
      <c r="C17" s="572">
        <f>+(RECAUDACION!D26)/1000</f>
        <v>6461.7730000000001</v>
      </c>
      <c r="D17" s="572" t="e">
        <f>+(RECAUDACION!#REF!)/1000</f>
        <v>#REF!</v>
      </c>
      <c r="E17" s="572">
        <f>+(RECAUDACION!D26)/1000</f>
        <v>6461.7730000000001</v>
      </c>
      <c r="F17" s="572">
        <f>+(RECAUDACION!E26)/1000</f>
        <v>3513.59</v>
      </c>
      <c r="G17" s="572">
        <f>+(RECAUDACION!G26)/1000</f>
        <v>1178.8653599999998</v>
      </c>
      <c r="H17" s="574">
        <f>G17/F17*100</f>
        <v>33.551591392279683</v>
      </c>
    </row>
    <row r="18" spans="1:8" ht="15" customHeight="1">
      <c r="A18" s="573" t="s">
        <v>144</v>
      </c>
      <c r="B18" s="572">
        <f>+(RECAUDACION!C31)/1000</f>
        <v>993.68799999999999</v>
      </c>
      <c r="C18" s="572">
        <f>+(RECAUDACION!D31)/1000</f>
        <v>993.68799999999999</v>
      </c>
      <c r="D18" s="572" t="e">
        <f>+(RECAUDACION!#REF!)/1000</f>
        <v>#REF!</v>
      </c>
      <c r="E18" s="572">
        <f>+(RECAUDACION!D31)/1000</f>
        <v>993.68799999999999</v>
      </c>
      <c r="F18" s="572">
        <f>+(RECAUDACION!E31)/1000</f>
        <v>467.666</v>
      </c>
      <c r="G18" s="572">
        <f>+(RECAUDACION!G31)/1000</f>
        <v>113.09442999999999</v>
      </c>
      <c r="H18" s="574">
        <f>G18/F18*100</f>
        <v>24.182735114376499</v>
      </c>
    </row>
    <row r="19" spans="1:8" ht="16.5" customHeight="1">
      <c r="A19" s="564" t="s">
        <v>640</v>
      </c>
      <c r="B19" s="575">
        <f>B20</f>
        <v>1000</v>
      </c>
      <c r="C19" s="575">
        <f t="shared" ref="C19:F19" si="0">C20</f>
        <v>1000</v>
      </c>
      <c r="D19" s="575">
        <f t="shared" si="0"/>
        <v>1000</v>
      </c>
      <c r="E19" s="575">
        <f t="shared" si="0"/>
        <v>1000</v>
      </c>
      <c r="F19" s="575">
        <f t="shared" si="0"/>
        <v>1000</v>
      </c>
      <c r="G19" s="565">
        <f>+G20</f>
        <v>1000</v>
      </c>
      <c r="H19" s="568">
        <f>+H20</f>
        <v>100</v>
      </c>
    </row>
    <row r="20" spans="1:8" ht="16.5" customHeight="1">
      <c r="A20" s="573" t="s">
        <v>641</v>
      </c>
      <c r="B20" s="576">
        <v>1000</v>
      </c>
      <c r="C20" s="572">
        <f>+(RECAUDACION!D33)/1000</f>
        <v>1000</v>
      </c>
      <c r="D20" s="576">
        <v>1000</v>
      </c>
      <c r="E20" s="576">
        <v>1000</v>
      </c>
      <c r="F20" s="572">
        <f>+(RECAUDACION!G33)/1000</f>
        <v>1000</v>
      </c>
      <c r="G20" s="572">
        <v>1000</v>
      </c>
      <c r="H20" s="574">
        <f>G20/F20*100</f>
        <v>100</v>
      </c>
    </row>
    <row r="21" spans="1:8" ht="16.5" customHeight="1">
      <c r="A21" s="763"/>
      <c r="B21" s="576"/>
      <c r="C21" s="572"/>
      <c r="D21" s="576"/>
      <c r="E21" s="576"/>
      <c r="F21" s="572"/>
      <c r="G21" s="572"/>
      <c r="H21" s="574"/>
    </row>
    <row r="22" spans="1:8" ht="15" customHeight="1">
      <c r="A22" s="564" t="s">
        <v>31</v>
      </c>
      <c r="B22" s="575">
        <f t="shared" ref="B22:G22" si="1">SUM(B23:B25)</f>
        <v>46208.546000000002</v>
      </c>
      <c r="C22" s="575">
        <f t="shared" si="1"/>
        <v>46208.546000000002</v>
      </c>
      <c r="D22" s="575" t="e">
        <f t="shared" si="1"/>
        <v>#REF!</v>
      </c>
      <c r="E22" s="575">
        <f t="shared" si="1"/>
        <v>5210.5339999999997</v>
      </c>
      <c r="F22" s="575">
        <f t="shared" si="1"/>
        <v>1124.7180000000001</v>
      </c>
      <c r="G22" s="575">
        <f t="shared" si="1"/>
        <v>1100</v>
      </c>
      <c r="H22" s="568">
        <f>G22/F22*100</f>
        <v>97.802293552694991</v>
      </c>
    </row>
    <row r="23" spans="1:8" ht="15" customHeight="1">
      <c r="A23" s="573" t="s">
        <v>145</v>
      </c>
      <c r="B23" s="576">
        <f>+(RECAUDACION!C42)/1000</f>
        <v>1100</v>
      </c>
      <c r="C23" s="576">
        <f>+(RECAUDACION!D42)/1000</f>
        <v>1100</v>
      </c>
      <c r="D23" s="576">
        <f>+(RECAUDACION!E42)/1000</f>
        <v>1100</v>
      </c>
      <c r="E23" s="576">
        <f>+(RECAUDACION!F42)/1000</f>
        <v>0</v>
      </c>
      <c r="F23" s="576">
        <f>+(RECAUDACION!G42)/1000</f>
        <v>1100</v>
      </c>
      <c r="G23" s="576">
        <v>1100</v>
      </c>
      <c r="H23" s="574">
        <f>G23/F23*100</f>
        <v>100</v>
      </c>
    </row>
    <row r="24" spans="1:8" ht="15" customHeight="1">
      <c r="A24" s="573" t="s">
        <v>146</v>
      </c>
      <c r="B24" s="576">
        <v>0</v>
      </c>
      <c r="C24" s="576">
        <v>0</v>
      </c>
      <c r="D24" s="576">
        <v>0</v>
      </c>
      <c r="E24" s="576">
        <v>0</v>
      </c>
      <c r="F24" s="576">
        <v>0</v>
      </c>
      <c r="G24" s="576"/>
      <c r="H24" s="574" t="s">
        <v>12</v>
      </c>
    </row>
    <row r="25" spans="1:8" ht="15" customHeight="1">
      <c r="A25" s="564" t="s">
        <v>147</v>
      </c>
      <c r="B25" s="575">
        <f>B26</f>
        <v>45108.546000000002</v>
      </c>
      <c r="C25" s="575">
        <f>SUM(C26)</f>
        <v>45108.546000000002</v>
      </c>
      <c r="D25" s="575" t="e">
        <f>SUM(D26)</f>
        <v>#REF!</v>
      </c>
      <c r="E25" s="575">
        <f>SUM(E26)</f>
        <v>5210.5339999999997</v>
      </c>
      <c r="F25" s="575">
        <f>SUM(F26)</f>
        <v>24.718</v>
      </c>
      <c r="G25" s="575">
        <f>SUM(G26)</f>
        <v>0</v>
      </c>
      <c r="H25" s="568">
        <f>G25/F25*100</f>
        <v>0</v>
      </c>
    </row>
    <row r="26" spans="1:8" ht="15" customHeight="1">
      <c r="A26" s="573" t="s">
        <v>148</v>
      </c>
      <c r="B26" s="576">
        <f>+(RECAUDACION!C40)/1000</f>
        <v>45108.546000000002</v>
      </c>
      <c r="C26" s="576">
        <f>+(RECAUDACION!D40)/1000</f>
        <v>45108.546000000002</v>
      </c>
      <c r="D26" s="576" t="e">
        <f>+(RECAUDACION!#REF!)/1000</f>
        <v>#REF!</v>
      </c>
      <c r="E26" s="576">
        <f>+(RECAUDACION!D47)/1000</f>
        <v>5210.5339999999997</v>
      </c>
      <c r="F26" s="576">
        <f>+(RECAUDACION!E40)/1000</f>
        <v>24.718</v>
      </c>
      <c r="G26" s="576">
        <f>+(RECAUDACION!G39)/1000</f>
        <v>0</v>
      </c>
      <c r="H26" s="574">
        <f>G26/F26*100</f>
        <v>0</v>
      </c>
    </row>
    <row r="27" spans="1:8" ht="15" customHeight="1">
      <c r="A27" s="573" t="s">
        <v>149</v>
      </c>
      <c r="B27" s="572"/>
      <c r="C27" s="572"/>
      <c r="D27" s="572"/>
      <c r="E27" s="572"/>
      <c r="F27" s="572"/>
      <c r="G27" s="572"/>
      <c r="H27" s="574" t="s">
        <v>12</v>
      </c>
    </row>
    <row r="28" spans="1:8" ht="9" customHeight="1">
      <c r="A28" s="573"/>
      <c r="B28" s="572"/>
      <c r="C28" s="572"/>
      <c r="D28" s="572"/>
      <c r="E28" s="572"/>
      <c r="F28" s="572"/>
      <c r="G28" s="572"/>
      <c r="H28" s="574" t="s">
        <v>12</v>
      </c>
    </row>
    <row r="29" spans="1:8" ht="18" customHeight="1">
      <c r="A29" s="564" t="s">
        <v>150</v>
      </c>
      <c r="B29" s="565">
        <f t="shared" ref="B29:G29" si="2">+B11+B22</f>
        <v>178349.11599999998</v>
      </c>
      <c r="C29" s="565">
        <f t="shared" si="2"/>
        <v>178349.11599999998</v>
      </c>
      <c r="D29" s="565" t="e">
        <f t="shared" si="2"/>
        <v>#REF!</v>
      </c>
      <c r="E29" s="565" t="e">
        <f t="shared" si="2"/>
        <v>#REF!</v>
      </c>
      <c r="F29" s="565">
        <f t="shared" si="2"/>
        <v>31080.474000000002</v>
      </c>
      <c r="G29" s="565">
        <f t="shared" si="2"/>
        <v>16310.340370000002</v>
      </c>
      <c r="H29" s="568">
        <f>G29/F29*100</f>
        <v>52.477772282366097</v>
      </c>
    </row>
    <row r="30" spans="1:8" ht="9" customHeight="1">
      <c r="A30" s="573"/>
      <c r="B30" s="572"/>
      <c r="C30" s="577"/>
      <c r="D30" s="572"/>
      <c r="E30" s="572"/>
      <c r="F30" s="572"/>
      <c r="G30" s="572"/>
      <c r="H30" s="574" t="s">
        <v>12</v>
      </c>
    </row>
    <row r="31" spans="1:8" ht="18" customHeight="1">
      <c r="A31" s="480" t="s">
        <v>57</v>
      </c>
      <c r="B31" s="578"/>
      <c r="C31" s="579"/>
      <c r="D31" s="572"/>
      <c r="E31" s="572"/>
      <c r="F31" s="572"/>
      <c r="G31" s="572"/>
      <c r="H31" s="574" t="s">
        <v>12</v>
      </c>
    </row>
    <row r="32" spans="1:8" ht="9" customHeight="1">
      <c r="A32" s="573"/>
      <c r="B32" s="572"/>
      <c r="C32" s="577"/>
      <c r="D32" s="572"/>
      <c r="E32" s="572"/>
      <c r="F32" s="572"/>
      <c r="G32" s="572"/>
      <c r="H32" s="574" t="s">
        <v>12</v>
      </c>
    </row>
    <row r="33" spans="1:9" ht="15" customHeight="1">
      <c r="A33" s="564" t="s">
        <v>58</v>
      </c>
      <c r="B33" s="565">
        <f>+B35+B41</f>
        <v>133140.57</v>
      </c>
      <c r="C33" s="565">
        <f>+C35+C41</f>
        <v>133140.56999999998</v>
      </c>
      <c r="D33" s="565" t="e">
        <f>+D35+D41+#REF!</f>
        <v>#REF!</v>
      </c>
      <c r="E33" s="565" t="e">
        <f>+E35+E41+#REF!</f>
        <v>#REF!</v>
      </c>
      <c r="F33" s="565">
        <f>+F35+F41</f>
        <v>30439.651999999998</v>
      </c>
      <c r="G33" s="565">
        <f>+G35+G41</f>
        <v>19164.333010000002</v>
      </c>
      <c r="H33" s="568">
        <f>G33/F33*100</f>
        <v>62.958449754944645</v>
      </c>
    </row>
    <row r="34" spans="1:9" ht="15" customHeight="1">
      <c r="A34" s="573"/>
      <c r="B34" s="572"/>
      <c r="C34" s="577"/>
      <c r="D34" s="572"/>
      <c r="E34" s="572"/>
      <c r="F34" s="572"/>
      <c r="G34" s="572"/>
      <c r="H34" s="574"/>
    </row>
    <row r="35" spans="1:9" ht="18" customHeight="1">
      <c r="A35" s="564" t="s">
        <v>151</v>
      </c>
      <c r="B35" s="565">
        <f t="shared" ref="B35:G35" si="3">SUM(B36:B39)</f>
        <v>131474.33199999999</v>
      </c>
      <c r="C35" s="565">
        <f t="shared" si="3"/>
        <v>131748.88199999998</v>
      </c>
      <c r="D35" s="565">
        <f t="shared" si="3"/>
        <v>131748.88199999998</v>
      </c>
      <c r="E35" s="565">
        <f t="shared" si="3"/>
        <v>131748.88199999998</v>
      </c>
      <c r="F35" s="565">
        <f t="shared" si="3"/>
        <v>29504.946</v>
      </c>
      <c r="G35" s="565">
        <f t="shared" si="3"/>
        <v>19106.824640000003</v>
      </c>
      <c r="H35" s="568">
        <f>G35/F35*100</f>
        <v>64.75803968595639</v>
      </c>
      <c r="I35" s="590"/>
    </row>
    <row r="36" spans="1:9" ht="20.25" customHeight="1">
      <c r="A36" s="573" t="s">
        <v>152</v>
      </c>
      <c r="B36" s="572">
        <f>(+'EJECUCION FUNC'!C11)/1000</f>
        <v>125040.406</v>
      </c>
      <c r="C36" s="572">
        <f>(+'EJECUCION FUNC'!E11)/1000</f>
        <v>124925.393</v>
      </c>
      <c r="D36" s="572">
        <f>(+'EJECUCION FUNC'!E11)/1000</f>
        <v>124925.393</v>
      </c>
      <c r="E36" s="572">
        <f>(+'EJECUCION FUNC'!E11)/1000</f>
        <v>124925.393</v>
      </c>
      <c r="F36" s="572">
        <f>(+'EJECUCION FUNC'!F11)/1000</f>
        <v>24870.152999999998</v>
      </c>
      <c r="G36" s="572">
        <f>(+'EJECUCION FUNC'!H11)/1000</f>
        <v>17906.965680000001</v>
      </c>
      <c r="H36" s="574">
        <f>G36/F36*100</f>
        <v>72.001831593074655</v>
      </c>
      <c r="I36" s="590"/>
    </row>
    <row r="37" spans="1:9" ht="17.25" customHeight="1">
      <c r="A37" s="573" t="s">
        <v>153</v>
      </c>
      <c r="B37" s="572">
        <f>(+'EJECUCION FUNC'!C37)/1000</f>
        <v>3088.498</v>
      </c>
      <c r="C37" s="572">
        <f>(+'EJECUCION FUNC'!E37)/1000</f>
        <v>3328.8240000000001</v>
      </c>
      <c r="D37" s="572">
        <f>(+'EJECUCION FUNC'!E37)/1000</f>
        <v>3328.8240000000001</v>
      </c>
      <c r="E37" s="572">
        <f>(+'EJECUCION FUNC'!E37)/1000</f>
        <v>3328.8240000000001</v>
      </c>
      <c r="F37" s="572">
        <f>(+'EJECUCION FUNC'!F37)/1000</f>
        <v>2193.2559999999999</v>
      </c>
      <c r="G37" s="572">
        <f>(+'EJECUCION FUNC'!H37)/1000</f>
        <v>593.41598999999997</v>
      </c>
      <c r="H37" s="574">
        <f>G37/F37*100</f>
        <v>27.056394237608377</v>
      </c>
      <c r="I37" s="590"/>
    </row>
    <row r="38" spans="1:9" ht="15.75" customHeight="1">
      <c r="A38" s="573" t="s">
        <v>154</v>
      </c>
      <c r="B38" s="572">
        <f>(+'EJECUCION FUNC'!C94)/1000</f>
        <v>1027.4280000000001</v>
      </c>
      <c r="C38" s="572">
        <f>(+'EJECUCION FUNC'!E94)/1000</f>
        <v>1174.9649999999999</v>
      </c>
      <c r="D38" s="572">
        <f>(+'EJECUCION FUNC'!E94)/1000</f>
        <v>1174.9649999999999</v>
      </c>
      <c r="E38" s="572">
        <f>(+'EJECUCION FUNC'!E94)/1000</f>
        <v>1174.9649999999999</v>
      </c>
      <c r="F38" s="572">
        <f>(+'EJECUCION FUNC'!F94)/1000</f>
        <v>1050.837</v>
      </c>
      <c r="G38" s="572">
        <f>(+'EJECUCION FUNC'!H94)/1000</f>
        <v>252.28491</v>
      </c>
      <c r="H38" s="574">
        <f>G38/F38*100</f>
        <v>24.007996482803708</v>
      </c>
      <c r="I38" s="590"/>
    </row>
    <row r="39" spans="1:9" ht="17.25" customHeight="1">
      <c r="A39" s="573" t="s">
        <v>155</v>
      </c>
      <c r="B39" s="572">
        <f>(+'EJECUCION FUNC'!C154)/1000</f>
        <v>2318</v>
      </c>
      <c r="C39" s="572">
        <f>(+'EJECUCION FUNC'!E154)/1000</f>
        <v>2319.6999999999998</v>
      </c>
      <c r="D39" s="572">
        <f>(+'EJECUCION FUNC'!E154)/1000</f>
        <v>2319.6999999999998</v>
      </c>
      <c r="E39" s="572">
        <f>(+'EJECUCION FUNC'!E154)/1000</f>
        <v>2319.6999999999998</v>
      </c>
      <c r="F39" s="572">
        <f>(+'EJECUCION FUNC'!F154)/1000</f>
        <v>1390.7</v>
      </c>
      <c r="G39" s="572">
        <f>(+'EJECUCION FUNC'!H154)/1000</f>
        <v>354.15805999999992</v>
      </c>
      <c r="H39" s="574">
        <f>G39/F39*100</f>
        <v>25.466172431149776</v>
      </c>
      <c r="I39" s="590"/>
    </row>
    <row r="40" spans="1:9" ht="9" customHeight="1">
      <c r="A40" s="573" t="s">
        <v>12</v>
      </c>
      <c r="B40" s="572"/>
      <c r="C40" s="577"/>
      <c r="D40" s="572">
        <v>0</v>
      </c>
      <c r="E40" s="572">
        <v>0</v>
      </c>
      <c r="F40" s="572" t="s">
        <v>12</v>
      </c>
      <c r="G40" s="572" t="s">
        <v>12</v>
      </c>
      <c r="H40" s="574" t="s">
        <v>12</v>
      </c>
    </row>
    <row r="41" spans="1:9" ht="15" customHeight="1">
      <c r="A41" s="564" t="s">
        <v>156</v>
      </c>
      <c r="B41" s="565">
        <f>(+'EJECUCION FUNC'!C159)/1000</f>
        <v>1666.2380000000001</v>
      </c>
      <c r="C41" s="565">
        <f>(+'EJECUCION FUNC'!E159)/1000</f>
        <v>1391.6880000000001</v>
      </c>
      <c r="D41" s="565">
        <f>(+'EJECUCION FUNC'!E159)/1000</f>
        <v>1391.6880000000001</v>
      </c>
      <c r="E41" s="565">
        <f>(+'EJECUCION FUNC'!E159)/1000</f>
        <v>1391.6880000000001</v>
      </c>
      <c r="F41" s="565">
        <f>(+'EJECUCION FUNC'!F159)/1000</f>
        <v>934.70600000000002</v>
      </c>
      <c r="G41" s="565">
        <f>(+'EJECUCION FUNC'!H159)/1000</f>
        <v>57.508369999999992</v>
      </c>
      <c r="H41" s="568">
        <f>G41/F41*100</f>
        <v>6.1525624099984366</v>
      </c>
    </row>
    <row r="42" spans="1:9" ht="8.25" customHeight="1">
      <c r="A42" s="573"/>
      <c r="B42" s="572"/>
      <c r="C42" s="577"/>
      <c r="D42" s="572"/>
      <c r="E42" s="572"/>
      <c r="F42" s="572"/>
      <c r="G42" s="572"/>
      <c r="H42" s="574" t="s">
        <v>12</v>
      </c>
    </row>
    <row r="43" spans="1:9" ht="15" customHeight="1">
      <c r="A43" s="564" t="s">
        <v>59</v>
      </c>
      <c r="B43" s="565">
        <f t="shared" ref="B43:G43" si="4">SUM(B45)</f>
        <v>46208.546000000002</v>
      </c>
      <c r="C43" s="565">
        <f t="shared" si="4"/>
        <v>46208.546000000002</v>
      </c>
      <c r="D43" s="565">
        <f t="shared" si="4"/>
        <v>46208.546000000002</v>
      </c>
      <c r="E43" s="565" t="e">
        <f t="shared" si="4"/>
        <v>#REF!</v>
      </c>
      <c r="F43" s="565">
        <f t="shared" si="4"/>
        <v>10192.82</v>
      </c>
      <c r="G43" s="565">
        <f t="shared" si="4"/>
        <v>1030.8438200000001</v>
      </c>
      <c r="H43" s="568">
        <f>G43/F43*100</f>
        <v>10.11343102301424</v>
      </c>
      <c r="I43" t="s">
        <v>12</v>
      </c>
    </row>
    <row r="44" spans="1:9" ht="15" customHeight="1">
      <c r="A44" s="573"/>
      <c r="B44" s="572"/>
      <c r="C44" s="577"/>
      <c r="D44" s="572"/>
      <c r="E44" s="572"/>
      <c r="F44" s="572"/>
      <c r="G44" s="572"/>
      <c r="H44" s="574" t="s">
        <v>12</v>
      </c>
    </row>
    <row r="45" spans="1:9" ht="15" customHeight="1">
      <c r="A45" s="573" t="s">
        <v>157</v>
      </c>
      <c r="B45" s="572">
        <f>+(PROYECTOS!B47)/1000</f>
        <v>46208.546000000002</v>
      </c>
      <c r="C45" s="572">
        <f>+(PROYECTOS!D47)/1000</f>
        <v>46208.546000000002</v>
      </c>
      <c r="D45" s="572">
        <f>+(PROYECTOS!D47)/1000</f>
        <v>46208.546000000002</v>
      </c>
      <c r="E45" s="572" t="e">
        <f>+(#REF!)/1000</f>
        <v>#REF!</v>
      </c>
      <c r="F45" s="572">
        <f>+(PROYECTOS!E47)/1000</f>
        <v>10192.82</v>
      </c>
      <c r="G45" s="572">
        <f>+(PROYECTOS!G47)/1000</f>
        <v>1030.8438200000001</v>
      </c>
      <c r="H45" s="574">
        <f>G45/F45*100</f>
        <v>10.11343102301424</v>
      </c>
    </row>
    <row r="46" spans="1:9" ht="14.25" customHeight="1">
      <c r="A46" s="573" t="s">
        <v>158</v>
      </c>
      <c r="B46" s="572"/>
      <c r="C46" s="572">
        <f>+(PROYECTOS!B48)/1000</f>
        <v>0</v>
      </c>
      <c r="D46" s="572">
        <v>0</v>
      </c>
      <c r="E46" s="572">
        <v>0</v>
      </c>
      <c r="F46" s="572">
        <v>0</v>
      </c>
      <c r="G46" s="572">
        <v>0</v>
      </c>
      <c r="H46" s="574" t="s">
        <v>12</v>
      </c>
    </row>
    <row r="47" spans="1:9" ht="15" customHeight="1">
      <c r="A47" s="573" t="s">
        <v>159</v>
      </c>
      <c r="B47" s="572"/>
      <c r="C47" s="572">
        <f>+(PROYECTOS!B49)/1000</f>
        <v>0</v>
      </c>
      <c r="D47" s="572" t="s">
        <v>12</v>
      </c>
      <c r="E47" s="572" t="s">
        <v>12</v>
      </c>
      <c r="F47" s="572" t="s">
        <v>12</v>
      </c>
      <c r="G47" s="572" t="s">
        <v>12</v>
      </c>
      <c r="H47" s="574" t="s">
        <v>12</v>
      </c>
    </row>
    <row r="48" spans="1:9" ht="15" customHeight="1">
      <c r="A48" s="573" t="s">
        <v>160</v>
      </c>
      <c r="B48" s="572"/>
      <c r="C48" s="577"/>
      <c r="D48" s="572">
        <v>0</v>
      </c>
      <c r="E48" s="572">
        <v>0</v>
      </c>
      <c r="F48" s="572">
        <v>0</v>
      </c>
      <c r="G48" s="572">
        <v>0</v>
      </c>
      <c r="H48" s="574" t="s">
        <v>12</v>
      </c>
    </row>
    <row r="49" spans="1:8" ht="8.25" customHeight="1">
      <c r="A49" s="573"/>
      <c r="B49" s="572"/>
      <c r="C49" s="577"/>
      <c r="D49" s="572"/>
      <c r="E49" s="572"/>
      <c r="F49" s="572"/>
      <c r="G49" s="572"/>
      <c r="H49" s="574" t="s">
        <v>12</v>
      </c>
    </row>
    <row r="50" spans="1:8" ht="18" customHeight="1">
      <c r="A50" s="564" t="s">
        <v>161</v>
      </c>
      <c r="B50" s="565">
        <f>B33+B43</f>
        <v>179349.11600000001</v>
      </c>
      <c r="C50" s="565">
        <f t="shared" ref="C50:G50" si="5">+C33+C43</f>
        <v>179349.11599999998</v>
      </c>
      <c r="D50" s="565" t="e">
        <f t="shared" si="5"/>
        <v>#REF!</v>
      </c>
      <c r="E50" s="565" t="e">
        <f t="shared" si="5"/>
        <v>#REF!</v>
      </c>
      <c r="F50" s="565">
        <f t="shared" si="5"/>
        <v>40632.471999999994</v>
      </c>
      <c r="G50" s="565">
        <f t="shared" si="5"/>
        <v>20195.176830000004</v>
      </c>
      <c r="H50" s="568">
        <f>G50/F50*100</f>
        <v>49.702062995330451</v>
      </c>
    </row>
    <row r="51" spans="1:8" ht="9" customHeight="1">
      <c r="A51" s="573"/>
      <c r="B51" s="572"/>
      <c r="C51" s="577"/>
      <c r="D51" s="572"/>
      <c r="E51" s="572"/>
      <c r="F51" s="572"/>
      <c r="G51" s="572"/>
      <c r="H51" s="574" t="s">
        <v>12</v>
      </c>
    </row>
    <row r="52" spans="1:8" ht="21.75" customHeight="1">
      <c r="A52" s="580" t="s">
        <v>60</v>
      </c>
      <c r="B52" s="581"/>
      <c r="C52" s="582"/>
      <c r="D52" s="583" t="s">
        <v>12</v>
      </c>
      <c r="E52" s="583" t="e">
        <f>E29-E50</f>
        <v>#REF!</v>
      </c>
      <c r="F52" s="584" t="s">
        <v>12</v>
      </c>
      <c r="G52" s="585">
        <f>G29-G50</f>
        <v>-3884.8364600000023</v>
      </c>
      <c r="H52" s="274" t="s">
        <v>12</v>
      </c>
    </row>
    <row r="53" spans="1:8" ht="15" customHeight="1">
      <c r="A53" s="6"/>
      <c r="B53" s="586"/>
      <c r="C53" s="6"/>
      <c r="D53" s="6"/>
      <c r="E53" s="587"/>
      <c r="F53" s="587"/>
      <c r="G53" s="587"/>
      <c r="H53" s="3"/>
    </row>
    <row r="54" spans="1:8" ht="18.75" customHeight="1">
      <c r="A54" s="784" t="s">
        <v>40</v>
      </c>
      <c r="B54" s="784"/>
      <c r="C54" s="139"/>
      <c r="D54" s="139"/>
      <c r="E54" s="6"/>
      <c r="F54" s="6" t="s">
        <v>12</v>
      </c>
      <c r="G54" s="6"/>
      <c r="H54" s="3"/>
    </row>
    <row r="55" spans="1:8" ht="15" customHeight="1">
      <c r="A55" s="4" t="s">
        <v>12</v>
      </c>
      <c r="H55" s="199"/>
    </row>
    <row r="56" spans="1:8" ht="15" customHeight="1">
      <c r="F56" s="589" t="s">
        <v>12</v>
      </c>
      <c r="G56" s="589"/>
      <c r="H56" s="199"/>
    </row>
    <row r="57" spans="1:8" ht="15" customHeight="1">
      <c r="A57" s="204"/>
      <c r="B57" s="203"/>
      <c r="C57" s="204"/>
      <c r="D57" s="204"/>
      <c r="E57" s="205"/>
      <c r="F57" s="205"/>
      <c r="G57" s="205" t="s">
        <v>12</v>
      </c>
      <c r="H57" s="199"/>
    </row>
    <row r="58" spans="1:8" ht="15" customHeight="1">
      <c r="A58" s="204"/>
      <c r="B58" s="203"/>
      <c r="C58" s="204"/>
      <c r="D58" s="204"/>
      <c r="E58" s="205"/>
      <c r="F58" s="205"/>
      <c r="G58" s="205"/>
      <c r="H58" s="199"/>
    </row>
    <row r="59" spans="1:8" ht="15" customHeight="1">
      <c r="A59" s="204"/>
      <c r="B59" s="203"/>
      <c r="C59" s="204"/>
      <c r="D59" s="204"/>
      <c r="E59" s="205"/>
      <c r="F59" s="205"/>
      <c r="G59" s="205"/>
      <c r="H59" s="199"/>
    </row>
    <row r="60" spans="1:8" ht="15" customHeight="1">
      <c r="A60" s="191"/>
      <c r="B60" s="454"/>
      <c r="C60" s="191"/>
      <c r="D60" s="191"/>
      <c r="E60" s="191"/>
      <c r="F60" s="191"/>
      <c r="H60" s="199"/>
    </row>
    <row r="61" spans="1:8" ht="15" customHeight="1">
      <c r="A61" s="191"/>
      <c r="B61" s="454"/>
      <c r="C61" s="191"/>
      <c r="D61" s="191"/>
      <c r="E61" s="191"/>
      <c r="F61" s="191"/>
      <c r="H61" s="199"/>
    </row>
    <row r="62" spans="1:8" ht="15" customHeight="1">
      <c r="A62" s="191"/>
      <c r="B62" s="454"/>
      <c r="C62" s="191"/>
      <c r="D62" s="191"/>
      <c r="H62" s="199"/>
    </row>
    <row r="63" spans="1:8">
      <c r="A63" s="191"/>
      <c r="B63" s="454"/>
      <c r="C63" s="191"/>
      <c r="D63" s="191"/>
      <c r="H63" s="199"/>
    </row>
    <row r="64" spans="1:8">
      <c r="A64" s="191"/>
      <c r="B64" s="454"/>
      <c r="C64" s="191"/>
      <c r="D64" s="191"/>
      <c r="H64" s="199"/>
    </row>
    <row r="65" spans="1:8">
      <c r="A65" s="191"/>
      <c r="B65" s="454"/>
      <c r="C65" s="191"/>
      <c r="D65" s="191"/>
      <c r="H65" s="199"/>
    </row>
    <row r="66" spans="1:8" ht="15">
      <c r="A66" s="191"/>
      <c r="B66" s="454"/>
      <c r="C66" s="191"/>
      <c r="D66" s="191"/>
      <c r="E66" s="41"/>
      <c r="F66" s="41"/>
      <c r="G66" s="41"/>
      <c r="H66" s="199"/>
    </row>
    <row r="67" spans="1:8" ht="15">
      <c r="A67" s="191"/>
      <c r="B67" s="454"/>
      <c r="C67" s="191"/>
      <c r="D67" s="191"/>
      <c r="E67" s="41"/>
      <c r="F67" s="41"/>
      <c r="G67" s="41"/>
      <c r="H67" s="199"/>
    </row>
    <row r="68" spans="1:8">
      <c r="A68" s="191"/>
      <c r="B68" s="454"/>
      <c r="C68" s="191"/>
      <c r="D68" s="191"/>
      <c r="H68" s="199"/>
    </row>
    <row r="69" spans="1:8">
      <c r="H69" s="199"/>
    </row>
    <row r="70" spans="1:8">
      <c r="H70" s="199"/>
    </row>
    <row r="71" spans="1:8">
      <c r="H71" s="199"/>
    </row>
    <row r="72" spans="1:8">
      <c r="H72" s="199"/>
    </row>
    <row r="73" spans="1:8">
      <c r="H73" s="199"/>
    </row>
    <row r="74" spans="1:8">
      <c r="H74" s="199"/>
    </row>
    <row r="75" spans="1:8">
      <c r="H75" s="199"/>
    </row>
    <row r="76" spans="1:8">
      <c r="H76" s="199"/>
    </row>
    <row r="77" spans="1:8">
      <c r="H77" s="199"/>
    </row>
    <row r="78" spans="1:8">
      <c r="H78" s="199"/>
    </row>
    <row r="79" spans="1:8">
      <c r="H79" s="199"/>
    </row>
    <row r="80" spans="1:8">
      <c r="H80" s="199"/>
    </row>
    <row r="81" spans="8:8">
      <c r="H81" s="199"/>
    </row>
    <row r="82" spans="8:8">
      <c r="H82" s="199"/>
    </row>
    <row r="83" spans="8:8">
      <c r="H83" s="199"/>
    </row>
    <row r="84" spans="8:8">
      <c r="H84" s="199"/>
    </row>
    <row r="85" spans="8:8">
      <c r="H85" s="199"/>
    </row>
    <row r="86" spans="8:8">
      <c r="H86" s="199"/>
    </row>
    <row r="87" spans="8:8">
      <c r="H87" s="199"/>
    </row>
    <row r="88" spans="8:8">
      <c r="H88" s="199"/>
    </row>
  </sheetData>
  <mergeCells count="8">
    <mergeCell ref="A54:B54"/>
    <mergeCell ref="A6:A7"/>
    <mergeCell ref="H6:H7"/>
    <mergeCell ref="A1:H1"/>
    <mergeCell ref="A2:H2"/>
    <mergeCell ref="A3:H3"/>
    <mergeCell ref="A4:H4"/>
    <mergeCell ref="B6:G6"/>
  </mergeCells>
  <pageMargins left="1.14173228346457" right="0.86614173228346403" top="0.66929133858267698" bottom="0.59055118110236204" header="0.511811023622047" footer="0.511811023622047"/>
  <pageSetup scale="85" firstPageNumber="0" orientation="portrait" useFirstPageNumber="1" r:id="rId1"/>
  <headerFooter alignWithMargins="0"/>
  <ignoredErrors>
    <ignoredError sqref="H19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6">
    <tabColor theme="8" tint="0.59999389629810485"/>
  </sheetPr>
  <dimension ref="A1:Q181"/>
  <sheetViews>
    <sheetView showGridLines="0" showZeros="0" zoomScale="86" zoomScaleNormal="86" workbookViewId="0">
      <selection activeCell="K34" sqref="K34"/>
    </sheetView>
  </sheetViews>
  <sheetFormatPr baseColWidth="10" defaultColWidth="11.42578125" defaultRowHeight="12.75"/>
  <cols>
    <col min="1" max="1" width="48" style="4" bestFit="1" customWidth="1"/>
    <col min="2" max="2" width="13" style="4" customWidth="1"/>
    <col min="3" max="3" width="13.5703125" style="4" customWidth="1"/>
    <col min="4" max="4" width="12.28515625" style="4" customWidth="1"/>
    <col min="5" max="5" width="12.140625" style="4" hidden="1" customWidth="1"/>
    <col min="6" max="6" width="17.140625" style="4" customWidth="1"/>
    <col min="7" max="7" width="14.42578125" style="4" customWidth="1"/>
    <col min="8" max="8" width="12.28515625" style="4" customWidth="1"/>
    <col min="9" max="9" width="12.140625" style="4" customWidth="1"/>
    <col min="10" max="10" width="13.140625" style="4" customWidth="1"/>
    <col min="11" max="11" width="15" style="4" customWidth="1"/>
    <col min="12" max="12" width="19.5703125" customWidth="1"/>
    <col min="13" max="13" width="13.5703125" customWidth="1"/>
  </cols>
  <sheetData>
    <row r="1" spans="1:14" ht="12" customHeight="1">
      <c r="A1" s="183"/>
      <c r="B1" s="183"/>
      <c r="C1" s="183"/>
      <c r="D1" s="184"/>
      <c r="E1" s="184"/>
      <c r="F1" s="185"/>
      <c r="G1" s="185"/>
      <c r="H1" s="185"/>
      <c r="I1" s="185"/>
      <c r="J1" s="185"/>
      <c r="K1" s="185"/>
    </row>
    <row r="2" spans="1:14" ht="18" customHeight="1">
      <c r="A2" s="779" t="s">
        <v>61</v>
      </c>
      <c r="B2" s="779"/>
      <c r="C2" s="779"/>
      <c r="D2" s="779"/>
      <c r="E2" s="779"/>
      <c r="F2" s="779"/>
      <c r="G2" s="779"/>
      <c r="H2" s="779"/>
      <c r="I2" s="779"/>
      <c r="J2" s="779"/>
      <c r="K2" s="779"/>
    </row>
    <row r="3" spans="1:14" ht="15.75" customHeight="1">
      <c r="A3" s="779" t="s">
        <v>62</v>
      </c>
      <c r="B3" s="779"/>
      <c r="C3" s="779"/>
      <c r="D3" s="779"/>
      <c r="E3" s="779"/>
      <c r="F3" s="779"/>
      <c r="G3" s="779"/>
      <c r="H3" s="779"/>
      <c r="I3" s="779"/>
      <c r="J3" s="779"/>
      <c r="K3" s="779"/>
    </row>
    <row r="4" spans="1:14" ht="15">
      <c r="A4" s="780" t="s">
        <v>162</v>
      </c>
      <c r="B4" s="780"/>
      <c r="C4" s="780"/>
      <c r="D4" s="780"/>
      <c r="E4" s="780"/>
      <c r="F4" s="780"/>
      <c r="G4" s="780"/>
      <c r="H4" s="780"/>
      <c r="I4" s="780"/>
      <c r="J4" s="780"/>
      <c r="K4" s="780"/>
    </row>
    <row r="5" spans="1:14" ht="15">
      <c r="A5" s="780" t="s">
        <v>639</v>
      </c>
      <c r="B5" s="780"/>
      <c r="C5" s="780"/>
      <c r="D5" s="780"/>
      <c r="E5" s="780"/>
      <c r="F5" s="780"/>
      <c r="G5" s="780"/>
      <c r="H5" s="780"/>
      <c r="I5" s="780"/>
      <c r="J5" s="780"/>
      <c r="K5" s="780"/>
    </row>
    <row r="6" spans="1:14" ht="13.5" thickBot="1">
      <c r="A6" s="6"/>
      <c r="B6" s="6"/>
      <c r="C6" s="6"/>
      <c r="D6" s="6"/>
      <c r="E6" s="6"/>
      <c r="F6" s="6"/>
      <c r="G6" s="6"/>
      <c r="H6" s="6"/>
      <c r="I6" s="6"/>
      <c r="J6" s="6"/>
      <c r="K6" s="6" t="s">
        <v>12</v>
      </c>
      <c r="L6" t="s">
        <v>12</v>
      </c>
    </row>
    <row r="7" spans="1:14" ht="20.100000000000001" customHeight="1">
      <c r="A7" s="819" t="s">
        <v>0</v>
      </c>
      <c r="B7" s="823" t="s">
        <v>163</v>
      </c>
      <c r="C7" s="824"/>
      <c r="D7" s="824"/>
      <c r="E7" s="824"/>
      <c r="F7" s="824"/>
      <c r="G7" s="824"/>
      <c r="H7" s="825"/>
      <c r="I7" s="826" t="s">
        <v>616</v>
      </c>
      <c r="J7" s="827"/>
      <c r="K7" s="821" t="s">
        <v>41</v>
      </c>
      <c r="L7" t="s">
        <v>12</v>
      </c>
    </row>
    <row r="8" spans="1:14" ht="27.75" customHeight="1">
      <c r="A8" s="820"/>
      <c r="B8" s="407" t="s">
        <v>2</v>
      </c>
      <c r="C8" s="407" t="s">
        <v>3</v>
      </c>
      <c r="D8" s="405" t="s">
        <v>25</v>
      </c>
      <c r="E8" s="462" t="s">
        <v>67</v>
      </c>
      <c r="F8" s="463" t="s">
        <v>42</v>
      </c>
      <c r="G8" s="464" t="s">
        <v>47</v>
      </c>
      <c r="H8" s="464" t="s">
        <v>43</v>
      </c>
      <c r="I8" s="471" t="s">
        <v>51</v>
      </c>
      <c r="J8" s="465" t="s">
        <v>52</v>
      </c>
      <c r="K8" s="822"/>
      <c r="M8" t="s">
        <v>12</v>
      </c>
    </row>
    <row r="9" spans="1:14" ht="24.75" customHeight="1">
      <c r="A9" s="186" t="s">
        <v>164</v>
      </c>
      <c r="B9" s="457">
        <f>+B11+B36</f>
        <v>179349116</v>
      </c>
      <c r="C9" s="457">
        <f>+C11+C36</f>
        <v>179349116</v>
      </c>
      <c r="D9" s="187">
        <f>++D11+D36</f>
        <v>40632472</v>
      </c>
      <c r="E9" s="187">
        <f>+E11+E36</f>
        <v>11523171.139999997</v>
      </c>
      <c r="F9" s="187">
        <f>+F11+F36</f>
        <v>20195176.919999998</v>
      </c>
      <c r="G9" s="187">
        <f>+G11+G36</f>
        <v>16458306.949999997</v>
      </c>
      <c r="H9" s="187">
        <f>++H11+H36</f>
        <v>17093286.659999996</v>
      </c>
      <c r="I9" s="187">
        <f>+D9-F9</f>
        <v>20437295.080000002</v>
      </c>
      <c r="J9" s="187">
        <f>C9-F9</f>
        <v>159153939.08000001</v>
      </c>
      <c r="K9" s="192">
        <f>+F9/D9*100</f>
        <v>49.702063216828151</v>
      </c>
    </row>
    <row r="10" spans="1:14" ht="11.1" customHeight="1">
      <c r="A10" s="186"/>
      <c r="B10" s="349"/>
      <c r="C10" s="188"/>
      <c r="D10" s="188"/>
      <c r="E10" s="188"/>
      <c r="F10" s="188" t="s">
        <v>12</v>
      </c>
      <c r="G10" s="188"/>
      <c r="H10" s="188" t="s">
        <v>12</v>
      </c>
      <c r="I10" s="188" t="s">
        <v>12</v>
      </c>
      <c r="J10" s="187" t="s">
        <v>12</v>
      </c>
      <c r="K10" s="192" t="s">
        <v>12</v>
      </c>
    </row>
    <row r="11" spans="1:14" ht="15">
      <c r="A11" s="186" t="s">
        <v>165</v>
      </c>
      <c r="B11" s="349">
        <f>+B13+B20</f>
        <v>133140570</v>
      </c>
      <c r="C11" s="188">
        <f>+C13+C20+C34</f>
        <v>133140570</v>
      </c>
      <c r="D11" s="689">
        <f>+D13+D20</f>
        <v>30439652</v>
      </c>
      <c r="E11" s="689">
        <f>+E20+E13-1</f>
        <v>11103813.349999998</v>
      </c>
      <c r="F11" s="689">
        <f>+F20+F13</f>
        <v>19164333.009999998</v>
      </c>
      <c r="G11" s="689">
        <f>+G20+G13</f>
        <v>16160472.339999998</v>
      </c>
      <c r="H11" s="689">
        <f>+H20+H13+H34</f>
        <v>16781861.459999997</v>
      </c>
      <c r="I11" s="689">
        <f>+D11-F11</f>
        <v>11275318.990000002</v>
      </c>
      <c r="J11" s="690">
        <f>C11-F11</f>
        <v>113976236.99000001</v>
      </c>
      <c r="K11" s="193">
        <f>+F11/D11*100</f>
        <v>62.958449754944631</v>
      </c>
      <c r="N11" t="s">
        <v>12</v>
      </c>
    </row>
    <row r="12" spans="1:14" ht="10.35" customHeight="1">
      <c r="A12" s="186"/>
      <c r="B12" s="349"/>
      <c r="C12" s="188"/>
      <c r="D12" s="188"/>
      <c r="E12" s="188"/>
      <c r="F12" s="188" t="s">
        <v>12</v>
      </c>
      <c r="G12" s="188"/>
      <c r="H12" s="188"/>
      <c r="I12" s="188"/>
      <c r="J12" s="187" t="s">
        <v>12</v>
      </c>
      <c r="K12" s="192"/>
    </row>
    <row r="13" spans="1:14" ht="18" customHeight="1">
      <c r="A13" s="186" t="s">
        <v>166</v>
      </c>
      <c r="B13" s="349">
        <f>SUM(B15:B18)</f>
        <v>131474332</v>
      </c>
      <c r="C13" s="188">
        <f>SUM(C15:C18)</f>
        <v>131748882</v>
      </c>
      <c r="D13" s="188">
        <f>SUM(D15:D18)</f>
        <v>29504946</v>
      </c>
      <c r="E13" s="188">
        <f>SUM(E15:E18)+1</f>
        <v>11049679.849999998</v>
      </c>
      <c r="F13" s="188">
        <f>SUM(F15:F18)</f>
        <v>19106824.639999997</v>
      </c>
      <c r="G13" s="188">
        <f>SUM(G15:G18)</f>
        <v>16152343.099999998</v>
      </c>
      <c r="H13" s="188">
        <f>SUM(H15:H18)</f>
        <v>16774632.219999999</v>
      </c>
      <c r="I13" s="188">
        <f>+D13-F13</f>
        <v>10398121.360000003</v>
      </c>
      <c r="J13" s="187">
        <f>C13-F13</f>
        <v>112642057.36</v>
      </c>
      <c r="K13" s="192">
        <f>+F13/D13*100</f>
        <v>64.758039685956376</v>
      </c>
      <c r="M13" s="1" t="s">
        <v>12</v>
      </c>
    </row>
    <row r="14" spans="1:14" ht="11.1" customHeight="1">
      <c r="A14" s="186"/>
      <c r="B14" s="349"/>
      <c r="C14" s="188"/>
      <c r="D14" s="188"/>
      <c r="E14" s="188"/>
      <c r="F14" s="188" t="s">
        <v>12</v>
      </c>
      <c r="G14" s="188"/>
      <c r="H14" s="188"/>
      <c r="I14" s="188"/>
      <c r="J14" s="187"/>
      <c r="K14" s="192"/>
    </row>
    <row r="15" spans="1:14" ht="20.100000000000001" customHeight="1">
      <c r="A15" s="691" t="s">
        <v>167</v>
      </c>
      <c r="B15" s="692">
        <f>+'EJECUCION FUNC'!C11</f>
        <v>125040406</v>
      </c>
      <c r="C15" s="692">
        <f>+'EJECUCION FUNC'!E11</f>
        <v>124925393</v>
      </c>
      <c r="D15" s="692">
        <f>+'EJECUCION FUNC'!F11</f>
        <v>24870153</v>
      </c>
      <c r="E15" s="692">
        <f>+'EJECUCION FUNC'!G11</f>
        <v>10251167.379999999</v>
      </c>
      <c r="F15" s="692">
        <f>+'EJECUCION FUNC'!H11</f>
        <v>17906965.68</v>
      </c>
      <c r="G15" s="692">
        <f>+'EJECUCION FUNC'!I11</f>
        <v>15571338.189999998</v>
      </c>
      <c r="H15" s="692">
        <f>+'EJECUCION FUNC'!J11</f>
        <v>16604779.419999998</v>
      </c>
      <c r="I15" s="692">
        <f>+D15-F15</f>
        <v>6963187.3200000003</v>
      </c>
      <c r="J15" s="693">
        <f>C15-F15</f>
        <v>107018427.31999999</v>
      </c>
      <c r="K15" s="194">
        <f>+F15/D15*100</f>
        <v>72.001831593074641</v>
      </c>
    </row>
    <row r="16" spans="1:14" ht="20.100000000000001" customHeight="1">
      <c r="A16" s="691" t="s">
        <v>168</v>
      </c>
      <c r="B16" s="692">
        <f>+'EJECUCION FUNC'!C37</f>
        <v>3088498</v>
      </c>
      <c r="C16" s="692">
        <f>+'EJECUCION FUNC'!E37</f>
        <v>3328824</v>
      </c>
      <c r="D16" s="692">
        <f>+'EJECUCION FUNC'!F37</f>
        <v>2193256</v>
      </c>
      <c r="E16" s="692">
        <f>+'EJECUCION FUNC'!G37</f>
        <v>418329.61</v>
      </c>
      <c r="F16" s="692">
        <f>+'EJECUCION FUNC'!H37</f>
        <v>593415.99</v>
      </c>
      <c r="G16" s="692">
        <f>+'EJECUCION FUNC'!I37</f>
        <v>442141.5</v>
      </c>
      <c r="H16" s="692">
        <f>+'EJECUCION FUNC'!J37</f>
        <v>167065.21000000002</v>
      </c>
      <c r="I16" s="692">
        <f>+D16-F16</f>
        <v>1599840.01</v>
      </c>
      <c r="J16" s="693">
        <f>C16-F16</f>
        <v>2735408.01</v>
      </c>
      <c r="K16" s="194">
        <f>+F16/D16*100</f>
        <v>27.056394237608377</v>
      </c>
    </row>
    <row r="17" spans="1:16" ht="20.100000000000001" customHeight="1">
      <c r="A17" s="691" t="s">
        <v>169</v>
      </c>
      <c r="B17" s="692">
        <f>+'EJECUCION FUNC'!C94</f>
        <v>1027428</v>
      </c>
      <c r="C17" s="692">
        <f>+'EJECUCION FUNC'!E94</f>
        <v>1174965</v>
      </c>
      <c r="D17" s="692">
        <f>+'EJECUCION FUNC'!F94</f>
        <v>1050837</v>
      </c>
      <c r="E17" s="692">
        <f>+'EJECUCION FUNC'!G94</f>
        <v>170869</v>
      </c>
      <c r="F17" s="692">
        <f>+'EJECUCION FUNC'!H94</f>
        <v>252284.91</v>
      </c>
      <c r="G17" s="692">
        <f>+'EJECUCION FUNC'!I94</f>
        <v>61214.15</v>
      </c>
      <c r="H17" s="692">
        <f>+'EJECUCION FUNC'!J94</f>
        <v>1789.59</v>
      </c>
      <c r="I17" s="692">
        <f>+D17-F17</f>
        <v>798552.09</v>
      </c>
      <c r="J17" s="693">
        <f>C17-F17</f>
        <v>922680.09</v>
      </c>
      <c r="K17" s="194">
        <f>+F17/D17*100</f>
        <v>24.007996482803708</v>
      </c>
      <c r="N17" t="s">
        <v>12</v>
      </c>
    </row>
    <row r="18" spans="1:16" ht="20.100000000000001" customHeight="1">
      <c r="A18" s="691" t="s">
        <v>170</v>
      </c>
      <c r="B18" s="692">
        <f>+'EJECUCION FUNC'!C154</f>
        <v>2318000</v>
      </c>
      <c r="C18" s="692">
        <f>+'EJECUCION FUNC'!E154</f>
        <v>2319700</v>
      </c>
      <c r="D18" s="692">
        <f>+'EJECUCION FUNC'!F154</f>
        <v>1390700</v>
      </c>
      <c r="E18" s="692">
        <f>+'EJECUCION FUNC'!G154</f>
        <v>209312.86</v>
      </c>
      <c r="F18" s="692">
        <f>+'EJECUCION FUNC'!H154</f>
        <v>354158.05999999994</v>
      </c>
      <c r="G18" s="692">
        <f>+'EJECUCION FUNC'!I154</f>
        <v>77649.259999999995</v>
      </c>
      <c r="H18" s="692">
        <f>+'EJECUCION FUNC'!J154</f>
        <v>998</v>
      </c>
      <c r="I18" s="692">
        <f>+D18-F18</f>
        <v>1036541.9400000001</v>
      </c>
      <c r="J18" s="693">
        <f>C18-F18</f>
        <v>1965541.94</v>
      </c>
      <c r="K18" s="194">
        <f>+F18/D18*100</f>
        <v>25.466172431149776</v>
      </c>
    </row>
    <row r="19" spans="1:16" ht="9.75" customHeight="1">
      <c r="A19" s="186"/>
      <c r="B19" s="349"/>
      <c r="C19" s="188"/>
      <c r="D19" s="188"/>
      <c r="E19" s="188" t="s">
        <v>12</v>
      </c>
      <c r="F19" s="188" t="s">
        <v>12</v>
      </c>
      <c r="G19" s="188" t="s">
        <v>12</v>
      </c>
      <c r="H19" s="188"/>
      <c r="I19" s="188"/>
      <c r="J19" s="187"/>
      <c r="K19" s="192" t="s">
        <v>12</v>
      </c>
    </row>
    <row r="20" spans="1:16" ht="18" customHeight="1">
      <c r="A20" s="186" t="s">
        <v>171</v>
      </c>
      <c r="B20" s="188">
        <f>+'EJECUCION FUNC'!C159</f>
        <v>1666238</v>
      </c>
      <c r="C20" s="188">
        <f>+'EJECUCION FUNC'!E159</f>
        <v>1391688</v>
      </c>
      <c r="D20" s="188">
        <f>+'EJECUCION FUNC'!F159</f>
        <v>934706</v>
      </c>
      <c r="E20" s="188">
        <f>+'EJECUCION FUNC'!G159</f>
        <v>54134.5</v>
      </c>
      <c r="F20" s="188">
        <f>+'EJECUCION FUNC'!H159</f>
        <v>57508.369999999995</v>
      </c>
      <c r="G20" s="188">
        <f>+'EJECUCION FUNC'!I159</f>
        <v>8129.24</v>
      </c>
      <c r="H20" s="188">
        <f>+'EJECUCION FUNC'!J159</f>
        <v>7229.24</v>
      </c>
      <c r="I20" s="188">
        <f>+D20-F20</f>
        <v>877197.63</v>
      </c>
      <c r="J20" s="187">
        <f>C20-F20</f>
        <v>1334179.6299999999</v>
      </c>
      <c r="K20" s="192">
        <f>+F20/D20*100</f>
        <v>6.1525624099984375</v>
      </c>
      <c r="P20" s="1" t="s">
        <v>12</v>
      </c>
    </row>
    <row r="21" spans="1:16" ht="12.75" customHeight="1">
      <c r="A21" s="186" t="s">
        <v>172</v>
      </c>
      <c r="B21" s="349"/>
      <c r="C21" s="188"/>
      <c r="D21" s="188"/>
      <c r="E21" s="188" t="s">
        <v>12</v>
      </c>
      <c r="F21" s="188" t="s">
        <v>12</v>
      </c>
      <c r="G21" s="188" t="s">
        <v>12</v>
      </c>
      <c r="H21" s="188"/>
      <c r="I21" s="188"/>
      <c r="J21" s="187"/>
      <c r="K21" s="192" t="s">
        <v>12</v>
      </c>
    </row>
    <row r="22" spans="1:16" ht="18" customHeight="1">
      <c r="A22" s="186" t="s">
        <v>173</v>
      </c>
      <c r="B22" s="349">
        <f>+B28</f>
        <v>1666238</v>
      </c>
      <c r="C22" s="188">
        <f t="shared" ref="C22:H22" si="0">SUM(C28)</f>
        <v>1381688</v>
      </c>
      <c r="D22" s="188">
        <f t="shared" si="0"/>
        <v>934706</v>
      </c>
      <c r="E22" s="188">
        <f t="shared" si="0"/>
        <v>37346.370000000003</v>
      </c>
      <c r="F22" s="188">
        <f t="shared" si="0"/>
        <v>57508.369999999995</v>
      </c>
      <c r="G22" s="188">
        <f t="shared" si="0"/>
        <v>8129.24</v>
      </c>
      <c r="H22" s="188">
        <f t="shared" si="0"/>
        <v>7229.24</v>
      </c>
      <c r="I22" s="188">
        <f>+D22-F22</f>
        <v>877197.63</v>
      </c>
      <c r="J22" s="187">
        <f>C22-F22</f>
        <v>1324179.6299999999</v>
      </c>
      <c r="K22" s="192">
        <f>+F22/D22*100</f>
        <v>6.1525624099984375</v>
      </c>
    </row>
    <row r="23" spans="1:16" ht="12.75" hidden="1" customHeight="1">
      <c r="A23" s="186" t="s">
        <v>174</v>
      </c>
      <c r="B23" s="349"/>
      <c r="C23" s="188"/>
      <c r="D23" s="188" t="s">
        <v>12</v>
      </c>
      <c r="E23" s="188">
        <f ca="1">+F23-L23</f>
        <v>134579</v>
      </c>
      <c r="F23" s="188">
        <f t="shared" ref="F23:F35" ca="1" si="1">+E23+L23</f>
        <v>1231</v>
      </c>
      <c r="G23" s="188">
        <f>+H23-N23</f>
        <v>0</v>
      </c>
      <c r="H23" s="188"/>
      <c r="I23" s="188"/>
      <c r="J23" s="187"/>
      <c r="K23" s="192" t="s">
        <v>12</v>
      </c>
    </row>
    <row r="24" spans="1:16" ht="12.75" hidden="1" customHeight="1">
      <c r="A24" s="186" t="s">
        <v>175</v>
      </c>
      <c r="B24" s="349"/>
      <c r="C24" s="188"/>
      <c r="D24" s="188"/>
      <c r="E24" s="188">
        <f ca="1">+F24-L24</f>
        <v>134579</v>
      </c>
      <c r="F24" s="188">
        <f t="shared" ca="1" si="1"/>
        <v>1231</v>
      </c>
      <c r="G24" s="188">
        <f>+H24-N24</f>
        <v>0</v>
      </c>
      <c r="H24" s="188"/>
      <c r="I24" s="188"/>
      <c r="J24" s="187"/>
      <c r="K24" s="192" t="s">
        <v>12</v>
      </c>
    </row>
    <row r="25" spans="1:16" ht="12.75" hidden="1" customHeight="1">
      <c r="A25" s="186" t="s">
        <v>176</v>
      </c>
      <c r="B25" s="349"/>
      <c r="C25" s="188"/>
      <c r="D25" s="188"/>
      <c r="E25" s="188">
        <f ca="1">+F25-L25</f>
        <v>134579</v>
      </c>
      <c r="F25" s="188">
        <f t="shared" ca="1" si="1"/>
        <v>1231</v>
      </c>
      <c r="G25" s="188">
        <f>+H25-N25</f>
        <v>0</v>
      </c>
      <c r="H25" s="188"/>
      <c r="I25" s="188"/>
      <c r="J25" s="187"/>
      <c r="K25" s="192" t="s">
        <v>12</v>
      </c>
    </row>
    <row r="26" spans="1:16" ht="12.75" hidden="1" customHeight="1">
      <c r="A26" s="186" t="s">
        <v>177</v>
      </c>
      <c r="B26" s="349"/>
      <c r="C26" s="188"/>
      <c r="D26" s="188"/>
      <c r="E26" s="188">
        <f ca="1">+F26-L26</f>
        <v>134579</v>
      </c>
      <c r="F26" s="188">
        <f t="shared" ca="1" si="1"/>
        <v>1231</v>
      </c>
      <c r="G26" s="188">
        <f>+H26-N26</f>
        <v>0</v>
      </c>
      <c r="H26" s="188"/>
      <c r="I26" s="188"/>
      <c r="J26" s="187"/>
      <c r="K26" s="192" t="s">
        <v>12</v>
      </c>
    </row>
    <row r="27" spans="1:16" ht="12.75" customHeight="1">
      <c r="A27" s="186"/>
      <c r="B27" s="349"/>
      <c r="C27" s="188"/>
      <c r="D27" s="188"/>
      <c r="E27" s="188"/>
      <c r="F27" s="188"/>
      <c r="G27" s="188"/>
      <c r="H27" s="188"/>
      <c r="I27" s="188"/>
      <c r="J27" s="187"/>
      <c r="K27" s="192"/>
    </row>
    <row r="28" spans="1:16" ht="18" customHeight="1">
      <c r="A28" s="691" t="s">
        <v>178</v>
      </c>
      <c r="B28" s="692">
        <f>+'EJECUCION FUNC'!C160+'EJECUCION FUNC'!C162++'EJECUCION FUNC'!C169+'EJECUCION FUNC'!C173+'EJECUCION FUNC'!C175</f>
        <v>1666238</v>
      </c>
      <c r="C28" s="692">
        <f>+'EJECUCION FUNC'!E160+'EJECUCION FUNC'!E162++'EJECUCION FUNC'!E169+'EJECUCION FUNC'!E173+'EJECUCION FUNC'!E175</f>
        <v>1381688</v>
      </c>
      <c r="D28" s="692">
        <f>+'EJECUCION FUNC'!F160+'EJECUCION FUNC'!F162++'EJECUCION FUNC'!F169+'EJECUCION FUNC'!F175+'EJECUCION FUNC'!F179</f>
        <v>934706</v>
      </c>
      <c r="E28" s="692">
        <f>+'EJECUCION FUNC'!G160+'EJECUCION FUNC'!G162+'EJECUCION FUNC'!G169</f>
        <v>37346.370000000003</v>
      </c>
      <c r="F28" s="692">
        <f>+'EJECUCION FUNC'!H160+'EJECUCION FUNC'!H162++'EJECUCION FUNC'!H169+'EJECUCION FUNC'!H179+'EJECUCION FUNC'!H175</f>
        <v>57508.369999999995</v>
      </c>
      <c r="G28" s="692">
        <f>+'EJECUCION FUNC'!I160+'EJECUCION FUNC'!I162++'EJECUCION FUNC'!I169+'EJECUCION FUNC'!I179+'EJECUCION FUNC'!I175</f>
        <v>8129.24</v>
      </c>
      <c r="H28" s="692">
        <f>+'EJECUCION FUNC'!J160+'EJECUCION FUNC'!J162++'EJECUCION FUNC'!J169</f>
        <v>7229.24</v>
      </c>
      <c r="I28" s="692">
        <f>+I22</f>
        <v>877197.63</v>
      </c>
      <c r="J28" s="693">
        <f>C28-F28</f>
        <v>1324179.6299999999</v>
      </c>
      <c r="K28" s="194">
        <f>+F28/D28*100</f>
        <v>6.1525624099984375</v>
      </c>
    </row>
    <row r="29" spans="1:16" ht="18" customHeight="1">
      <c r="A29" s="691" t="s">
        <v>179</v>
      </c>
      <c r="B29" s="694"/>
      <c r="C29" s="692"/>
      <c r="D29" s="692" t="s">
        <v>12</v>
      </c>
      <c r="E29" s="692" t="s">
        <v>12</v>
      </c>
      <c r="F29" s="692" t="s">
        <v>12</v>
      </c>
      <c r="G29" s="692" t="s">
        <v>12</v>
      </c>
      <c r="H29" s="692"/>
      <c r="I29" s="692"/>
      <c r="J29" s="693"/>
      <c r="K29" s="194" t="s">
        <v>12</v>
      </c>
    </row>
    <row r="30" spans="1:16" ht="18" customHeight="1">
      <c r="A30" s="691" t="s">
        <v>180</v>
      </c>
      <c r="B30" s="694"/>
      <c r="C30" s="692"/>
      <c r="D30" s="692" t="s">
        <v>12</v>
      </c>
      <c r="E30" s="692"/>
      <c r="F30" s="692">
        <f t="shared" si="1"/>
        <v>0</v>
      </c>
      <c r="G30" s="692"/>
      <c r="H30" s="692"/>
      <c r="I30" s="692"/>
      <c r="J30" s="693"/>
      <c r="K30" s="194" t="s">
        <v>12</v>
      </c>
    </row>
    <row r="31" spans="1:16" ht="9" customHeight="1">
      <c r="A31" s="691"/>
      <c r="B31" s="694"/>
      <c r="C31" s="692"/>
      <c r="D31" s="692"/>
      <c r="E31" s="692"/>
      <c r="F31" s="692"/>
      <c r="G31" s="692"/>
      <c r="H31" s="692"/>
      <c r="I31" s="692"/>
      <c r="J31" s="693"/>
      <c r="K31" s="194"/>
    </row>
    <row r="32" spans="1:16" ht="22.5" customHeight="1">
      <c r="A32" s="695" t="s">
        <v>181</v>
      </c>
      <c r="B32" s="696">
        <f>+'EJECUCION FUNC'!C175</f>
        <v>187000</v>
      </c>
      <c r="C32" s="696">
        <f>+'EJECUCION FUNC'!E175</f>
        <v>144300</v>
      </c>
      <c r="D32" s="696">
        <f>+'EJECUCION FUNC'!F175</f>
        <v>42300</v>
      </c>
      <c r="E32" s="696">
        <f>+'EJECUCION FUNC'!G175</f>
        <v>16788.13</v>
      </c>
      <c r="F32" s="696">
        <f>+'EJECUCION FUNC'!H175</f>
        <v>16788.13</v>
      </c>
      <c r="G32" s="696">
        <f>+'EJECUCION FUNC'!I175</f>
        <v>900</v>
      </c>
      <c r="H32" s="696">
        <f>+'EJECUCION FUNC'!J163+'EJECUCION FUNC'!J165++'EJECUCION FUNC'!J175</f>
        <v>0</v>
      </c>
      <c r="I32" s="696">
        <f>+D32-F32</f>
        <v>25511.87</v>
      </c>
      <c r="J32" s="697">
        <f>C32-F32</f>
        <v>127511.87</v>
      </c>
      <c r="K32" s="195">
        <f>+F32/D32*100</f>
        <v>39.688250591016548</v>
      </c>
    </row>
    <row r="33" spans="1:17" ht="12.6" customHeight="1">
      <c r="A33" s="186"/>
      <c r="B33" s="349"/>
      <c r="C33" s="188"/>
      <c r="D33" s="188"/>
      <c r="E33" s="188"/>
      <c r="F33" s="188"/>
      <c r="G33" s="188"/>
      <c r="H33" s="188"/>
      <c r="I33" s="188"/>
      <c r="J33" s="187"/>
      <c r="K33" s="192"/>
    </row>
    <row r="34" spans="1:17" ht="15.75" customHeight="1">
      <c r="A34" s="186" t="s">
        <v>12</v>
      </c>
      <c r="B34" s="349"/>
      <c r="C34" s="188"/>
      <c r="D34" s="188" t="s">
        <v>12</v>
      </c>
      <c r="E34" s="188" t="s">
        <v>12</v>
      </c>
      <c r="F34" s="188" t="s">
        <v>12</v>
      </c>
      <c r="G34" s="188" t="s">
        <v>12</v>
      </c>
      <c r="H34" s="188">
        <v>0</v>
      </c>
      <c r="I34" s="188" t="s">
        <v>12</v>
      </c>
      <c r="J34" s="187" t="s">
        <v>12</v>
      </c>
      <c r="K34" s="192">
        <v>0</v>
      </c>
    </row>
    <row r="35" spans="1:17" ht="7.9" customHeight="1">
      <c r="A35" s="186" t="s">
        <v>12</v>
      </c>
      <c r="B35" s="349"/>
      <c r="C35" s="188"/>
      <c r="D35" s="188"/>
      <c r="E35" s="188"/>
      <c r="F35" s="188">
        <f t="shared" si="1"/>
        <v>0</v>
      </c>
      <c r="G35" s="188"/>
      <c r="H35" s="188"/>
      <c r="I35" s="188" t="s">
        <v>12</v>
      </c>
      <c r="J35" s="187" t="s">
        <v>12</v>
      </c>
      <c r="K35" s="192" t="s">
        <v>12</v>
      </c>
    </row>
    <row r="36" spans="1:17" ht="15">
      <c r="A36" s="698" t="s">
        <v>631</v>
      </c>
      <c r="B36" s="689">
        <f>+B39</f>
        <v>46208546</v>
      </c>
      <c r="C36" s="689">
        <f>+C39</f>
        <v>46208546</v>
      </c>
      <c r="D36" s="689">
        <f>+D39</f>
        <v>10192820</v>
      </c>
      <c r="E36" s="689">
        <f>+E39+E45</f>
        <v>419357.79</v>
      </c>
      <c r="F36" s="689">
        <f>+F39</f>
        <v>1030843.91</v>
      </c>
      <c r="G36" s="689">
        <f>+G39+G45</f>
        <v>297834.61</v>
      </c>
      <c r="H36" s="689">
        <f>+H45+H39</f>
        <v>311425.19999999995</v>
      </c>
      <c r="I36" s="689">
        <f>+D36-F36</f>
        <v>9161976.0899999999</v>
      </c>
      <c r="J36" s="690">
        <f>C36-F36</f>
        <v>45177702.090000004</v>
      </c>
      <c r="K36" s="193">
        <f>+F36/D36*100</f>
        <v>10.113431905988726</v>
      </c>
      <c r="L36" s="196"/>
    </row>
    <row r="37" spans="1:17" ht="4.5" customHeight="1">
      <c r="A37" s="186"/>
      <c r="B37" s="349"/>
      <c r="C37" s="188"/>
      <c r="D37" s="699" t="s">
        <v>12</v>
      </c>
      <c r="E37" s="188" t="s">
        <v>12</v>
      </c>
      <c r="F37" s="188" t="s">
        <v>12</v>
      </c>
      <c r="G37" s="188" t="s">
        <v>12</v>
      </c>
      <c r="H37" s="188"/>
      <c r="I37" s="188"/>
      <c r="J37" s="187"/>
      <c r="K37" s="192" t="s">
        <v>12</v>
      </c>
    </row>
    <row r="38" spans="1:17" ht="15.75" customHeight="1">
      <c r="A38" s="186"/>
      <c r="B38" s="349"/>
      <c r="C38" s="188"/>
      <c r="D38" s="699"/>
      <c r="E38" s="188"/>
      <c r="F38" s="188"/>
      <c r="G38" s="188"/>
      <c r="H38" s="188"/>
      <c r="I38" s="188"/>
      <c r="J38" s="187"/>
      <c r="K38" s="192"/>
    </row>
    <row r="39" spans="1:17" ht="13.5">
      <c r="A39" s="186" t="s">
        <v>182</v>
      </c>
      <c r="B39" s="349">
        <f>+B41+B42+B43+B44</f>
        <v>46208546</v>
      </c>
      <c r="C39" s="349">
        <f>+C41+C42+C43+C44</f>
        <v>46208546</v>
      </c>
      <c r="D39" s="349">
        <f t="shared" ref="D39:J39" si="2">+D41+D42+D43+D44</f>
        <v>10192820</v>
      </c>
      <c r="E39" s="349">
        <f t="shared" si="2"/>
        <v>419357.79</v>
      </c>
      <c r="F39" s="349">
        <f t="shared" si="2"/>
        <v>1030843.91</v>
      </c>
      <c r="G39" s="349">
        <f t="shared" si="2"/>
        <v>297834.61</v>
      </c>
      <c r="H39" s="349">
        <f t="shared" si="2"/>
        <v>311425.19999999995</v>
      </c>
      <c r="I39" s="349">
        <f t="shared" si="2"/>
        <v>9161976.0900000017</v>
      </c>
      <c r="J39" s="349">
        <f t="shared" si="2"/>
        <v>45177702.089999996</v>
      </c>
      <c r="K39" s="192">
        <f>+F39/D39*100</f>
        <v>10.113431905988726</v>
      </c>
      <c r="N39" t="s">
        <v>12</v>
      </c>
    </row>
    <row r="40" spans="1:17" ht="6" customHeight="1">
      <c r="A40" s="186"/>
      <c r="B40" s="349"/>
      <c r="C40" s="188"/>
      <c r="D40" s="188"/>
      <c r="E40" s="188" t="s">
        <v>12</v>
      </c>
      <c r="F40" s="188" t="s">
        <v>12</v>
      </c>
      <c r="G40" s="188" t="s">
        <v>12</v>
      </c>
      <c r="H40" s="188"/>
      <c r="I40" s="188" t="s">
        <v>12</v>
      </c>
      <c r="J40" s="187" t="s">
        <v>12</v>
      </c>
      <c r="K40" s="192"/>
    </row>
    <row r="41" spans="1:17" ht="18" customHeight="1">
      <c r="A41" s="186" t="s">
        <v>183</v>
      </c>
      <c r="B41" s="700">
        <f>+PROYECTOS!B8</f>
        <v>39203856</v>
      </c>
      <c r="C41" s="701">
        <f>+PROYECTOS!D8</f>
        <v>39434337</v>
      </c>
      <c r="D41" s="701">
        <f>+PROYECTOS!E8</f>
        <v>8962363</v>
      </c>
      <c r="E41" s="701">
        <f>+PROYECTOS!F8</f>
        <v>167464.20000000001</v>
      </c>
      <c r="F41" s="701">
        <f>+PROYECTOS!G8</f>
        <v>247285.28000000003</v>
      </c>
      <c r="G41" s="701">
        <f>+PROYECTOS!H8</f>
        <v>103896.76</v>
      </c>
      <c r="H41" s="701">
        <f>+PROYECTOS!I8</f>
        <v>51426.84</v>
      </c>
      <c r="I41" s="701">
        <f>+D41-F41</f>
        <v>8715077.7200000007</v>
      </c>
      <c r="J41" s="702">
        <f>C41-F41</f>
        <v>39187051.719999999</v>
      </c>
      <c r="K41" s="194">
        <f>+F41/D41*100</f>
        <v>2.759152692208517</v>
      </c>
      <c r="L41" s="197"/>
      <c r="N41" s="1"/>
      <c r="O41" s="1"/>
      <c r="Q41" s="200"/>
    </row>
    <row r="42" spans="1:17" ht="18" customHeight="1">
      <c r="A42" s="703" t="s">
        <v>184</v>
      </c>
      <c r="B42" s="701">
        <f>+PROYECTOS!B18</f>
        <v>1955170</v>
      </c>
      <c r="C42" s="701">
        <f>+PROYECTOS!D18</f>
        <v>1857765</v>
      </c>
      <c r="D42" s="701">
        <f>+PROYECTOS!E18</f>
        <v>293629</v>
      </c>
      <c r="E42" s="701">
        <f>+PROYECTOS!F18</f>
        <v>7651.21</v>
      </c>
      <c r="F42" s="701">
        <f>+PROYECTOS!G18</f>
        <v>15437.599999999999</v>
      </c>
      <c r="G42" s="701">
        <f>+PROYECTOS!H18</f>
        <v>7569.91</v>
      </c>
      <c r="H42" s="701">
        <f>+PROYECTOS!I18</f>
        <v>0</v>
      </c>
      <c r="I42" s="701">
        <f>+D42-F42</f>
        <v>278191.40000000002</v>
      </c>
      <c r="J42" s="704">
        <f>C42-F42</f>
        <v>1842327.4</v>
      </c>
      <c r="K42" s="451">
        <f>+F42/D42*100</f>
        <v>5.2575188418037726</v>
      </c>
      <c r="L42" s="197"/>
      <c r="N42" s="1"/>
      <c r="O42" s="1"/>
      <c r="Q42" s="200"/>
    </row>
    <row r="43" spans="1:17" ht="19.5" customHeight="1">
      <c r="A43" s="703" t="s">
        <v>185</v>
      </c>
      <c r="B43" s="701">
        <f>+PROYECTOS!B35</f>
        <v>3949520</v>
      </c>
      <c r="C43" s="701">
        <f>+PROYECTOS!D35</f>
        <v>3882225</v>
      </c>
      <c r="D43" s="701">
        <f>+PROYECTOS!E35</f>
        <v>752609</v>
      </c>
      <c r="E43" s="701">
        <f>+PROYECTOS!F35</f>
        <v>231817.32</v>
      </c>
      <c r="F43" s="701">
        <f>+PROYECTOS!G35</f>
        <v>658440.03</v>
      </c>
      <c r="G43" s="701">
        <f>+PROYECTOS!H35</f>
        <v>179021.94</v>
      </c>
      <c r="H43" s="701">
        <f>+PROYECTOS!I35</f>
        <v>259998.36</v>
      </c>
      <c r="I43" s="705">
        <f>+D43-F43</f>
        <v>94168.969999999972</v>
      </c>
      <c r="J43" s="706">
        <f>C43-F43</f>
        <v>3223784.9699999997</v>
      </c>
      <c r="K43" s="451">
        <f>+F43/D43*100</f>
        <v>87.487663580956394</v>
      </c>
      <c r="L43" s="197"/>
      <c r="N43" s="1"/>
      <c r="O43" s="1"/>
    </row>
    <row r="44" spans="1:17" ht="18" customHeight="1">
      <c r="A44" s="707" t="s">
        <v>623</v>
      </c>
      <c r="B44" s="708">
        <v>1100000</v>
      </c>
      <c r="C44" s="708">
        <v>1034219</v>
      </c>
      <c r="D44" s="708">
        <v>184219</v>
      </c>
      <c r="E44" s="708">
        <v>12425.06</v>
      </c>
      <c r="F44" s="708">
        <v>109681</v>
      </c>
      <c r="G44" s="709">
        <v>7346</v>
      </c>
      <c r="H44" s="710"/>
      <c r="I44" s="711">
        <f>+D44-F44</f>
        <v>74538</v>
      </c>
      <c r="J44" s="712">
        <f>C44-F44</f>
        <v>924538</v>
      </c>
      <c r="K44" s="452" t="s">
        <v>12</v>
      </c>
    </row>
    <row r="45" spans="1:17" ht="14.25" customHeight="1">
      <c r="A45" s="703"/>
      <c r="B45" s="703"/>
      <c r="C45" s="713"/>
      <c r="D45" s="713"/>
      <c r="E45" s="713"/>
      <c r="F45" s="713"/>
      <c r="G45" s="713"/>
      <c r="H45" s="189"/>
      <c r="I45" s="713"/>
      <c r="J45" s="713"/>
      <c r="K45" s="198"/>
      <c r="L45" t="s">
        <v>12</v>
      </c>
    </row>
    <row r="46" spans="1:17" ht="7.5" hidden="1" customHeight="1">
      <c r="A46" s="703"/>
      <c r="B46" s="703"/>
      <c r="C46" s="713"/>
      <c r="D46" s="713"/>
      <c r="E46" s="713"/>
      <c r="F46" s="713"/>
      <c r="G46" s="713"/>
      <c r="H46" s="189"/>
      <c r="I46" s="713"/>
      <c r="J46" s="713"/>
      <c r="K46" s="198"/>
      <c r="L46" t="s">
        <v>12</v>
      </c>
    </row>
    <row r="47" spans="1:17" ht="13.5" hidden="1">
      <c r="A47" s="703"/>
      <c r="B47" s="703"/>
      <c r="C47" s="713"/>
      <c r="D47" s="713"/>
      <c r="E47" s="713"/>
      <c r="F47" s="713"/>
      <c r="G47" s="713"/>
      <c r="H47" s="713"/>
      <c r="I47" s="713"/>
      <c r="J47" s="713"/>
      <c r="K47" s="198"/>
      <c r="L47" t="s">
        <v>12</v>
      </c>
    </row>
    <row r="48" spans="1:17" ht="13.5" hidden="1">
      <c r="A48" s="703"/>
      <c r="B48" s="703"/>
      <c r="C48" s="713"/>
      <c r="D48" s="713"/>
      <c r="E48" s="713"/>
      <c r="F48" s="713"/>
      <c r="G48" s="713"/>
      <c r="H48" s="713"/>
      <c r="I48" s="713"/>
      <c r="J48" s="713"/>
      <c r="K48" s="198"/>
      <c r="L48" t="s">
        <v>12</v>
      </c>
    </row>
    <row r="49" spans="1:12" ht="3.75" customHeight="1">
      <c r="A49" s="703"/>
      <c r="B49" s="703"/>
      <c r="C49" s="713"/>
      <c r="D49" s="713"/>
      <c r="E49" s="713"/>
      <c r="F49" s="713"/>
      <c r="G49" s="713"/>
      <c r="H49" s="713"/>
      <c r="I49" s="713"/>
      <c r="J49" s="713"/>
      <c r="K49" s="198"/>
      <c r="L49" t="s">
        <v>12</v>
      </c>
    </row>
    <row r="50" spans="1:12" ht="1.5" customHeight="1">
      <c r="A50" s="234"/>
      <c r="B50" s="234"/>
      <c r="C50" s="714"/>
      <c r="D50" s="715"/>
      <c r="E50" s="715"/>
      <c r="F50" s="715"/>
      <c r="G50" s="715"/>
      <c r="H50" s="715"/>
      <c r="I50" s="715"/>
      <c r="J50" s="715"/>
      <c r="K50" s="312"/>
      <c r="L50" t="s">
        <v>12</v>
      </c>
    </row>
    <row r="51" spans="1:12" ht="12" hidden="1" customHeight="1">
      <c r="A51" s="190"/>
      <c r="B51" s="190"/>
      <c r="C51" s="190"/>
      <c r="D51" s="130"/>
      <c r="E51" s="130"/>
      <c r="F51" s="679"/>
      <c r="G51" s="679"/>
      <c r="H51" s="130"/>
      <c r="I51" s="130"/>
      <c r="J51" s="679"/>
      <c r="K51" s="313"/>
    </row>
    <row r="52" spans="1:12" ht="0.75" customHeight="1">
      <c r="A52" s="190"/>
      <c r="B52" s="190"/>
      <c r="C52" s="190"/>
      <c r="D52" s="161"/>
      <c r="E52" s="161"/>
      <c r="F52" s="161"/>
      <c r="G52" s="161"/>
      <c r="H52" s="161"/>
      <c r="I52" s="161"/>
      <c r="J52" s="161"/>
      <c r="K52" s="3"/>
    </row>
    <row r="53" spans="1:12">
      <c r="A53" s="818" t="s">
        <v>40</v>
      </c>
      <c r="B53" s="818"/>
      <c r="C53" s="6"/>
      <c r="D53" s="1"/>
      <c r="E53" s="1"/>
      <c r="F53" s="161"/>
      <c r="G53" s="161"/>
      <c r="H53" s="161"/>
      <c r="I53" s="161"/>
      <c r="J53" s="161"/>
      <c r="K53" s="3"/>
    </row>
    <row r="54" spans="1:12">
      <c r="A54" s="191">
        <f t="array" ref="A54">A1:K54</f>
        <v>0</v>
      </c>
      <c r="B54" s="191"/>
      <c r="C54" s="191"/>
      <c r="D54" s="100"/>
      <c r="E54" s="100"/>
      <c r="F54" s="659"/>
      <c r="G54" s="659"/>
      <c r="H54" s="659"/>
      <c r="I54" s="659"/>
      <c r="J54" s="659"/>
      <c r="K54" s="199"/>
    </row>
    <row r="55" spans="1:12">
      <c r="A55" s="191" t="s">
        <v>12</v>
      </c>
      <c r="B55" s="191"/>
      <c r="C55" s="191"/>
      <c r="D55" s="100"/>
      <c r="E55" s="100"/>
      <c r="F55" s="659"/>
      <c r="G55" s="659"/>
      <c r="H55" s="659"/>
      <c r="I55" s="659"/>
      <c r="J55" s="659"/>
      <c r="K55" s="199"/>
    </row>
    <row r="56" spans="1:12">
      <c r="A56" s="191" t="s">
        <v>12</v>
      </c>
      <c r="B56" s="191"/>
      <c r="C56" s="191"/>
      <c r="D56" s="142"/>
      <c r="E56" s="142"/>
      <c r="F56" s="142"/>
      <c r="G56" s="142"/>
      <c r="H56" s="142"/>
      <c r="I56" s="142"/>
      <c r="J56" s="142"/>
      <c r="K56" s="199"/>
    </row>
    <row r="57" spans="1:12">
      <c r="A57" s="191" t="s">
        <v>12</v>
      </c>
      <c r="B57" s="191"/>
      <c r="C57" s="191"/>
      <c r="D57" s="142"/>
      <c r="E57" s="142"/>
      <c r="F57" s="142"/>
      <c r="G57" s="142"/>
      <c r="H57" s="142"/>
      <c r="I57" s="142"/>
      <c r="J57" s="142"/>
      <c r="K57" s="199"/>
    </row>
    <row r="58" spans="1:12">
      <c r="A58" s="191" t="s">
        <v>12</v>
      </c>
      <c r="B58" s="191"/>
      <c r="C58" s="191"/>
      <c r="D58" s="142"/>
      <c r="E58" s="142"/>
      <c r="F58" s="142"/>
      <c r="G58" s="142"/>
      <c r="H58" s="142"/>
      <c r="I58" s="142"/>
      <c r="J58" s="142"/>
      <c r="K58" s="199"/>
    </row>
    <row r="59" spans="1:12">
      <c r="A59" s="191" t="s">
        <v>12</v>
      </c>
      <c r="B59" s="191"/>
      <c r="C59" s="191"/>
      <c r="D59" s="142"/>
      <c r="E59" s="142"/>
      <c r="F59" s="142"/>
      <c r="G59" s="142"/>
      <c r="H59" s="142"/>
      <c r="I59" s="142"/>
      <c r="J59" s="142"/>
      <c r="K59" s="199"/>
    </row>
    <row r="60" spans="1:12">
      <c r="A60" s="191" t="s">
        <v>12</v>
      </c>
      <c r="B60" s="191"/>
      <c r="C60" s="191"/>
      <c r="D60" s="142"/>
      <c r="E60" s="142"/>
      <c r="F60" s="142"/>
      <c r="G60" s="142"/>
      <c r="H60" s="142"/>
      <c r="I60" s="142"/>
      <c r="J60" s="142"/>
      <c r="K60" s="199"/>
    </row>
    <row r="61" spans="1:12">
      <c r="A61" s="191" t="s">
        <v>12</v>
      </c>
      <c r="B61" s="191"/>
      <c r="C61" s="191"/>
      <c r="D61" s="142"/>
      <c r="E61" s="142"/>
      <c r="F61" s="142"/>
      <c r="G61" s="142"/>
      <c r="H61" s="142"/>
      <c r="I61" s="142"/>
      <c r="J61" s="142"/>
      <c r="K61" s="199"/>
    </row>
    <row r="62" spans="1:12" ht="74.25" customHeight="1">
      <c r="A62" s="191" t="s">
        <v>12</v>
      </c>
      <c r="B62" s="191"/>
      <c r="C62" s="191"/>
      <c r="D62" s="142"/>
      <c r="E62" s="142"/>
      <c r="F62" s="142"/>
      <c r="G62" s="142"/>
      <c r="H62" s="142"/>
      <c r="I62" s="142"/>
      <c r="J62" s="142"/>
      <c r="K62" s="199"/>
    </row>
    <row r="63" spans="1:12">
      <c r="A63" s="4" t="s">
        <v>12</v>
      </c>
      <c r="D63" s="142"/>
      <c r="E63" s="142"/>
      <c r="F63" s="142"/>
      <c r="G63" s="142"/>
      <c r="H63" s="142"/>
      <c r="I63" s="142"/>
      <c r="J63" s="142"/>
      <c r="K63" s="199"/>
    </row>
    <row r="64" spans="1:12">
      <c r="D64" s="142"/>
      <c r="E64" s="142"/>
      <c r="F64" s="142"/>
      <c r="G64" s="142"/>
      <c r="H64" s="142"/>
      <c r="I64" s="142"/>
      <c r="J64" s="142"/>
      <c r="K64" s="199"/>
    </row>
    <row r="65" spans="1:11">
      <c r="A65" s="4" t="s">
        <v>12</v>
      </c>
      <c r="D65" s="142"/>
      <c r="E65" s="142"/>
      <c r="F65" s="142"/>
      <c r="G65" s="142"/>
      <c r="H65" s="142"/>
      <c r="I65" s="142"/>
      <c r="J65" s="142"/>
      <c r="K65" s="199"/>
    </row>
    <row r="66" spans="1:11">
      <c r="A66" s="4" t="s">
        <v>12</v>
      </c>
      <c r="D66" s="142"/>
      <c r="E66" s="142"/>
      <c r="F66" s="142"/>
      <c r="G66" s="142"/>
      <c r="H66" s="142"/>
      <c r="I66" s="142"/>
      <c r="J66" s="142"/>
      <c r="K66" s="199"/>
    </row>
    <row r="67" spans="1:11">
      <c r="D67" s="142"/>
      <c r="E67" s="142"/>
      <c r="F67" s="142"/>
      <c r="G67" s="142"/>
      <c r="H67" s="142"/>
      <c r="I67" s="142"/>
      <c r="J67" s="142"/>
      <c r="K67" s="199"/>
    </row>
    <row r="68" spans="1:11">
      <c r="D68" s="142"/>
      <c r="E68" s="142"/>
      <c r="F68" s="142"/>
      <c r="G68" s="142"/>
      <c r="H68" s="142"/>
      <c r="I68" s="142"/>
      <c r="J68" s="142"/>
      <c r="K68" s="199"/>
    </row>
    <row r="69" spans="1:11">
      <c r="D69" s="142"/>
      <c r="E69" s="142"/>
      <c r="F69" s="142"/>
      <c r="G69" s="142"/>
      <c r="H69" s="142"/>
      <c r="I69" s="142"/>
      <c r="J69" s="142"/>
      <c r="K69" s="199"/>
    </row>
    <row r="70" spans="1:11">
      <c r="D70" s="142"/>
      <c r="E70" s="142"/>
      <c r="F70" s="142"/>
      <c r="G70" s="142"/>
      <c r="H70" s="142"/>
      <c r="I70" s="142"/>
      <c r="J70" s="142"/>
      <c r="K70" s="199"/>
    </row>
    <row r="71" spans="1:11">
      <c r="D71" s="142"/>
      <c r="E71" s="142"/>
      <c r="F71" s="142"/>
      <c r="G71" s="142"/>
      <c r="H71" s="142"/>
      <c r="I71" s="142"/>
      <c r="J71" s="142"/>
      <c r="K71" s="199"/>
    </row>
    <row r="72" spans="1:11">
      <c r="D72" s="142"/>
      <c r="E72" s="142"/>
      <c r="F72" s="142"/>
      <c r="G72" s="142"/>
      <c r="H72" s="142"/>
      <c r="I72" s="142"/>
      <c r="J72" s="142"/>
      <c r="K72" s="199"/>
    </row>
    <row r="73" spans="1:11">
      <c r="D73" s="142"/>
      <c r="E73" s="142"/>
      <c r="F73" s="142"/>
      <c r="G73" s="142"/>
      <c r="H73" s="142"/>
      <c r="I73" s="142"/>
      <c r="J73" s="142"/>
      <c r="K73" s="199"/>
    </row>
    <row r="74" spans="1:11">
      <c r="D74" s="142"/>
      <c r="E74" s="142"/>
      <c r="F74" s="142"/>
      <c r="G74" s="142"/>
      <c r="H74" s="142"/>
      <c r="I74" s="142"/>
      <c r="J74" s="142"/>
      <c r="K74" s="199"/>
    </row>
    <row r="75" spans="1:11">
      <c r="D75" s="142"/>
      <c r="E75" s="142"/>
      <c r="F75" s="142"/>
      <c r="G75" s="142"/>
      <c r="H75" s="142"/>
      <c r="I75" s="142"/>
      <c r="J75" s="142"/>
      <c r="K75" s="199"/>
    </row>
    <row r="76" spans="1:11">
      <c r="D76" s="142"/>
      <c r="E76" s="142"/>
      <c r="F76" s="142"/>
      <c r="G76" s="142"/>
      <c r="H76" s="142"/>
      <c r="I76" s="142"/>
      <c r="J76" s="142"/>
      <c r="K76" s="199"/>
    </row>
    <row r="77" spans="1:11">
      <c r="D77" s="142"/>
      <c r="E77" s="142"/>
      <c r="F77" s="142"/>
      <c r="G77" s="142"/>
      <c r="H77" s="142"/>
      <c r="I77" s="142"/>
      <c r="J77" s="142"/>
      <c r="K77" s="199"/>
    </row>
    <row r="78" spans="1:11">
      <c r="D78" s="142"/>
      <c r="E78" s="142"/>
      <c r="F78" s="142"/>
      <c r="G78" s="142"/>
      <c r="H78" s="142"/>
      <c r="I78" s="142"/>
      <c r="J78" s="142"/>
      <c r="K78" s="199"/>
    </row>
    <row r="79" spans="1:11">
      <c r="D79" s="142"/>
      <c r="E79" s="142"/>
      <c r="F79" s="142"/>
      <c r="G79" s="142"/>
      <c r="H79" s="142"/>
      <c r="I79" s="142"/>
      <c r="J79" s="142"/>
      <c r="K79" s="199"/>
    </row>
    <row r="80" spans="1:11">
      <c r="D80" s="142"/>
      <c r="E80" s="142"/>
      <c r="F80" s="142"/>
      <c r="G80" s="142"/>
      <c r="H80" s="142"/>
      <c r="I80" s="142"/>
      <c r="J80" s="142"/>
      <c r="K80" s="199"/>
    </row>
    <row r="81" spans="4:11">
      <c r="D81" s="142"/>
      <c r="E81" s="142"/>
      <c r="F81" s="142"/>
      <c r="G81" s="142"/>
      <c r="H81" s="142"/>
      <c r="I81" s="142"/>
      <c r="J81" s="142"/>
      <c r="K81" s="199"/>
    </row>
    <row r="82" spans="4:11">
      <c r="D82" s="142"/>
      <c r="E82" s="142"/>
      <c r="F82" s="142"/>
      <c r="G82" s="142"/>
      <c r="H82" s="142"/>
      <c r="I82" s="142"/>
      <c r="J82" s="142"/>
      <c r="K82" s="199"/>
    </row>
    <row r="83" spans="4:11">
      <c r="D83" s="142"/>
      <c r="E83" s="142"/>
      <c r="F83" s="142"/>
      <c r="G83" s="142"/>
      <c r="H83" s="142"/>
      <c r="I83" s="142"/>
      <c r="J83" s="142"/>
      <c r="K83" s="199"/>
    </row>
    <row r="84" spans="4:11">
      <c r="D84" s="142"/>
      <c r="E84" s="142"/>
      <c r="F84" s="142"/>
      <c r="G84" s="142"/>
      <c r="H84" s="142"/>
      <c r="I84" s="142"/>
      <c r="J84" s="142"/>
      <c r="K84" s="199"/>
    </row>
    <row r="85" spans="4:11">
      <c r="D85" s="142"/>
      <c r="E85" s="142"/>
      <c r="F85" s="142"/>
      <c r="G85" s="142"/>
      <c r="H85" s="142"/>
      <c r="I85" s="142"/>
      <c r="J85" s="142"/>
      <c r="K85" s="199"/>
    </row>
    <row r="86" spans="4:11">
      <c r="D86" s="142"/>
      <c r="E86" s="142"/>
      <c r="F86" s="142"/>
      <c r="G86" s="142"/>
      <c r="H86" s="142"/>
      <c r="I86" s="142"/>
      <c r="J86" s="142"/>
      <c r="K86" s="199"/>
    </row>
    <row r="87" spans="4:11">
      <c r="D87" s="142"/>
      <c r="E87" s="142"/>
      <c r="F87" s="142"/>
      <c r="G87" s="142"/>
      <c r="H87" s="142"/>
      <c r="I87" s="142"/>
      <c r="J87" s="142"/>
      <c r="K87" s="199"/>
    </row>
    <row r="88" spans="4:11">
      <c r="D88" s="142"/>
      <c r="E88" s="142"/>
      <c r="F88" s="142"/>
      <c r="G88" s="142"/>
      <c r="H88" s="142"/>
      <c r="I88" s="142"/>
      <c r="J88" s="142"/>
      <c r="K88" s="199"/>
    </row>
    <row r="89" spans="4:11">
      <c r="D89" s="142"/>
      <c r="E89" s="142"/>
      <c r="F89" s="142"/>
      <c r="G89" s="142"/>
      <c r="H89" s="142"/>
      <c r="I89" s="142"/>
      <c r="J89" s="142"/>
      <c r="K89" s="199"/>
    </row>
    <row r="90" spans="4:11">
      <c r="D90" s="142"/>
      <c r="E90" s="142"/>
      <c r="F90" s="142"/>
      <c r="G90" s="142"/>
      <c r="H90" s="142"/>
      <c r="I90" s="142"/>
      <c r="J90" s="142"/>
      <c r="K90" s="199"/>
    </row>
    <row r="91" spans="4:11">
      <c r="D91" s="142"/>
      <c r="E91" s="142"/>
      <c r="F91" s="142"/>
      <c r="G91" s="142"/>
      <c r="H91" s="142"/>
      <c r="I91" s="142"/>
      <c r="J91" s="142"/>
      <c r="K91" s="199"/>
    </row>
    <row r="92" spans="4:11">
      <c r="D92" s="142"/>
      <c r="E92" s="142"/>
      <c r="F92" s="142"/>
      <c r="G92" s="142"/>
      <c r="H92" s="142"/>
      <c r="I92" s="142"/>
      <c r="J92" s="142"/>
      <c r="K92" s="199"/>
    </row>
    <row r="93" spans="4:11">
      <c r="D93" s="142"/>
      <c r="E93" s="142"/>
      <c r="F93" s="142"/>
      <c r="G93" s="142"/>
      <c r="H93" s="142"/>
      <c r="I93" s="142"/>
      <c r="J93" s="142"/>
      <c r="K93" s="199"/>
    </row>
    <row r="94" spans="4:11">
      <c r="D94" s="142"/>
      <c r="E94" s="142"/>
      <c r="F94" s="142"/>
      <c r="G94" s="142"/>
      <c r="H94" s="142"/>
      <c r="I94" s="142"/>
      <c r="J94" s="142"/>
      <c r="K94" s="199"/>
    </row>
    <row r="95" spans="4:11">
      <c r="D95" s="142"/>
      <c r="E95" s="142"/>
      <c r="F95" s="142"/>
      <c r="G95" s="142"/>
      <c r="H95" s="142"/>
      <c r="I95" s="142"/>
      <c r="J95" s="142"/>
      <c r="K95" s="199"/>
    </row>
    <row r="96" spans="4:11">
      <c r="D96" s="142"/>
      <c r="E96" s="142"/>
      <c r="F96" s="142"/>
      <c r="G96" s="142"/>
      <c r="H96" s="142"/>
      <c r="I96" s="142"/>
      <c r="J96" s="142"/>
      <c r="K96" s="199"/>
    </row>
    <row r="97" spans="4:11">
      <c r="D97" s="142"/>
      <c r="E97" s="142"/>
      <c r="F97" s="142"/>
      <c r="G97" s="142"/>
      <c r="H97" s="142"/>
      <c r="I97" s="142"/>
      <c r="J97" s="142"/>
      <c r="K97" s="199"/>
    </row>
    <row r="98" spans="4:11">
      <c r="D98" s="142"/>
      <c r="E98" s="142"/>
      <c r="F98" s="142"/>
      <c r="G98" s="142"/>
      <c r="H98" s="142"/>
      <c r="I98" s="142"/>
      <c r="J98" s="142"/>
      <c r="K98" s="199"/>
    </row>
    <row r="99" spans="4:11">
      <c r="D99" s="142"/>
      <c r="E99" s="142"/>
      <c r="F99" s="142"/>
      <c r="G99" s="142"/>
      <c r="H99" s="142"/>
      <c r="I99" s="142"/>
      <c r="J99" s="142"/>
      <c r="K99" s="199"/>
    </row>
    <row r="100" spans="4:11">
      <c r="D100" s="142"/>
      <c r="E100" s="142"/>
      <c r="F100" s="142"/>
      <c r="G100" s="142"/>
      <c r="H100" s="142"/>
      <c r="I100" s="142"/>
      <c r="J100" s="142"/>
      <c r="K100" s="199"/>
    </row>
    <row r="101" spans="4:11">
      <c r="D101" s="142"/>
      <c r="E101" s="142"/>
      <c r="F101" s="142"/>
      <c r="G101" s="142"/>
      <c r="H101" s="142"/>
      <c r="I101" s="142"/>
      <c r="J101" s="142"/>
      <c r="K101" s="199"/>
    </row>
    <row r="102" spans="4:11">
      <c r="D102" s="142"/>
      <c r="E102" s="142"/>
      <c r="F102" s="142"/>
      <c r="G102" s="142"/>
      <c r="H102" s="142"/>
      <c r="I102" s="142"/>
      <c r="J102" s="142"/>
      <c r="K102" s="199"/>
    </row>
    <row r="103" spans="4:11">
      <c r="D103" s="142"/>
      <c r="E103" s="142"/>
      <c r="F103" s="142"/>
      <c r="G103" s="142"/>
      <c r="H103" s="142"/>
      <c r="I103" s="142"/>
      <c r="J103" s="142"/>
      <c r="K103" s="199"/>
    </row>
    <row r="104" spans="4:11">
      <c r="D104" s="142"/>
      <c r="E104" s="142"/>
      <c r="F104" s="142"/>
      <c r="G104" s="142"/>
      <c r="H104" s="142"/>
      <c r="I104" s="142"/>
      <c r="J104" s="142"/>
      <c r="K104" s="199"/>
    </row>
    <row r="105" spans="4:11">
      <c r="D105" s="142"/>
      <c r="E105" s="142"/>
      <c r="F105" s="142"/>
      <c r="G105" s="142"/>
      <c r="H105" s="142"/>
      <c r="I105" s="142"/>
      <c r="J105" s="142"/>
      <c r="K105" s="199"/>
    </row>
    <row r="106" spans="4:11">
      <c r="D106" s="142"/>
      <c r="E106" s="142"/>
      <c r="F106" s="142"/>
      <c r="G106" s="142"/>
      <c r="H106" s="142"/>
      <c r="I106" s="142"/>
      <c r="J106" s="142"/>
      <c r="K106" s="199"/>
    </row>
    <row r="107" spans="4:11">
      <c r="D107" s="142"/>
      <c r="E107" s="142"/>
      <c r="F107" s="142"/>
      <c r="G107" s="142"/>
      <c r="H107" s="142"/>
      <c r="I107" s="142"/>
      <c r="J107" s="142"/>
      <c r="K107" s="199"/>
    </row>
    <row r="108" spans="4:11">
      <c r="D108" s="142"/>
      <c r="E108" s="142"/>
      <c r="F108" s="142"/>
      <c r="G108" s="142"/>
      <c r="H108" s="142"/>
      <c r="I108" s="142"/>
      <c r="J108" s="142"/>
      <c r="K108" s="199"/>
    </row>
    <row r="109" spans="4:11">
      <c r="D109" s="142"/>
      <c r="E109" s="142"/>
      <c r="F109" s="142"/>
      <c r="G109" s="142"/>
      <c r="H109" s="142"/>
      <c r="I109" s="142"/>
      <c r="J109" s="142"/>
      <c r="K109" s="199"/>
    </row>
    <row r="110" spans="4:11">
      <c r="D110" s="142"/>
      <c r="E110" s="142"/>
      <c r="F110" s="142"/>
      <c r="G110" s="142"/>
      <c r="H110" s="142"/>
      <c r="I110" s="142"/>
      <c r="J110" s="142"/>
      <c r="K110" s="199"/>
    </row>
    <row r="111" spans="4:11">
      <c r="D111" s="142"/>
      <c r="E111" s="142"/>
      <c r="F111" s="142"/>
      <c r="G111" s="142"/>
      <c r="H111" s="142"/>
      <c r="I111" s="142"/>
      <c r="J111" s="142"/>
      <c r="K111" s="199"/>
    </row>
    <row r="112" spans="4:11">
      <c r="D112" s="142"/>
      <c r="E112" s="142"/>
      <c r="F112" s="142"/>
      <c r="G112" s="142"/>
      <c r="H112" s="142"/>
      <c r="I112" s="142"/>
      <c r="J112" s="142"/>
      <c r="K112" s="199"/>
    </row>
    <row r="113" spans="4:11">
      <c r="D113" s="142"/>
      <c r="E113" s="142"/>
      <c r="F113" s="142"/>
      <c r="G113" s="142"/>
      <c r="H113" s="142"/>
      <c r="I113" s="142"/>
      <c r="J113" s="142"/>
      <c r="K113" s="199"/>
    </row>
    <row r="114" spans="4:11">
      <c r="D114" s="142"/>
      <c r="E114" s="142"/>
      <c r="F114" s="142"/>
      <c r="G114" s="142"/>
      <c r="H114" s="142"/>
      <c r="I114" s="142"/>
      <c r="J114" s="142"/>
      <c r="K114" s="199"/>
    </row>
    <row r="115" spans="4:11">
      <c r="D115" s="142"/>
      <c r="E115" s="142"/>
      <c r="F115" s="142"/>
      <c r="G115" s="142"/>
      <c r="H115" s="142"/>
      <c r="I115" s="142"/>
      <c r="J115" s="142"/>
      <c r="K115" s="199"/>
    </row>
    <row r="116" spans="4:11">
      <c r="D116" s="142"/>
      <c r="E116" s="142"/>
      <c r="F116" s="142"/>
      <c r="G116" s="142"/>
      <c r="H116" s="142"/>
      <c r="I116" s="142"/>
      <c r="J116" s="142"/>
      <c r="K116" s="199"/>
    </row>
    <row r="117" spans="4:11">
      <c r="D117" s="142"/>
      <c r="E117" s="142"/>
      <c r="F117" s="142"/>
      <c r="G117" s="142"/>
      <c r="H117" s="142"/>
      <c r="I117" s="142"/>
      <c r="J117" s="142"/>
      <c r="K117" s="199"/>
    </row>
    <row r="118" spans="4:11">
      <c r="D118" s="142"/>
      <c r="E118" s="142"/>
      <c r="F118" s="142"/>
      <c r="G118" s="142"/>
      <c r="H118" s="142"/>
      <c r="I118" s="142"/>
      <c r="J118" s="142"/>
      <c r="K118" s="199"/>
    </row>
    <row r="119" spans="4:11">
      <c r="D119" s="142"/>
      <c r="E119" s="142"/>
      <c r="F119" s="142"/>
      <c r="G119" s="142"/>
      <c r="H119" s="142"/>
      <c r="I119" s="142"/>
      <c r="J119" s="142"/>
      <c r="K119" s="199"/>
    </row>
    <row r="120" spans="4:11">
      <c r="D120" s="142"/>
      <c r="E120" s="142"/>
      <c r="F120" s="142"/>
      <c r="G120" s="142"/>
      <c r="H120" s="142"/>
      <c r="I120" s="142"/>
      <c r="J120" s="142"/>
      <c r="K120" s="199"/>
    </row>
    <row r="121" spans="4:11">
      <c r="D121" s="142"/>
      <c r="E121" s="142"/>
      <c r="F121" s="142"/>
      <c r="G121" s="142"/>
      <c r="H121" s="142"/>
      <c r="I121" s="142"/>
      <c r="J121" s="142"/>
      <c r="K121" s="199"/>
    </row>
    <row r="122" spans="4:11">
      <c r="K122" s="199"/>
    </row>
    <row r="123" spans="4:11">
      <c r="K123" s="199"/>
    </row>
    <row r="124" spans="4:11">
      <c r="K124" s="199"/>
    </row>
    <row r="125" spans="4:11">
      <c r="K125" s="199"/>
    </row>
    <row r="126" spans="4:11">
      <c r="K126" s="199"/>
    </row>
    <row r="127" spans="4:11">
      <c r="K127" s="199"/>
    </row>
    <row r="128" spans="4:11">
      <c r="K128" s="199"/>
    </row>
    <row r="129" spans="11:11">
      <c r="K129" s="199"/>
    </row>
    <row r="130" spans="11:11">
      <c r="K130" s="199"/>
    </row>
    <row r="131" spans="11:11">
      <c r="K131" s="199"/>
    </row>
    <row r="132" spans="11:11">
      <c r="K132" s="199"/>
    </row>
    <row r="133" spans="11:11">
      <c r="K133" s="199"/>
    </row>
    <row r="134" spans="11:11">
      <c r="K134" s="199"/>
    </row>
    <row r="135" spans="11:11">
      <c r="K135" s="199"/>
    </row>
    <row r="136" spans="11:11">
      <c r="K136" s="199"/>
    </row>
    <row r="137" spans="11:11">
      <c r="K137" s="199"/>
    </row>
    <row r="138" spans="11:11">
      <c r="K138" s="199"/>
    </row>
    <row r="139" spans="11:11">
      <c r="K139" s="199"/>
    </row>
    <row r="140" spans="11:11">
      <c r="K140" s="199"/>
    </row>
    <row r="141" spans="11:11">
      <c r="K141" s="199"/>
    </row>
    <row r="142" spans="11:11">
      <c r="K142" s="199"/>
    </row>
    <row r="143" spans="11:11">
      <c r="K143" s="199"/>
    </row>
    <row r="144" spans="11:11">
      <c r="K144" s="199"/>
    </row>
    <row r="145" spans="11:11">
      <c r="K145" s="199"/>
    </row>
    <row r="146" spans="11:11">
      <c r="K146" s="199"/>
    </row>
    <row r="147" spans="11:11">
      <c r="K147" s="199"/>
    </row>
    <row r="148" spans="11:11">
      <c r="K148" s="199"/>
    </row>
    <row r="149" spans="11:11">
      <c r="K149" s="199"/>
    </row>
    <row r="150" spans="11:11">
      <c r="K150" s="199"/>
    </row>
    <row r="151" spans="11:11">
      <c r="K151" s="199"/>
    </row>
    <row r="152" spans="11:11">
      <c r="K152" s="199"/>
    </row>
    <row r="153" spans="11:11">
      <c r="K153" s="199"/>
    </row>
    <row r="154" spans="11:11">
      <c r="K154" s="199"/>
    </row>
    <row r="155" spans="11:11">
      <c r="K155" s="199"/>
    </row>
    <row r="156" spans="11:11">
      <c r="K156" s="199"/>
    </row>
    <row r="157" spans="11:11">
      <c r="K157" s="199"/>
    </row>
    <row r="158" spans="11:11">
      <c r="K158" s="199"/>
    </row>
    <row r="159" spans="11:11">
      <c r="K159" s="199"/>
    </row>
    <row r="160" spans="11:11">
      <c r="K160" s="199"/>
    </row>
    <row r="161" spans="11:11">
      <c r="K161" s="199"/>
    </row>
    <row r="162" spans="11:11">
      <c r="K162" s="199"/>
    </row>
    <row r="163" spans="11:11">
      <c r="K163" s="199"/>
    </row>
    <row r="164" spans="11:11">
      <c r="K164" s="199"/>
    </row>
    <row r="165" spans="11:11">
      <c r="K165" s="199"/>
    </row>
    <row r="166" spans="11:11">
      <c r="K166" s="199"/>
    </row>
    <row r="167" spans="11:11">
      <c r="K167" s="199"/>
    </row>
    <row r="168" spans="11:11">
      <c r="K168" s="199"/>
    </row>
    <row r="169" spans="11:11">
      <c r="K169" s="199"/>
    </row>
    <row r="170" spans="11:11">
      <c r="K170" s="199"/>
    </row>
    <row r="171" spans="11:11">
      <c r="K171" s="199"/>
    </row>
    <row r="172" spans="11:11">
      <c r="K172" s="199"/>
    </row>
    <row r="173" spans="11:11">
      <c r="K173" s="199"/>
    </row>
    <row r="174" spans="11:11">
      <c r="K174" s="199"/>
    </row>
    <row r="175" spans="11:11">
      <c r="K175" s="199"/>
    </row>
    <row r="176" spans="11:11">
      <c r="K176" s="199"/>
    </row>
    <row r="177" spans="11:11">
      <c r="K177" s="199"/>
    </row>
    <row r="178" spans="11:11">
      <c r="K178" s="199"/>
    </row>
    <row r="179" spans="11:11">
      <c r="K179" s="199"/>
    </row>
    <row r="180" spans="11:11">
      <c r="K180" s="199"/>
    </row>
    <row r="181" spans="11:11">
      <c r="K181" s="199"/>
    </row>
  </sheetData>
  <mergeCells count="9">
    <mergeCell ref="A53:B53"/>
    <mergeCell ref="A7:A8"/>
    <mergeCell ref="K7:K8"/>
    <mergeCell ref="A2:K2"/>
    <mergeCell ref="A3:K3"/>
    <mergeCell ref="A4:K4"/>
    <mergeCell ref="A5:K5"/>
    <mergeCell ref="B7:H7"/>
    <mergeCell ref="I7:J7"/>
  </mergeCells>
  <pageMargins left="0.196850393700787" right="7.8740157480315001E-2" top="0.98425196850393704" bottom="0.78740157480314998" header="0.511811023622047" footer="0.511811023622047"/>
  <pageSetup scale="75" firstPageNumber="0" orientation="portrait" useFirstPageNumber="1" r:id="rId1"/>
  <headerFooter alignWithMargins="0"/>
  <ignoredErrors>
    <ignoredError sqref="D9 F36 E13 C11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7">
    <tabColor theme="8" tint="0.59999389629810485"/>
  </sheetPr>
  <dimension ref="A1:V202"/>
  <sheetViews>
    <sheetView showGridLines="0" showZeros="0" topLeftCell="A2" zoomScale="93" zoomScaleNormal="93" workbookViewId="0">
      <selection activeCell="F131" sqref="F131"/>
    </sheetView>
  </sheetViews>
  <sheetFormatPr baseColWidth="10" defaultColWidth="11.42578125" defaultRowHeight="12.75"/>
  <cols>
    <col min="1" max="1" width="4.85546875" style="141" customWidth="1"/>
    <col min="2" max="2" width="33.42578125" style="141" customWidth="1"/>
    <col min="3" max="3" width="11.42578125" style="141" customWidth="1"/>
    <col min="4" max="4" width="13.85546875" style="141" hidden="1" customWidth="1"/>
    <col min="5" max="5" width="13.42578125" style="141" customWidth="1"/>
    <col min="6" max="6" width="12.5703125" style="141" customWidth="1"/>
    <col min="7" max="7" width="14" style="367" customWidth="1"/>
    <col min="8" max="8" width="13.42578125" style="367" customWidth="1"/>
    <col min="9" max="9" width="12.85546875" style="141" customWidth="1"/>
    <col min="10" max="10" width="11.85546875" style="141" customWidth="1"/>
    <col min="11" max="11" width="10.7109375" style="141" customWidth="1"/>
    <col min="12" max="12" width="12.28515625" style="141" customWidth="1"/>
    <col min="13" max="13" width="12.5703125" style="141" customWidth="1"/>
    <col min="14" max="14" width="0.140625" hidden="1" customWidth="1"/>
    <col min="15" max="15" width="18.28515625" hidden="1" customWidth="1"/>
    <col min="16" max="16" width="22.140625" customWidth="1"/>
    <col min="17" max="17" width="13.140625" customWidth="1"/>
  </cols>
  <sheetData>
    <row r="1" spans="1:18" hidden="1"/>
    <row r="2" spans="1:18" ht="15.75">
      <c r="A2" s="779" t="s">
        <v>61</v>
      </c>
      <c r="B2" s="779"/>
      <c r="C2" s="779"/>
      <c r="D2" s="779"/>
      <c r="E2" s="779"/>
      <c r="F2" s="779"/>
      <c r="G2" s="779"/>
      <c r="H2" s="779"/>
      <c r="I2" s="779"/>
      <c r="J2" s="779"/>
      <c r="K2" s="779"/>
      <c r="L2" s="779"/>
      <c r="M2" s="779"/>
    </row>
    <row r="3" spans="1:18" ht="15.75">
      <c r="A3" s="779" t="s">
        <v>62</v>
      </c>
      <c r="B3" s="779"/>
      <c r="C3" s="779"/>
      <c r="D3" s="779"/>
      <c r="E3" s="779"/>
      <c r="F3" s="779"/>
      <c r="G3" s="779"/>
      <c r="H3" s="779"/>
      <c r="I3" s="779"/>
      <c r="J3" s="779"/>
      <c r="K3" s="779"/>
      <c r="L3" s="779"/>
      <c r="M3" s="779"/>
    </row>
    <row r="4" spans="1:18" ht="15">
      <c r="A4" s="780" t="s">
        <v>186</v>
      </c>
      <c r="B4" s="780"/>
      <c r="C4" s="780"/>
      <c r="D4" s="780"/>
      <c r="E4" s="780"/>
      <c r="F4" s="780"/>
      <c r="G4" s="780"/>
      <c r="H4" s="780"/>
      <c r="I4" s="780"/>
      <c r="J4" s="780"/>
      <c r="K4" s="780"/>
      <c r="L4" s="780"/>
      <c r="M4" s="780"/>
      <c r="Q4" t="s">
        <v>12</v>
      </c>
    </row>
    <row r="5" spans="1:18" ht="15">
      <c r="A5" s="780" t="s">
        <v>632</v>
      </c>
      <c r="B5" s="780"/>
      <c r="C5" s="780"/>
      <c r="D5" s="780"/>
      <c r="E5" s="780"/>
      <c r="F5" s="780"/>
      <c r="G5" s="780"/>
      <c r="H5" s="780"/>
      <c r="I5" s="780"/>
      <c r="J5" s="780"/>
      <c r="K5" s="780"/>
      <c r="L5" s="780"/>
      <c r="M5" s="780"/>
    </row>
    <row r="6" spans="1:18" ht="6.75" customHeight="1">
      <c r="A6" s="142"/>
      <c r="B6" s="142"/>
      <c r="C6" s="142"/>
      <c r="D6" s="142"/>
      <c r="E6" s="142"/>
      <c r="F6" s="142"/>
      <c r="G6" s="659"/>
      <c r="H6" s="659"/>
      <c r="I6" s="142"/>
      <c r="J6" s="142"/>
      <c r="K6" s="142"/>
      <c r="L6" s="142"/>
      <c r="M6" s="142"/>
    </row>
    <row r="7" spans="1:18" ht="0.75" customHeight="1">
      <c r="A7" s="142"/>
      <c r="B7" s="142"/>
      <c r="C7" s="142"/>
      <c r="D7" s="142"/>
      <c r="E7" s="142"/>
      <c r="F7" s="142"/>
      <c r="G7" s="659"/>
      <c r="H7" s="659"/>
      <c r="I7" s="142"/>
      <c r="J7" s="142"/>
      <c r="K7" s="142"/>
      <c r="L7" s="142"/>
      <c r="M7" s="142"/>
    </row>
    <row r="8" spans="1:18" ht="15.75" customHeight="1" thickBot="1">
      <c r="A8" s="833" t="s">
        <v>187</v>
      </c>
      <c r="B8" s="836" t="s">
        <v>0</v>
      </c>
      <c r="C8" s="829" t="s">
        <v>49</v>
      </c>
      <c r="D8" s="829"/>
      <c r="E8" s="829"/>
      <c r="F8" s="829"/>
      <c r="G8" s="831" t="s">
        <v>188</v>
      </c>
      <c r="H8" s="831"/>
      <c r="I8" s="839" t="s">
        <v>189</v>
      </c>
      <c r="J8" s="839" t="s">
        <v>190</v>
      </c>
      <c r="K8" s="845" t="s">
        <v>616</v>
      </c>
      <c r="L8" s="846"/>
      <c r="M8" s="842" t="s">
        <v>191</v>
      </c>
      <c r="O8" s="828" t="s">
        <v>192</v>
      </c>
    </row>
    <row r="9" spans="1:18" ht="4.5" hidden="1" customHeight="1" thickBot="1">
      <c r="A9" s="834"/>
      <c r="B9" s="837"/>
      <c r="C9" s="830"/>
      <c r="D9" s="830"/>
      <c r="E9" s="830"/>
      <c r="F9" s="830"/>
      <c r="G9" s="832"/>
      <c r="H9" s="832"/>
      <c r="I9" s="840"/>
      <c r="J9" s="840"/>
      <c r="K9" s="400"/>
      <c r="L9" s="401"/>
      <c r="M9" s="843"/>
      <c r="O9" s="828"/>
    </row>
    <row r="10" spans="1:18" ht="23.25" customHeight="1">
      <c r="A10" s="835"/>
      <c r="B10" s="838"/>
      <c r="C10" s="402" t="s">
        <v>2</v>
      </c>
      <c r="D10" s="403" t="s">
        <v>548</v>
      </c>
      <c r="E10" s="402" t="s">
        <v>3</v>
      </c>
      <c r="F10" s="402" t="s">
        <v>25</v>
      </c>
      <c r="G10" s="402" t="s">
        <v>67</v>
      </c>
      <c r="H10" s="402" t="s">
        <v>119</v>
      </c>
      <c r="I10" s="841"/>
      <c r="J10" s="841"/>
      <c r="K10" s="594" t="s">
        <v>51</v>
      </c>
      <c r="L10" s="404" t="s">
        <v>52</v>
      </c>
      <c r="M10" s="844"/>
      <c r="O10" s="828"/>
    </row>
    <row r="11" spans="1:18" ht="19.5" customHeight="1">
      <c r="A11" s="595" t="s">
        <v>193</v>
      </c>
      <c r="B11" s="596" t="s">
        <v>194</v>
      </c>
      <c r="C11" s="597">
        <f>SUM(C12+C16+C20+C21+C22+C27+C29)</f>
        <v>125040406</v>
      </c>
      <c r="D11" s="598"/>
      <c r="E11" s="641">
        <f>+E12+E16+E20+E21+E22+E29</f>
        <v>124925393</v>
      </c>
      <c r="F11" s="599">
        <f>SUM(F12+F16+F20+F21+F22+F27+F29)</f>
        <v>24870153</v>
      </c>
      <c r="G11" s="599">
        <f>+G12+G16+G20+G22+G29+G21</f>
        <v>10251167.379999999</v>
      </c>
      <c r="H11" s="599">
        <f>+H12+H16+H20+H21+H22+H29</f>
        <v>17906965.68</v>
      </c>
      <c r="I11" s="599">
        <f>+I12+I16+I20+I21+I22+I29</f>
        <v>15571338.189999998</v>
      </c>
      <c r="J11" s="599">
        <f>+J12+J16+J20+J21+J22+J29</f>
        <v>16604779.419999998</v>
      </c>
      <c r="K11" s="599">
        <f>+F11-H11</f>
        <v>6963187.3200000003</v>
      </c>
      <c r="L11" s="599">
        <f t="shared" ref="L11:L26" si="0">+E11-H11</f>
        <v>107018427.31999999</v>
      </c>
      <c r="M11" s="600">
        <f t="shared" ref="M11:M26" si="1">+H11*100/F11</f>
        <v>72.001831593074641</v>
      </c>
      <c r="N11" s="36" t="s">
        <v>12</v>
      </c>
      <c r="O11" s="36">
        <v>7655798.3000000007</v>
      </c>
      <c r="P11" t="s">
        <v>12</v>
      </c>
      <c r="Q11" s="1">
        <v>0</v>
      </c>
      <c r="R11" s="1" t="s">
        <v>12</v>
      </c>
    </row>
    <row r="12" spans="1:18" ht="17.25" customHeight="1">
      <c r="A12" s="143" t="s">
        <v>195</v>
      </c>
      <c r="B12" s="144" t="s">
        <v>196</v>
      </c>
      <c r="C12" s="386">
        <f>SUM(C13:C15)</f>
        <v>82014910</v>
      </c>
      <c r="D12" s="371"/>
      <c r="E12" s="642">
        <f>+E13+E14+E15</f>
        <v>81920910</v>
      </c>
      <c r="F12" s="145">
        <f>SUM(F13:F15)</f>
        <v>14713902</v>
      </c>
      <c r="G12" s="145">
        <f>SUM(G13:G15)</f>
        <v>5527640.71</v>
      </c>
      <c r="H12" s="145">
        <f>+H13+H14+H15</f>
        <v>10789988.189999999</v>
      </c>
      <c r="I12" s="145">
        <f>SUM(I13:I15)</f>
        <v>10789987.879999999</v>
      </c>
      <c r="J12" s="145">
        <f>SUM(J13:J15)</f>
        <v>10789987.879999999</v>
      </c>
      <c r="K12" s="145">
        <f t="shared" ref="K12:K35" si="2">+F12-H12</f>
        <v>3923913.8100000005</v>
      </c>
      <c r="L12" s="145">
        <f t="shared" si="0"/>
        <v>71130921.810000002</v>
      </c>
      <c r="M12" s="153">
        <f t="shared" si="1"/>
        <v>73.331929151084466</v>
      </c>
      <c r="O12" s="135">
        <f>O13+O14</f>
        <v>5262347.4800000004</v>
      </c>
      <c r="R12" t="s">
        <v>12</v>
      </c>
    </row>
    <row r="13" spans="1:18">
      <c r="A13" s="146" t="s">
        <v>197</v>
      </c>
      <c r="B13" s="147" t="s">
        <v>196</v>
      </c>
      <c r="C13" s="387">
        <v>71448892</v>
      </c>
      <c r="D13" s="372"/>
      <c r="E13" s="643">
        <v>71591012</v>
      </c>
      <c r="F13" s="148">
        <v>11557372</v>
      </c>
      <c r="G13" s="148">
        <v>5332940.45</v>
      </c>
      <c r="H13" s="148">
        <f>O13+G13</f>
        <v>10496446.93</v>
      </c>
      <c r="I13" s="148">
        <v>10496446.93</v>
      </c>
      <c r="J13" s="148">
        <v>10496446.93</v>
      </c>
      <c r="K13" s="148">
        <f t="shared" si="2"/>
        <v>1060925.0700000003</v>
      </c>
      <c r="L13" s="148">
        <f t="shared" si="0"/>
        <v>61094565.07</v>
      </c>
      <c r="M13" s="154">
        <f t="shared" si="1"/>
        <v>90.820360632157559</v>
      </c>
      <c r="O13" s="321">
        <v>5163506.4800000004</v>
      </c>
      <c r="P13" t="s">
        <v>12</v>
      </c>
    </row>
    <row r="14" spans="1:18">
      <c r="A14" s="146" t="s">
        <v>198</v>
      </c>
      <c r="B14" s="147" t="s">
        <v>199</v>
      </c>
      <c r="C14" s="387">
        <v>3449605</v>
      </c>
      <c r="D14" s="372"/>
      <c r="E14" s="643">
        <v>3213485</v>
      </c>
      <c r="F14" s="148">
        <v>454473</v>
      </c>
      <c r="G14" s="148">
        <v>192985.25</v>
      </c>
      <c r="H14" s="148">
        <f t="shared" ref="H14:H35" si="3">O14+G14</f>
        <v>291826.25</v>
      </c>
      <c r="I14" s="397">
        <v>291825.94</v>
      </c>
      <c r="J14" s="148">
        <v>291825.94</v>
      </c>
      <c r="K14" s="148">
        <f t="shared" si="2"/>
        <v>162646.75</v>
      </c>
      <c r="L14" s="148">
        <f t="shared" si="0"/>
        <v>2921658.75</v>
      </c>
      <c r="M14" s="154">
        <f t="shared" si="1"/>
        <v>64.212010394456883</v>
      </c>
      <c r="O14" s="36">
        <v>98841</v>
      </c>
    </row>
    <row r="15" spans="1:18">
      <c r="A15" s="146" t="s">
        <v>200</v>
      </c>
      <c r="B15" s="147" t="s">
        <v>201</v>
      </c>
      <c r="C15" s="387">
        <v>7116413</v>
      </c>
      <c r="D15" s="372"/>
      <c r="E15" s="643">
        <v>7116413</v>
      </c>
      <c r="F15" s="148">
        <v>2702057</v>
      </c>
      <c r="G15" s="148">
        <v>1715.01</v>
      </c>
      <c r="H15" s="148">
        <f t="shared" si="3"/>
        <v>1715.01</v>
      </c>
      <c r="I15" s="148">
        <v>1715.01</v>
      </c>
      <c r="J15" s="148">
        <v>1715.01</v>
      </c>
      <c r="K15" s="148">
        <f t="shared" ref="K15" si="4">+F15-H15</f>
        <v>2700341.99</v>
      </c>
      <c r="L15" s="148">
        <f t="shared" ref="L15" si="5">+E15-H15</f>
        <v>7114697.9900000002</v>
      </c>
      <c r="M15" s="154">
        <f t="shared" si="1"/>
        <v>6.3470533745217064E-2</v>
      </c>
      <c r="O15" s="36"/>
    </row>
    <row r="16" spans="1:18" ht="15" customHeight="1">
      <c r="A16" s="149" t="s">
        <v>202</v>
      </c>
      <c r="B16" s="144" t="s">
        <v>203</v>
      </c>
      <c r="C16" s="386">
        <f t="shared" ref="C16:J16" si="6">SUM(C17:C19)</f>
        <v>17802407</v>
      </c>
      <c r="D16" s="371"/>
      <c r="E16" s="642">
        <f t="shared" si="6"/>
        <v>17775407</v>
      </c>
      <c r="F16" s="145">
        <f t="shared" si="6"/>
        <v>2848502</v>
      </c>
      <c r="G16" s="145">
        <f t="shared" si="6"/>
        <v>1344485.21</v>
      </c>
      <c r="H16" s="145">
        <f t="shared" si="3"/>
        <v>2683511.02</v>
      </c>
      <c r="I16" s="145">
        <f>SUM(I17:I19)</f>
        <v>2683511.02</v>
      </c>
      <c r="J16" s="145">
        <f t="shared" si="6"/>
        <v>2683511.02</v>
      </c>
      <c r="K16" s="145">
        <f t="shared" si="2"/>
        <v>164990.97999999998</v>
      </c>
      <c r="L16" s="145">
        <f t="shared" si="0"/>
        <v>15091895.98</v>
      </c>
      <c r="M16" s="153">
        <f t="shared" si="1"/>
        <v>94.207798344533373</v>
      </c>
      <c r="O16" s="135">
        <f>O17+O18+O19</f>
        <v>1339025.81</v>
      </c>
    </row>
    <row r="17" spans="1:15" ht="13.9" customHeight="1">
      <c r="A17" s="146" t="s">
        <v>204</v>
      </c>
      <c r="B17" s="147" t="s">
        <v>205</v>
      </c>
      <c r="C17" s="387">
        <v>169242</v>
      </c>
      <c r="D17" s="372"/>
      <c r="E17" s="643">
        <v>169242</v>
      </c>
      <c r="F17" s="148">
        <v>13026</v>
      </c>
      <c r="G17" s="148">
        <v>8591.1299999999992</v>
      </c>
      <c r="H17" s="148">
        <f t="shared" si="3"/>
        <v>8685.1299999999992</v>
      </c>
      <c r="I17" s="148">
        <v>8685.1299999999992</v>
      </c>
      <c r="J17" s="148">
        <v>8685.1299999999992</v>
      </c>
      <c r="K17" s="148">
        <f t="shared" si="2"/>
        <v>4340.8700000000008</v>
      </c>
      <c r="L17" s="148">
        <f t="shared" si="0"/>
        <v>160556.87</v>
      </c>
      <c r="M17" s="154">
        <f t="shared" si="1"/>
        <v>66.675341624443405</v>
      </c>
      <c r="O17" s="36">
        <v>94</v>
      </c>
    </row>
    <row r="18" spans="1:15" ht="13.9" customHeight="1">
      <c r="A18" s="150" t="s">
        <v>206</v>
      </c>
      <c r="B18" s="147" t="s">
        <v>207</v>
      </c>
      <c r="C18" s="387">
        <v>1094100</v>
      </c>
      <c r="D18" s="372"/>
      <c r="E18" s="643">
        <v>1109100</v>
      </c>
      <c r="F18" s="148">
        <v>197350</v>
      </c>
      <c r="G18" s="397">
        <v>75945</v>
      </c>
      <c r="H18" s="148">
        <f t="shared" si="3"/>
        <v>166116.71000000002</v>
      </c>
      <c r="I18" s="148">
        <v>166116.71</v>
      </c>
      <c r="J18" s="148">
        <v>166116.71</v>
      </c>
      <c r="K18" s="148">
        <f t="shared" si="2"/>
        <v>31233.289999999979</v>
      </c>
      <c r="L18" s="148">
        <f t="shared" si="0"/>
        <v>942983.29</v>
      </c>
      <c r="M18" s="154">
        <f t="shared" si="1"/>
        <v>84.173655941221185</v>
      </c>
      <c r="O18" s="36">
        <v>90171.71</v>
      </c>
    </row>
    <row r="19" spans="1:15" ht="15.6" customHeight="1">
      <c r="A19" s="146" t="s">
        <v>208</v>
      </c>
      <c r="B19" s="147" t="s">
        <v>209</v>
      </c>
      <c r="C19" s="387">
        <v>16539065</v>
      </c>
      <c r="D19" s="372"/>
      <c r="E19" s="643">
        <v>16497065</v>
      </c>
      <c r="F19" s="148">
        <v>2638126</v>
      </c>
      <c r="G19" s="397">
        <v>1259949.08</v>
      </c>
      <c r="H19" s="148">
        <f t="shared" si="3"/>
        <v>2508709.1800000002</v>
      </c>
      <c r="I19" s="148">
        <v>2508709.1800000002</v>
      </c>
      <c r="J19" s="148">
        <v>2508709.1800000002</v>
      </c>
      <c r="K19" s="148">
        <f t="shared" si="2"/>
        <v>129416.81999999983</v>
      </c>
      <c r="L19" s="148">
        <f t="shared" si="0"/>
        <v>13988355.82</v>
      </c>
      <c r="M19" s="154">
        <f t="shared" si="1"/>
        <v>95.094365470034418</v>
      </c>
      <c r="O19" s="36">
        <v>1248760.1000000001</v>
      </c>
    </row>
    <row r="20" spans="1:15">
      <c r="A20" s="149" t="s">
        <v>210</v>
      </c>
      <c r="B20" s="144" t="s">
        <v>211</v>
      </c>
      <c r="C20" s="386">
        <v>228000</v>
      </c>
      <c r="D20" s="371"/>
      <c r="E20" s="642">
        <v>228000</v>
      </c>
      <c r="F20" s="145">
        <v>38000</v>
      </c>
      <c r="G20" s="145">
        <v>18600</v>
      </c>
      <c r="H20" s="145">
        <f t="shared" si="3"/>
        <v>37200</v>
      </c>
      <c r="I20" s="145">
        <v>37200</v>
      </c>
      <c r="J20" s="145">
        <v>37200</v>
      </c>
      <c r="K20" s="145">
        <f t="shared" si="2"/>
        <v>800</v>
      </c>
      <c r="L20" s="145">
        <f t="shared" si="0"/>
        <v>190800</v>
      </c>
      <c r="M20" s="153">
        <f t="shared" si="1"/>
        <v>97.89473684210526</v>
      </c>
      <c r="O20" s="135">
        <v>18600</v>
      </c>
    </row>
    <row r="21" spans="1:15">
      <c r="A21" s="149" t="s">
        <v>212</v>
      </c>
      <c r="B21" s="144" t="s">
        <v>213</v>
      </c>
      <c r="C21" s="386">
        <v>8322356</v>
      </c>
      <c r="D21" s="371"/>
      <c r="E21" s="642">
        <v>8205913</v>
      </c>
      <c r="F21" s="145">
        <v>2657700</v>
      </c>
      <c r="G21" s="145">
        <v>2060639.29</v>
      </c>
      <c r="H21" s="145">
        <f t="shared" si="3"/>
        <v>2060639.29</v>
      </c>
      <c r="I21" s="145">
        <v>2060639.29</v>
      </c>
      <c r="J21" s="145">
        <v>2060639.29</v>
      </c>
      <c r="K21" s="145">
        <f t="shared" ref="K21" si="7">+F21-H21</f>
        <v>597060.71</v>
      </c>
      <c r="L21" s="145">
        <f t="shared" ref="L21" si="8">+E21-H21</f>
        <v>6145273.71</v>
      </c>
      <c r="M21" s="153">
        <f t="shared" si="1"/>
        <v>77.534683749106364</v>
      </c>
      <c r="O21" s="135"/>
    </row>
    <row r="22" spans="1:15" ht="14.25" customHeight="1">
      <c r="A22" s="143" t="s">
        <v>214</v>
      </c>
      <c r="B22" s="144" t="s">
        <v>215</v>
      </c>
      <c r="C22" s="386">
        <f t="shared" ref="C22:J22" si="9">SUM(C23:C26)</f>
        <v>16672733</v>
      </c>
      <c r="D22" s="386">
        <f t="shared" si="9"/>
        <v>0</v>
      </c>
      <c r="E22" s="386">
        <f t="shared" si="9"/>
        <v>16652733</v>
      </c>
      <c r="F22" s="145">
        <f t="shared" si="9"/>
        <v>4469619</v>
      </c>
      <c r="G22" s="145">
        <f t="shared" si="9"/>
        <v>1299802.17</v>
      </c>
      <c r="H22" s="148">
        <f t="shared" si="3"/>
        <v>2334701.9699999997</v>
      </c>
      <c r="I22" s="145"/>
      <c r="J22" s="145">
        <f t="shared" si="9"/>
        <v>1032516.02</v>
      </c>
      <c r="K22" s="145">
        <f t="shared" si="2"/>
        <v>2134917.0300000003</v>
      </c>
      <c r="L22" s="145">
        <f t="shared" si="0"/>
        <v>14318031.030000001</v>
      </c>
      <c r="M22" s="153">
        <f t="shared" si="1"/>
        <v>52.234921365780835</v>
      </c>
      <c r="N22" s="6"/>
      <c r="O22" s="135">
        <f>O23+O24+O25+O26</f>
        <v>1034899.8</v>
      </c>
    </row>
    <row r="23" spans="1:15" ht="15" customHeight="1">
      <c r="A23" s="146" t="s">
        <v>216</v>
      </c>
      <c r="B23" s="148" t="s">
        <v>217</v>
      </c>
      <c r="C23" s="387">
        <v>14173069</v>
      </c>
      <c r="D23" s="372"/>
      <c r="E23" s="643">
        <v>14153069</v>
      </c>
      <c r="F23" s="148">
        <v>4030148</v>
      </c>
      <c r="G23" s="148">
        <v>1135110.8600000001</v>
      </c>
      <c r="H23" s="148">
        <f t="shared" si="3"/>
        <v>2012276.6700000002</v>
      </c>
      <c r="I23" s="148"/>
      <c r="J23" s="148">
        <v>875635.73</v>
      </c>
      <c r="K23" s="148">
        <f t="shared" si="2"/>
        <v>2017871.3299999998</v>
      </c>
      <c r="L23" s="148">
        <f t="shared" si="0"/>
        <v>12140792.33</v>
      </c>
      <c r="M23" s="154">
        <f t="shared" si="1"/>
        <v>49.930589893969163</v>
      </c>
      <c r="O23" s="36">
        <v>877165.81</v>
      </c>
    </row>
    <row r="24" spans="1:15" ht="13.5" customHeight="1">
      <c r="A24" s="146" t="s">
        <v>218</v>
      </c>
      <c r="B24" s="147" t="s">
        <v>219</v>
      </c>
      <c r="C24" s="387">
        <v>1499798</v>
      </c>
      <c r="D24" s="372"/>
      <c r="E24" s="643">
        <v>1499798</v>
      </c>
      <c r="F24" s="148">
        <v>263676</v>
      </c>
      <c r="G24" s="148">
        <v>103144.37</v>
      </c>
      <c r="H24" s="148">
        <f t="shared" si="3"/>
        <v>202167.57</v>
      </c>
      <c r="I24" s="148"/>
      <c r="J24" s="148">
        <v>98849.99</v>
      </c>
      <c r="K24" s="148">
        <f t="shared" si="2"/>
        <v>61508.429999999993</v>
      </c>
      <c r="L24" s="148">
        <f t="shared" si="0"/>
        <v>1297630.43</v>
      </c>
      <c r="M24" s="154">
        <f t="shared" si="1"/>
        <v>76.672723342283717</v>
      </c>
      <c r="O24" s="36">
        <v>99023.2</v>
      </c>
    </row>
    <row r="25" spans="1:15" ht="13.5" customHeight="1">
      <c r="A25" s="146" t="s">
        <v>220</v>
      </c>
      <c r="B25" s="147" t="s">
        <v>221</v>
      </c>
      <c r="C25" s="387">
        <v>699907</v>
      </c>
      <c r="D25" s="372"/>
      <c r="E25" s="643">
        <v>699907</v>
      </c>
      <c r="F25" s="148">
        <v>123057</v>
      </c>
      <c r="G25" s="148">
        <v>48266.44</v>
      </c>
      <c r="H25" s="148">
        <f t="shared" si="3"/>
        <v>94608.47</v>
      </c>
      <c r="I25" s="148"/>
      <c r="J25" s="148">
        <v>45668.02</v>
      </c>
      <c r="K25" s="148">
        <f t="shared" si="2"/>
        <v>28448.53</v>
      </c>
      <c r="L25" s="148">
        <f t="shared" si="0"/>
        <v>605298.53</v>
      </c>
      <c r="M25" s="154">
        <f t="shared" si="1"/>
        <v>76.88182712076518</v>
      </c>
      <c r="O25" s="36">
        <v>46342.03</v>
      </c>
    </row>
    <row r="26" spans="1:15" ht="13.5" customHeight="1">
      <c r="A26" s="146" t="s">
        <v>222</v>
      </c>
      <c r="B26" s="147" t="s">
        <v>223</v>
      </c>
      <c r="C26" s="387">
        <v>299959</v>
      </c>
      <c r="D26" s="372"/>
      <c r="E26" s="643">
        <v>299959</v>
      </c>
      <c r="F26" s="148">
        <v>52738</v>
      </c>
      <c r="G26" s="148">
        <v>13280.5</v>
      </c>
      <c r="H26" s="148">
        <f t="shared" si="3"/>
        <v>25649.260000000002</v>
      </c>
      <c r="I26" s="148"/>
      <c r="J26" s="148">
        <v>12362.28</v>
      </c>
      <c r="K26" s="148">
        <f t="shared" si="2"/>
        <v>27088.739999999998</v>
      </c>
      <c r="L26" s="148">
        <f t="shared" si="0"/>
        <v>274309.74</v>
      </c>
      <c r="M26" s="154">
        <f t="shared" si="1"/>
        <v>48.635253517387845</v>
      </c>
      <c r="O26" s="36">
        <v>12368.76</v>
      </c>
    </row>
    <row r="27" spans="1:15" ht="1.5" hidden="1" customHeight="1">
      <c r="A27" s="143" t="s">
        <v>224</v>
      </c>
      <c r="B27" s="144" t="s">
        <v>225</v>
      </c>
      <c r="C27" s="386">
        <f>SUM(C28:C28)</f>
        <v>0</v>
      </c>
      <c r="D27" s="371"/>
      <c r="E27" s="642" t="e">
        <f>SUM(E28:E28)</f>
        <v>#REF!</v>
      </c>
      <c r="F27" s="145">
        <v>0</v>
      </c>
      <c r="G27" s="145">
        <v>0</v>
      </c>
      <c r="H27" s="148">
        <f t="shared" si="3"/>
        <v>0</v>
      </c>
      <c r="I27" s="145"/>
      <c r="J27" s="145">
        <f>SUM(J28)</f>
        <v>0</v>
      </c>
      <c r="K27" s="145">
        <f t="shared" si="2"/>
        <v>0</v>
      </c>
      <c r="L27" s="145" t="e">
        <f>SUM(L28:L28)</f>
        <v>#REF!</v>
      </c>
      <c r="M27" s="154"/>
      <c r="O27" s="36">
        <v>0</v>
      </c>
    </row>
    <row r="28" spans="1:15" ht="9.75" hidden="1" customHeight="1">
      <c r="A28" s="146" t="s">
        <v>226</v>
      </c>
      <c r="B28" s="147" t="s">
        <v>227</v>
      </c>
      <c r="C28" s="387">
        <v>0</v>
      </c>
      <c r="D28" s="372"/>
      <c r="E28" s="643" t="e">
        <f>+C28+#REF!</f>
        <v>#REF!</v>
      </c>
      <c r="F28" s="148">
        <v>0</v>
      </c>
      <c r="G28" s="148">
        <v>0</v>
      </c>
      <c r="H28" s="148">
        <f t="shared" si="3"/>
        <v>0</v>
      </c>
      <c r="I28" s="148"/>
      <c r="J28" s="148">
        <v>0</v>
      </c>
      <c r="K28" s="148">
        <f t="shared" si="2"/>
        <v>0</v>
      </c>
      <c r="L28" s="148" t="e">
        <f t="shared" ref="L28:L35" si="10">+E28-H28</f>
        <v>#REF!</v>
      </c>
      <c r="M28" s="154"/>
      <c r="O28" s="36">
        <v>0</v>
      </c>
    </row>
    <row r="29" spans="1:15" ht="13.5" customHeight="1">
      <c r="A29" s="143" t="s">
        <v>228</v>
      </c>
      <c r="B29" s="144" t="s">
        <v>229</v>
      </c>
      <c r="C29" s="387">
        <v>0</v>
      </c>
      <c r="D29" s="372"/>
      <c r="E29" s="642">
        <f>SUM(E30:E35)</f>
        <v>142430</v>
      </c>
      <c r="F29" s="145">
        <f>SUM(F30:F35)</f>
        <v>142430</v>
      </c>
      <c r="G29" s="145">
        <f>SUM(G30:G35)</f>
        <v>0</v>
      </c>
      <c r="H29" s="148">
        <f t="shared" si="3"/>
        <v>925.21</v>
      </c>
      <c r="I29" s="145">
        <f>+I30+I31+I32+I33</f>
        <v>0</v>
      </c>
      <c r="J29" s="145">
        <f>SUM(J30:J35)</f>
        <v>925.21</v>
      </c>
      <c r="K29" s="145">
        <f t="shared" si="2"/>
        <v>141504.79</v>
      </c>
      <c r="L29" s="145">
        <f t="shared" si="10"/>
        <v>141504.79</v>
      </c>
      <c r="M29" s="153">
        <f t="shared" ref="M29:M35" si="11">+H29*100/F29</f>
        <v>0.64958927192304994</v>
      </c>
      <c r="O29" s="135">
        <f>O35</f>
        <v>925.21</v>
      </c>
    </row>
    <row r="30" spans="1:15" ht="13.5" customHeight="1">
      <c r="A30" s="146" t="s">
        <v>230</v>
      </c>
      <c r="B30" s="147" t="s">
        <v>231</v>
      </c>
      <c r="C30" s="387">
        <v>0</v>
      </c>
      <c r="D30" s="372"/>
      <c r="E30" s="643">
        <v>30000</v>
      </c>
      <c r="F30" s="148">
        <v>30000</v>
      </c>
      <c r="G30" s="148"/>
      <c r="H30" s="148">
        <f t="shared" si="3"/>
        <v>0</v>
      </c>
      <c r="I30" s="148"/>
      <c r="J30" s="148"/>
      <c r="K30" s="145">
        <f t="shared" si="2"/>
        <v>30000</v>
      </c>
      <c r="L30" s="145">
        <f t="shared" si="10"/>
        <v>30000</v>
      </c>
      <c r="M30" s="153">
        <f t="shared" si="11"/>
        <v>0</v>
      </c>
      <c r="O30" s="36">
        <v>0</v>
      </c>
    </row>
    <row r="31" spans="1:15" ht="1.5" customHeight="1">
      <c r="A31" s="146" t="s">
        <v>232</v>
      </c>
      <c r="B31" s="147" t="s">
        <v>233</v>
      </c>
      <c r="C31" s="387">
        <v>0</v>
      </c>
      <c r="D31" s="372"/>
      <c r="E31" s="643"/>
      <c r="F31" s="148"/>
      <c r="G31" s="148"/>
      <c r="H31" s="148">
        <f t="shared" si="3"/>
        <v>0</v>
      </c>
      <c r="I31" s="148"/>
      <c r="J31" s="148"/>
      <c r="K31" s="145">
        <f t="shared" si="2"/>
        <v>0</v>
      </c>
      <c r="L31" s="145">
        <f t="shared" si="10"/>
        <v>0</v>
      </c>
      <c r="M31" s="153" t="e">
        <f t="shared" si="11"/>
        <v>#DIV/0!</v>
      </c>
      <c r="O31" s="36">
        <v>0</v>
      </c>
    </row>
    <row r="32" spans="1:15" ht="11.25" hidden="1" customHeight="1">
      <c r="A32" s="146" t="s">
        <v>234</v>
      </c>
      <c r="B32" s="147" t="s">
        <v>235</v>
      </c>
      <c r="C32" s="387">
        <v>0</v>
      </c>
      <c r="D32" s="372"/>
      <c r="E32" s="643"/>
      <c r="F32" s="148"/>
      <c r="G32" s="148"/>
      <c r="H32" s="148">
        <f t="shared" si="3"/>
        <v>0</v>
      </c>
      <c r="I32" s="148"/>
      <c r="J32" s="148"/>
      <c r="K32" s="145">
        <f t="shared" si="2"/>
        <v>0</v>
      </c>
      <c r="L32" s="145">
        <f t="shared" si="10"/>
        <v>0</v>
      </c>
      <c r="M32" s="153" t="e">
        <f t="shared" si="11"/>
        <v>#DIV/0!</v>
      </c>
      <c r="O32" s="36">
        <v>0</v>
      </c>
    </row>
    <row r="33" spans="1:19" ht="13.5" customHeight="1">
      <c r="A33" s="146" t="s">
        <v>236</v>
      </c>
      <c r="B33" s="147" t="s">
        <v>237</v>
      </c>
      <c r="C33" s="387">
        <v>0</v>
      </c>
      <c r="D33" s="372"/>
      <c r="E33" s="643">
        <v>91000</v>
      </c>
      <c r="F33" s="148">
        <v>91000</v>
      </c>
      <c r="G33" s="148"/>
      <c r="H33" s="148">
        <f t="shared" si="3"/>
        <v>0</v>
      </c>
      <c r="I33" s="148"/>
      <c r="J33" s="148"/>
      <c r="K33" s="145">
        <f t="shared" si="2"/>
        <v>91000</v>
      </c>
      <c r="L33" s="145">
        <f t="shared" si="10"/>
        <v>91000</v>
      </c>
      <c r="M33" s="153">
        <f t="shared" si="11"/>
        <v>0</v>
      </c>
      <c r="O33" s="36">
        <v>0</v>
      </c>
    </row>
    <row r="34" spans="1:19" ht="1.5" hidden="1" customHeight="1">
      <c r="A34" s="146" t="s">
        <v>238</v>
      </c>
      <c r="B34" s="147" t="s">
        <v>239</v>
      </c>
      <c r="C34" s="387">
        <v>0</v>
      </c>
      <c r="D34" s="372"/>
      <c r="E34" s="643"/>
      <c r="F34" s="148"/>
      <c r="G34" s="148"/>
      <c r="H34" s="148">
        <f t="shared" si="3"/>
        <v>0</v>
      </c>
      <c r="I34" s="148"/>
      <c r="J34" s="148"/>
      <c r="K34" s="145">
        <f t="shared" si="2"/>
        <v>0</v>
      </c>
      <c r="L34" s="145">
        <f t="shared" si="10"/>
        <v>0</v>
      </c>
      <c r="M34" s="154" t="e">
        <f t="shared" si="11"/>
        <v>#DIV/0!</v>
      </c>
      <c r="O34" s="36"/>
    </row>
    <row r="35" spans="1:19" ht="10.5" customHeight="1">
      <c r="A35" s="146" t="s">
        <v>240</v>
      </c>
      <c r="B35" s="147" t="s">
        <v>241</v>
      </c>
      <c r="C35" s="387">
        <v>0</v>
      </c>
      <c r="D35" s="372"/>
      <c r="E35" s="643">
        <v>21430</v>
      </c>
      <c r="F35" s="148">
        <v>21430</v>
      </c>
      <c r="G35" s="148"/>
      <c r="H35" s="148">
        <f t="shared" si="3"/>
        <v>925.21</v>
      </c>
      <c r="I35" s="148"/>
      <c r="J35" s="397">
        <v>925.21</v>
      </c>
      <c r="K35" s="148">
        <f t="shared" si="2"/>
        <v>20504.79</v>
      </c>
      <c r="L35" s="148">
        <f t="shared" si="10"/>
        <v>20504.79</v>
      </c>
      <c r="M35" s="154">
        <f t="shared" si="11"/>
        <v>4.3173588427438174</v>
      </c>
      <c r="O35" s="36">
        <v>925.21</v>
      </c>
    </row>
    <row r="36" spans="1:19" ht="5.25" hidden="1" customHeight="1">
      <c r="A36" s="146"/>
      <c r="B36" s="147"/>
      <c r="C36" s="387"/>
      <c r="D36" s="372"/>
      <c r="E36" s="643"/>
      <c r="F36" s="148"/>
      <c r="G36" s="148">
        <v>0</v>
      </c>
      <c r="H36" s="148"/>
      <c r="I36" s="148"/>
      <c r="J36" s="148"/>
      <c r="K36" s="148"/>
      <c r="L36" s="148"/>
      <c r="M36" s="154"/>
      <c r="O36" s="36"/>
    </row>
    <row r="37" spans="1:19" ht="20.25" customHeight="1">
      <c r="A37" s="601" t="s">
        <v>242</v>
      </c>
      <c r="B37" s="602" t="s">
        <v>243</v>
      </c>
      <c r="C37" s="603">
        <f>C38+C45+C54++C55+C58+C67+C73+C76+C62+C83</f>
        <v>3088498</v>
      </c>
      <c r="D37" s="604">
        <f>D57+D61+D64+D71+D73+D74+D76+D78+D80</f>
        <v>0</v>
      </c>
      <c r="E37" s="644">
        <f>E38+E45+E54++E55+E58+E67+E73+E76+E62+E83</f>
        <v>3328824</v>
      </c>
      <c r="F37" s="644">
        <f>F38+F45+F54++F55+F58+F67+F73+F76+F62+F83</f>
        <v>2193256</v>
      </c>
      <c r="G37" s="605">
        <f>G38+G45+G54++G55+G58+G67+G73+G76+G62+G83</f>
        <v>418329.61</v>
      </c>
      <c r="H37" s="668">
        <f>O37+G37</f>
        <v>593415.99</v>
      </c>
      <c r="I37" s="605">
        <f>I38+I45+I54++I55+I58+I67+I73+I76+I62+I83</f>
        <v>442141.5</v>
      </c>
      <c r="J37" s="605">
        <f>J38+J45+J54++J55+J58+J67+J73+J76+J62+J83</f>
        <v>167065.21000000002</v>
      </c>
      <c r="K37" s="606">
        <f>K38+K45+K54++K55+K58+K67+K73+K76+K62+K83</f>
        <v>1599840.01</v>
      </c>
      <c r="L37" s="605">
        <f>L38+L45+L54++L55+L58+L67+L73+L76+L62+L83</f>
        <v>2735408.0100000007</v>
      </c>
      <c r="M37" s="155">
        <f t="shared" ref="M37:M42" si="12">+H37*100/F37</f>
        <v>27.056394237608377</v>
      </c>
      <c r="N37" s="36" t="s">
        <v>12</v>
      </c>
      <c r="O37" s="135">
        <v>175086.38</v>
      </c>
      <c r="P37" s="36"/>
      <c r="Q37" s="36"/>
      <c r="R37" s="1"/>
      <c r="S37" s="36"/>
    </row>
    <row r="38" spans="1:19" ht="15.75" customHeight="1">
      <c r="A38" s="143">
        <v>100</v>
      </c>
      <c r="B38" s="144" t="s">
        <v>244</v>
      </c>
      <c r="C38" s="386">
        <f>SUM(C39:C44)</f>
        <v>71025</v>
      </c>
      <c r="D38" s="371"/>
      <c r="E38" s="642">
        <f>SUM(E39:E44)</f>
        <v>94491</v>
      </c>
      <c r="F38" s="145">
        <f>SUM(F39:F44)</f>
        <v>72713</v>
      </c>
      <c r="G38" s="145">
        <f>SUM(G39:G44)</f>
        <v>15220.75</v>
      </c>
      <c r="H38" s="145">
        <f>+O38+G38</f>
        <v>15220.75</v>
      </c>
      <c r="I38" s="145">
        <f>SUM(I39:I44)</f>
        <v>0</v>
      </c>
      <c r="J38" s="145">
        <f>SUM(J39:J44)</f>
        <v>0</v>
      </c>
      <c r="K38" s="145">
        <f t="shared" ref="K38:K54" si="13">+F38-H38</f>
        <v>57492.25</v>
      </c>
      <c r="L38" s="145">
        <f t="shared" ref="L38:L54" si="14">+E38-H38</f>
        <v>79270.25</v>
      </c>
      <c r="M38" s="154">
        <f t="shared" si="12"/>
        <v>20.93263928045879</v>
      </c>
      <c r="O38" s="135">
        <v>0</v>
      </c>
      <c r="R38" s="1"/>
    </row>
    <row r="39" spans="1:19" ht="15" customHeight="1">
      <c r="A39" s="151" t="s">
        <v>245</v>
      </c>
      <c r="B39" s="148" t="s">
        <v>246</v>
      </c>
      <c r="C39" s="387">
        <v>6000</v>
      </c>
      <c r="D39" s="372"/>
      <c r="E39" s="643">
        <v>9400</v>
      </c>
      <c r="F39" s="148">
        <v>3400</v>
      </c>
      <c r="G39" s="148"/>
      <c r="H39" s="148"/>
      <c r="I39" s="148"/>
      <c r="J39" s="148"/>
      <c r="K39" s="148">
        <f t="shared" si="13"/>
        <v>3400</v>
      </c>
      <c r="L39" s="148">
        <f t="shared" si="14"/>
        <v>9400</v>
      </c>
      <c r="M39" s="154">
        <f t="shared" si="12"/>
        <v>0</v>
      </c>
      <c r="O39" s="36"/>
    </row>
    <row r="40" spans="1:19" ht="13.5" customHeight="1">
      <c r="A40" s="146" t="s">
        <v>247</v>
      </c>
      <c r="B40" s="147" t="s">
        <v>248</v>
      </c>
      <c r="C40" s="387">
        <v>2000</v>
      </c>
      <c r="D40" s="372"/>
      <c r="E40" s="643">
        <v>13970</v>
      </c>
      <c r="F40" s="148">
        <v>11970</v>
      </c>
      <c r="G40" s="148">
        <v>2461</v>
      </c>
      <c r="H40" s="148">
        <f>O40+G40</f>
        <v>2461</v>
      </c>
      <c r="I40" s="148"/>
      <c r="J40" s="148"/>
      <c r="K40" s="148">
        <f t="shared" si="13"/>
        <v>9509</v>
      </c>
      <c r="L40" s="148">
        <f t="shared" si="14"/>
        <v>11509</v>
      </c>
      <c r="M40" s="154">
        <f t="shared" si="12"/>
        <v>20.559732664995824</v>
      </c>
      <c r="O40" s="36"/>
      <c r="Q40" s="36"/>
    </row>
    <row r="41" spans="1:19" ht="11.25" customHeight="1">
      <c r="A41" s="146" t="s">
        <v>249</v>
      </c>
      <c r="B41" s="147" t="s">
        <v>250</v>
      </c>
      <c r="C41" s="387">
        <v>28778</v>
      </c>
      <c r="D41" s="372"/>
      <c r="E41" s="643">
        <v>39278</v>
      </c>
      <c r="F41" s="148">
        <v>25500</v>
      </c>
      <c r="G41" s="148"/>
      <c r="H41" s="148"/>
      <c r="I41" s="148"/>
      <c r="J41" s="148"/>
      <c r="K41" s="148">
        <f t="shared" si="13"/>
        <v>25500</v>
      </c>
      <c r="L41" s="148">
        <f t="shared" si="14"/>
        <v>39278</v>
      </c>
      <c r="M41" s="154">
        <f t="shared" si="12"/>
        <v>0</v>
      </c>
      <c r="O41" s="36"/>
    </row>
    <row r="42" spans="1:19" ht="14.25" customHeight="1">
      <c r="A42" s="146" t="s">
        <v>251</v>
      </c>
      <c r="B42" s="147" t="s">
        <v>252</v>
      </c>
      <c r="C42" s="387"/>
      <c r="D42" s="372"/>
      <c r="E42" s="643">
        <v>200</v>
      </c>
      <c r="F42" s="148">
        <v>200</v>
      </c>
      <c r="G42" s="148"/>
      <c r="H42" s="148"/>
      <c r="I42" s="148"/>
      <c r="J42" s="148"/>
      <c r="K42" s="148">
        <f t="shared" si="13"/>
        <v>200</v>
      </c>
      <c r="L42" s="148">
        <f t="shared" si="14"/>
        <v>200</v>
      </c>
      <c r="M42" s="154">
        <f t="shared" si="12"/>
        <v>0</v>
      </c>
      <c r="O42" s="36"/>
    </row>
    <row r="43" spans="1:19" ht="15" hidden="1" customHeight="1">
      <c r="A43" s="146" t="s">
        <v>253</v>
      </c>
      <c r="B43" s="147" t="s">
        <v>254</v>
      </c>
      <c r="C43" s="387"/>
      <c r="D43" s="372"/>
      <c r="E43" s="643"/>
      <c r="F43" s="148"/>
      <c r="G43" s="148"/>
      <c r="H43" s="148">
        <v>0</v>
      </c>
      <c r="I43" s="148">
        <v>0</v>
      </c>
      <c r="J43" s="148">
        <v>0</v>
      </c>
      <c r="K43" s="145">
        <f t="shared" si="13"/>
        <v>0</v>
      </c>
      <c r="L43" s="145">
        <f t="shared" si="14"/>
        <v>0</v>
      </c>
      <c r="M43" s="154"/>
      <c r="O43" s="36">
        <v>0</v>
      </c>
    </row>
    <row r="44" spans="1:19" ht="15" customHeight="1">
      <c r="A44" s="146" t="s">
        <v>255</v>
      </c>
      <c r="B44" s="147" t="s">
        <v>256</v>
      </c>
      <c r="C44" s="387">
        <v>34247</v>
      </c>
      <c r="D44" s="372"/>
      <c r="E44" s="643">
        <v>31643</v>
      </c>
      <c r="F44" s="148">
        <v>31643</v>
      </c>
      <c r="G44" s="397">
        <v>12759.75</v>
      </c>
      <c r="H44" s="148">
        <f>O44+G44</f>
        <v>12759.75</v>
      </c>
      <c r="I44" s="148"/>
      <c r="J44" s="148"/>
      <c r="K44" s="148">
        <f t="shared" si="13"/>
        <v>18883.25</v>
      </c>
      <c r="L44" s="148">
        <f t="shared" si="14"/>
        <v>18883.25</v>
      </c>
      <c r="M44" s="154">
        <f t="shared" ref="M44:M51" si="15">+H44*100/F44</f>
        <v>40.324084315646431</v>
      </c>
      <c r="O44" s="36"/>
    </row>
    <row r="45" spans="1:19">
      <c r="A45" s="152" t="s">
        <v>257</v>
      </c>
      <c r="B45" s="145" t="s">
        <v>258</v>
      </c>
      <c r="C45" s="386">
        <f>SUM(C46:C53)</f>
        <v>1880203</v>
      </c>
      <c r="D45" s="371"/>
      <c r="E45" s="642">
        <f>SUM(E46:E53)</f>
        <v>1730303</v>
      </c>
      <c r="F45" s="145">
        <f>SUM(F46:F53)</f>
        <v>984581</v>
      </c>
      <c r="G45" s="145">
        <f>SUM(G46:G53)</f>
        <v>190942.40999999997</v>
      </c>
      <c r="H45" s="145">
        <f>O45+G45</f>
        <v>191288.40999999997</v>
      </c>
      <c r="I45" s="145">
        <f>SUM(I46:I53)</f>
        <v>187762.43</v>
      </c>
      <c r="J45" s="145">
        <f>SUM(J46:J53)</f>
        <v>224</v>
      </c>
      <c r="K45" s="145">
        <f t="shared" si="13"/>
        <v>793292.59000000008</v>
      </c>
      <c r="L45" s="145">
        <f t="shared" si="14"/>
        <v>1539014.59</v>
      </c>
      <c r="M45" s="153">
        <f t="shared" si="15"/>
        <v>19.428407617047249</v>
      </c>
      <c r="N45" s="36" t="s">
        <v>12</v>
      </c>
      <c r="O45" s="135">
        <f>O47+O48</f>
        <v>346</v>
      </c>
      <c r="P45" s="36"/>
      <c r="Q45" s="36"/>
      <c r="R45" s="36"/>
    </row>
    <row r="46" spans="1:19" ht="12" customHeight="1">
      <c r="A46" s="151" t="s">
        <v>259</v>
      </c>
      <c r="B46" s="148" t="s">
        <v>260</v>
      </c>
      <c r="C46" s="387">
        <v>100000</v>
      </c>
      <c r="D46" s="372"/>
      <c r="E46" s="643">
        <v>90700</v>
      </c>
      <c r="F46" s="148">
        <v>10700</v>
      </c>
      <c r="G46" s="148">
        <v>9376.2000000000007</v>
      </c>
      <c r="H46" s="669">
        <f>O46+G46</f>
        <v>9376.2000000000007</v>
      </c>
      <c r="I46" s="148">
        <v>9376.2000000000007</v>
      </c>
      <c r="J46" s="148"/>
      <c r="K46" s="148">
        <f t="shared" si="13"/>
        <v>1323.7999999999993</v>
      </c>
      <c r="L46" s="148">
        <f t="shared" si="14"/>
        <v>81323.8</v>
      </c>
      <c r="M46" s="154">
        <f t="shared" si="15"/>
        <v>87.628037383177585</v>
      </c>
      <c r="O46" s="36"/>
    </row>
    <row r="47" spans="1:19" ht="14.25" customHeight="1">
      <c r="A47" s="146" t="s">
        <v>261</v>
      </c>
      <c r="B47" s="147" t="s">
        <v>262</v>
      </c>
      <c r="C47" s="387">
        <v>20180</v>
      </c>
      <c r="D47" s="372"/>
      <c r="E47" s="643">
        <v>31780</v>
      </c>
      <c r="F47" s="148">
        <v>21780</v>
      </c>
      <c r="G47" s="148">
        <v>97.04</v>
      </c>
      <c r="H47" s="669">
        <f>O47+G47</f>
        <v>393.04</v>
      </c>
      <c r="I47" s="148">
        <v>321.04000000000002</v>
      </c>
      <c r="J47" s="148">
        <v>224</v>
      </c>
      <c r="K47" s="148">
        <f t="shared" si="13"/>
        <v>21386.959999999999</v>
      </c>
      <c r="L47" s="148">
        <f t="shared" si="14"/>
        <v>31386.959999999999</v>
      </c>
      <c r="M47" s="154">
        <f t="shared" si="15"/>
        <v>1.8045913682277319</v>
      </c>
      <c r="O47" s="36">
        <v>296</v>
      </c>
    </row>
    <row r="48" spans="1:19" ht="13.5" customHeight="1">
      <c r="A48" s="146" t="s">
        <v>263</v>
      </c>
      <c r="B48" s="147" t="s">
        <v>264</v>
      </c>
      <c r="C48" s="387">
        <v>1000</v>
      </c>
      <c r="D48" s="372"/>
      <c r="E48" s="643">
        <v>1000</v>
      </c>
      <c r="F48" s="148">
        <v>1000</v>
      </c>
      <c r="G48" s="148"/>
      <c r="H48" s="148">
        <v>50</v>
      </c>
      <c r="I48" s="148">
        <v>50</v>
      </c>
      <c r="J48" s="148"/>
      <c r="K48" s="148">
        <f t="shared" si="13"/>
        <v>950</v>
      </c>
      <c r="L48" s="148">
        <f t="shared" si="14"/>
        <v>950</v>
      </c>
      <c r="M48" s="154">
        <f t="shared" si="15"/>
        <v>5</v>
      </c>
      <c r="O48" s="36">
        <v>50</v>
      </c>
    </row>
    <row r="49" spans="1:22" ht="13.5" customHeight="1">
      <c r="A49" s="146" t="s">
        <v>265</v>
      </c>
      <c r="B49" s="147" t="s">
        <v>266</v>
      </c>
      <c r="C49" s="387">
        <v>1000000</v>
      </c>
      <c r="D49" s="372"/>
      <c r="E49" s="643">
        <v>847800</v>
      </c>
      <c r="F49" s="148">
        <v>847800</v>
      </c>
      <c r="G49" s="148">
        <v>178015.09</v>
      </c>
      <c r="H49" s="148">
        <f>O49+G49</f>
        <v>178015.09</v>
      </c>
      <c r="I49" s="148">
        <v>178015.19</v>
      </c>
      <c r="J49" s="148"/>
      <c r="K49" s="148">
        <f t="shared" si="13"/>
        <v>669784.91</v>
      </c>
      <c r="L49" s="148">
        <f t="shared" si="14"/>
        <v>669784.91</v>
      </c>
      <c r="M49" s="154">
        <f t="shared" si="15"/>
        <v>20.997297711724464</v>
      </c>
      <c r="O49" s="36"/>
    </row>
    <row r="50" spans="1:22" ht="15" customHeight="1">
      <c r="A50" s="146" t="s">
        <v>267</v>
      </c>
      <c r="B50" s="147" t="s">
        <v>268</v>
      </c>
      <c r="C50" s="387">
        <v>390500</v>
      </c>
      <c r="D50" s="372"/>
      <c r="E50" s="643">
        <v>390500</v>
      </c>
      <c r="F50" s="148">
        <v>80001</v>
      </c>
      <c r="G50" s="148"/>
      <c r="H50" s="148"/>
      <c r="I50" s="148"/>
      <c r="J50" s="148"/>
      <c r="K50" s="148">
        <f t="shared" si="13"/>
        <v>80001</v>
      </c>
      <c r="L50" s="148">
        <f t="shared" si="14"/>
        <v>390500</v>
      </c>
      <c r="M50" s="154">
        <f t="shared" si="15"/>
        <v>0</v>
      </c>
      <c r="O50" s="36"/>
    </row>
    <row r="51" spans="1:22" ht="13.15" customHeight="1">
      <c r="A51" s="146">
        <v>116</v>
      </c>
      <c r="B51" s="147" t="s">
        <v>269</v>
      </c>
      <c r="C51" s="387">
        <v>348023</v>
      </c>
      <c r="D51" s="372"/>
      <c r="E51" s="645">
        <v>348023</v>
      </c>
      <c r="F51" s="148">
        <v>23300</v>
      </c>
      <c r="G51" s="148">
        <v>3454.08</v>
      </c>
      <c r="H51" s="148">
        <f>O51+G51</f>
        <v>3454.08</v>
      </c>
      <c r="I51" s="148"/>
      <c r="J51" s="148"/>
      <c r="K51" s="148">
        <f t="shared" si="13"/>
        <v>19845.919999999998</v>
      </c>
      <c r="L51" s="148">
        <f t="shared" si="14"/>
        <v>344568.92</v>
      </c>
      <c r="M51" s="154">
        <f t="shared" si="15"/>
        <v>14.824377682403433</v>
      </c>
      <c r="O51" s="36"/>
    </row>
    <row r="52" spans="1:22" ht="12.75" customHeight="1">
      <c r="A52" s="146">
        <v>117</v>
      </c>
      <c r="B52" s="147" t="s">
        <v>270</v>
      </c>
      <c r="C52" s="387">
        <v>20500</v>
      </c>
      <c r="D52" s="372"/>
      <c r="E52" s="643">
        <v>20500</v>
      </c>
      <c r="F52" s="148"/>
      <c r="G52" s="148"/>
      <c r="H52" s="148"/>
      <c r="I52" s="148"/>
      <c r="J52" s="148"/>
      <c r="K52" s="148">
        <f t="shared" si="13"/>
        <v>0</v>
      </c>
      <c r="L52" s="148">
        <f t="shared" si="14"/>
        <v>20500</v>
      </c>
      <c r="M52" s="154"/>
      <c r="O52" s="36"/>
    </row>
    <row r="53" spans="1:22" ht="13.5" hidden="1" customHeight="1">
      <c r="A53" s="146">
        <v>119</v>
      </c>
      <c r="B53" s="147" t="s">
        <v>271</v>
      </c>
      <c r="C53" s="387"/>
      <c r="D53" s="372"/>
      <c r="E53" s="643"/>
      <c r="F53" s="148"/>
      <c r="G53" s="148"/>
      <c r="H53" s="148"/>
      <c r="I53" s="148"/>
      <c r="J53" s="148"/>
      <c r="K53" s="145">
        <f t="shared" si="13"/>
        <v>0</v>
      </c>
      <c r="L53" s="148">
        <f t="shared" si="14"/>
        <v>0</v>
      </c>
      <c r="M53" s="154"/>
      <c r="O53" s="36"/>
    </row>
    <row r="54" spans="1:22" ht="12.75" customHeight="1">
      <c r="A54" s="143">
        <v>120</v>
      </c>
      <c r="B54" s="145" t="s">
        <v>272</v>
      </c>
      <c r="C54" s="386">
        <v>6923</v>
      </c>
      <c r="D54" s="371"/>
      <c r="E54" s="642">
        <v>12823</v>
      </c>
      <c r="F54" s="145">
        <v>12823</v>
      </c>
      <c r="G54" s="145">
        <v>259.33</v>
      </c>
      <c r="H54" s="145">
        <f>O54+G54</f>
        <v>259.33</v>
      </c>
      <c r="I54" s="145">
        <v>65.66</v>
      </c>
      <c r="J54" s="145"/>
      <c r="K54" s="145">
        <f t="shared" si="13"/>
        <v>12563.67</v>
      </c>
      <c r="L54" s="148">
        <f t="shared" si="14"/>
        <v>12563.67</v>
      </c>
      <c r="M54" s="153">
        <f t="shared" ref="M54:M67" si="16">+H54*100/F54</f>
        <v>2.022381657958356</v>
      </c>
      <c r="N54" s="6"/>
      <c r="O54" s="135"/>
      <c r="V54">
        <f ca="1">V54</f>
        <v>0</v>
      </c>
    </row>
    <row r="55" spans="1:22" ht="13.5" customHeight="1">
      <c r="A55" s="152" t="s">
        <v>273</v>
      </c>
      <c r="B55" s="145" t="s">
        <v>274</v>
      </c>
      <c r="C55" s="386">
        <f>SUM(C56:C57)</f>
        <v>15000</v>
      </c>
      <c r="D55" s="371"/>
      <c r="E55" s="642">
        <f>SUM(E56:E57)</f>
        <v>8100</v>
      </c>
      <c r="F55" s="642">
        <f>SUM(F56:F57)</f>
        <v>8100</v>
      </c>
      <c r="G55" s="642">
        <f>SUM(G56:G57)</f>
        <v>1958.81</v>
      </c>
      <c r="H55" s="145">
        <f>+O55+G55</f>
        <v>1986.45</v>
      </c>
      <c r="I55" s="145">
        <f>+I56+I57</f>
        <v>39.840000000000003</v>
      </c>
      <c r="J55" s="145"/>
      <c r="K55" s="145">
        <f t="shared" ref="K55:K61" si="17">+F55-H55</f>
        <v>6113.55</v>
      </c>
      <c r="L55" s="145">
        <f t="shared" ref="L55:L72" si="18">+E55-H55</f>
        <v>6113.55</v>
      </c>
      <c r="M55" s="153">
        <f t="shared" si="16"/>
        <v>24.524074074074075</v>
      </c>
      <c r="N55" s="6"/>
      <c r="O55" s="135">
        <v>27.64</v>
      </c>
    </row>
    <row r="56" spans="1:22" ht="14.25" customHeight="1">
      <c r="A56" s="146" t="s">
        <v>275</v>
      </c>
      <c r="B56" s="148" t="s">
        <v>276</v>
      </c>
      <c r="C56" s="387">
        <v>10000</v>
      </c>
      <c r="D56" s="372"/>
      <c r="E56" s="643">
        <v>3800</v>
      </c>
      <c r="F56" s="148">
        <v>3800</v>
      </c>
      <c r="G56" s="148">
        <v>1604.23</v>
      </c>
      <c r="H56" s="148">
        <f t="shared" ref="H56:H63" si="19">O56+G56</f>
        <v>1631.8700000000001</v>
      </c>
      <c r="I56" s="148">
        <v>39.840000000000003</v>
      </c>
      <c r="J56" s="148"/>
      <c r="K56" s="145">
        <f t="shared" si="17"/>
        <v>2168.13</v>
      </c>
      <c r="L56" s="145">
        <f t="shared" si="18"/>
        <v>2168.13</v>
      </c>
      <c r="M56" s="154">
        <f t="shared" si="16"/>
        <v>42.94394736842105</v>
      </c>
      <c r="N56" s="6"/>
      <c r="O56" s="36">
        <v>27.64</v>
      </c>
    </row>
    <row r="57" spans="1:22" ht="15" customHeight="1">
      <c r="A57" s="146" t="s">
        <v>277</v>
      </c>
      <c r="B57" s="148" t="s">
        <v>278</v>
      </c>
      <c r="C57" s="387">
        <v>5000</v>
      </c>
      <c r="D57" s="373"/>
      <c r="E57" s="643">
        <v>4300</v>
      </c>
      <c r="F57" s="148">
        <v>4300</v>
      </c>
      <c r="G57" s="148">
        <v>354.58</v>
      </c>
      <c r="H57" s="148">
        <f t="shared" si="19"/>
        <v>354.58</v>
      </c>
      <c r="I57" s="148"/>
      <c r="J57" s="148"/>
      <c r="K57" s="145">
        <f t="shared" si="17"/>
        <v>3945.42</v>
      </c>
      <c r="L57" s="145">
        <f t="shared" si="18"/>
        <v>3945.42</v>
      </c>
      <c r="M57" s="154">
        <f t="shared" si="16"/>
        <v>8.2460465116279078</v>
      </c>
      <c r="N57" s="6"/>
      <c r="O57" s="36"/>
      <c r="Q57" s="36" t="s">
        <v>12</v>
      </c>
    </row>
    <row r="58" spans="1:22">
      <c r="A58" s="152" t="s">
        <v>279</v>
      </c>
      <c r="B58" s="145" t="s">
        <v>280</v>
      </c>
      <c r="C58" s="386">
        <f>SUM(C59:C61)</f>
        <v>210000</v>
      </c>
      <c r="D58" s="371"/>
      <c r="E58" s="642">
        <f>SUM(E59:E61)</f>
        <v>152400</v>
      </c>
      <c r="F58" s="145">
        <f>SUM(F59:F61)</f>
        <v>77400</v>
      </c>
      <c r="G58" s="145">
        <f>SUM(G59:G61)</f>
        <v>4589</v>
      </c>
      <c r="H58" s="670">
        <f t="shared" si="19"/>
        <v>6421</v>
      </c>
      <c r="I58" s="145">
        <f>SUM(I59:I61)</f>
        <v>6421</v>
      </c>
      <c r="J58" s="145">
        <f>SUM(J59:J61)</f>
        <v>5533</v>
      </c>
      <c r="K58" s="145">
        <f t="shared" si="17"/>
        <v>70979</v>
      </c>
      <c r="L58" s="145">
        <f t="shared" si="18"/>
        <v>145979</v>
      </c>
      <c r="M58" s="153">
        <f t="shared" si="16"/>
        <v>8.2958656330749356</v>
      </c>
      <c r="N58" s="6"/>
      <c r="O58" s="135">
        <f>O59+O60</f>
        <v>1832</v>
      </c>
      <c r="P58" s="36"/>
      <c r="Q58" s="36" t="s">
        <v>12</v>
      </c>
      <c r="R58" s="2" t="s">
        <v>12</v>
      </c>
    </row>
    <row r="59" spans="1:22" ht="15.75" customHeight="1">
      <c r="A59" s="151" t="s">
        <v>281</v>
      </c>
      <c r="B59" s="148" t="s">
        <v>282</v>
      </c>
      <c r="C59" s="387">
        <v>150000</v>
      </c>
      <c r="D59" s="372"/>
      <c r="E59" s="643">
        <v>124150</v>
      </c>
      <c r="F59" s="148">
        <v>49150</v>
      </c>
      <c r="G59" s="148">
        <v>4337</v>
      </c>
      <c r="H59" s="669">
        <f t="shared" si="19"/>
        <v>4569</v>
      </c>
      <c r="I59" s="148">
        <v>4569</v>
      </c>
      <c r="J59" s="148">
        <v>3933</v>
      </c>
      <c r="K59" s="148">
        <f t="shared" si="17"/>
        <v>44581</v>
      </c>
      <c r="L59" s="148">
        <f t="shared" si="18"/>
        <v>119581</v>
      </c>
      <c r="M59" s="154">
        <f t="shared" si="16"/>
        <v>9.2960325534079349</v>
      </c>
      <c r="O59" s="321">
        <v>232</v>
      </c>
      <c r="P59" s="156"/>
    </row>
    <row r="60" spans="1:22" ht="13.5" customHeight="1">
      <c r="A60" s="146" t="s">
        <v>283</v>
      </c>
      <c r="B60" s="147" t="s">
        <v>284</v>
      </c>
      <c r="C60" s="387">
        <v>50000</v>
      </c>
      <c r="D60" s="372"/>
      <c r="E60" s="643">
        <v>20600</v>
      </c>
      <c r="F60" s="148">
        <v>20600</v>
      </c>
      <c r="G60" s="148"/>
      <c r="H60" s="669">
        <f t="shared" si="19"/>
        <v>1600</v>
      </c>
      <c r="I60" s="148">
        <v>1600</v>
      </c>
      <c r="J60" s="148">
        <v>1600</v>
      </c>
      <c r="K60" s="148">
        <f t="shared" si="17"/>
        <v>19000</v>
      </c>
      <c r="L60" s="148">
        <f t="shared" si="18"/>
        <v>19000</v>
      </c>
      <c r="M60" s="154">
        <f t="shared" si="16"/>
        <v>7.766990291262136</v>
      </c>
      <c r="O60" s="36">
        <v>1600</v>
      </c>
    </row>
    <row r="61" spans="1:22" ht="12" customHeight="1">
      <c r="A61" s="146">
        <v>143</v>
      </c>
      <c r="B61" s="147" t="s">
        <v>285</v>
      </c>
      <c r="C61" s="387">
        <v>10000</v>
      </c>
      <c r="D61" s="373"/>
      <c r="E61" s="643">
        <v>7650</v>
      </c>
      <c r="F61" s="148">
        <v>7650</v>
      </c>
      <c r="G61" s="148">
        <v>252</v>
      </c>
      <c r="H61" s="669">
        <f t="shared" si="19"/>
        <v>252</v>
      </c>
      <c r="I61" s="148">
        <v>252</v>
      </c>
      <c r="J61" s="148"/>
      <c r="K61" s="148">
        <f t="shared" si="17"/>
        <v>7398</v>
      </c>
      <c r="L61" s="148">
        <f t="shared" si="18"/>
        <v>7398</v>
      </c>
      <c r="M61" s="154">
        <f t="shared" si="16"/>
        <v>3.2941176470588234</v>
      </c>
      <c r="O61" s="36"/>
      <c r="R61" s="2" t="s">
        <v>12</v>
      </c>
    </row>
    <row r="62" spans="1:22">
      <c r="A62" s="152" t="s">
        <v>286</v>
      </c>
      <c r="B62" s="145" t="s">
        <v>287</v>
      </c>
      <c r="C62" s="386">
        <f>SUM(C63:C65)</f>
        <v>123336</v>
      </c>
      <c r="D62" s="371"/>
      <c r="E62" s="642">
        <f>SUM(E63:E66)</f>
        <v>92036</v>
      </c>
      <c r="F62" s="145">
        <f>+F63+F64+F65+F66</f>
        <v>82036</v>
      </c>
      <c r="G62" s="145">
        <f>+G63+G64+G65+G66</f>
        <v>3034.89</v>
      </c>
      <c r="H62" s="145">
        <f t="shared" si="19"/>
        <v>4211.82</v>
      </c>
      <c r="I62" s="145">
        <f>+I63+I64+I65+I66</f>
        <v>2383.84</v>
      </c>
      <c r="J62" s="145">
        <f>SUM(J63:J66)</f>
        <v>564.5</v>
      </c>
      <c r="K62" s="145">
        <f t="shared" ref="K62:K76" si="20">+F62-H62</f>
        <v>77824.179999999993</v>
      </c>
      <c r="L62" s="145">
        <f t="shared" si="18"/>
        <v>87824.18</v>
      </c>
      <c r="M62" s="153">
        <f t="shared" si="16"/>
        <v>5.1341118533326835</v>
      </c>
      <c r="N62" s="6"/>
      <c r="O62" s="135">
        <f>O63+O64</f>
        <v>1176.9299999999998</v>
      </c>
      <c r="P62" s="36"/>
      <c r="Q62" s="36" t="s">
        <v>12</v>
      </c>
      <c r="R62" s="2" t="s">
        <v>12</v>
      </c>
    </row>
    <row r="63" spans="1:22" ht="15" customHeight="1">
      <c r="A63" s="151" t="s">
        <v>288</v>
      </c>
      <c r="B63" s="148" t="s">
        <v>282</v>
      </c>
      <c r="C63" s="387">
        <v>58056</v>
      </c>
      <c r="D63" s="372"/>
      <c r="E63" s="643">
        <v>49056</v>
      </c>
      <c r="F63" s="148">
        <v>49056</v>
      </c>
      <c r="G63" s="148">
        <v>968.16</v>
      </c>
      <c r="H63" s="669">
        <f t="shared" si="19"/>
        <v>1132.67</v>
      </c>
      <c r="I63" s="148">
        <v>1132.67</v>
      </c>
      <c r="J63" s="148">
        <v>564.5</v>
      </c>
      <c r="K63" s="148">
        <f t="shared" si="20"/>
        <v>47923.33</v>
      </c>
      <c r="L63" s="148">
        <f t="shared" si="18"/>
        <v>47923.33</v>
      </c>
      <c r="M63" s="154">
        <f t="shared" si="16"/>
        <v>2.3089326484018264</v>
      </c>
      <c r="O63" s="321">
        <v>164.51</v>
      </c>
      <c r="P63" s="156"/>
      <c r="Q63" s="36"/>
    </row>
    <row r="64" spans="1:22" ht="12.75" customHeight="1">
      <c r="A64" s="146" t="s">
        <v>289</v>
      </c>
      <c r="B64" s="147" t="s">
        <v>284</v>
      </c>
      <c r="C64" s="387">
        <v>41500</v>
      </c>
      <c r="D64" s="373"/>
      <c r="E64" s="643">
        <v>16500</v>
      </c>
      <c r="F64" s="148">
        <v>16500</v>
      </c>
      <c r="G64" s="148">
        <v>1827.98</v>
      </c>
      <c r="H64" s="669">
        <f t="shared" ref="H64:H66" si="21">O64+G64</f>
        <v>2840.4</v>
      </c>
      <c r="I64" s="148">
        <v>1012.42</v>
      </c>
      <c r="J64" s="148"/>
      <c r="K64" s="148">
        <f t="shared" si="20"/>
        <v>13659.6</v>
      </c>
      <c r="L64" s="148">
        <f t="shared" si="18"/>
        <v>13659.6</v>
      </c>
      <c r="M64" s="154">
        <f t="shared" si="16"/>
        <v>17.214545454545455</v>
      </c>
      <c r="O64" s="36">
        <v>1012.42</v>
      </c>
    </row>
    <row r="65" spans="1:18" ht="12.75" customHeight="1">
      <c r="A65" s="146">
        <v>153</v>
      </c>
      <c r="B65" s="147" t="s">
        <v>290</v>
      </c>
      <c r="C65" s="387">
        <v>23780</v>
      </c>
      <c r="D65" s="372"/>
      <c r="E65" s="643">
        <v>24480</v>
      </c>
      <c r="F65" s="148">
        <v>14480</v>
      </c>
      <c r="G65" s="148">
        <v>121.84</v>
      </c>
      <c r="H65" s="669">
        <f t="shared" si="21"/>
        <v>121.84</v>
      </c>
      <c r="I65" s="387">
        <v>121.84</v>
      </c>
      <c r="J65" s="148"/>
      <c r="K65" s="148">
        <f t="shared" si="20"/>
        <v>14358.16</v>
      </c>
      <c r="L65" s="148">
        <f t="shared" si="18"/>
        <v>24358.16</v>
      </c>
      <c r="M65" s="154">
        <f t="shared" si="16"/>
        <v>0.84143646408839778</v>
      </c>
      <c r="O65" s="36"/>
    </row>
    <row r="66" spans="1:18" ht="14.1" customHeight="1">
      <c r="A66" s="146">
        <v>154</v>
      </c>
      <c r="B66" s="147" t="s">
        <v>291</v>
      </c>
      <c r="C66" s="387"/>
      <c r="D66" s="372"/>
      <c r="E66" s="643">
        <v>2000</v>
      </c>
      <c r="F66" s="148">
        <v>2000</v>
      </c>
      <c r="G66" s="148">
        <v>116.91</v>
      </c>
      <c r="H66" s="669">
        <f t="shared" si="21"/>
        <v>116.91</v>
      </c>
      <c r="I66" s="148">
        <v>116.91</v>
      </c>
      <c r="J66" s="148"/>
      <c r="K66" s="148">
        <f t="shared" si="20"/>
        <v>1883.09</v>
      </c>
      <c r="L66" s="148">
        <f t="shared" si="18"/>
        <v>1883.09</v>
      </c>
      <c r="M66" s="154">
        <f t="shared" si="16"/>
        <v>5.8455000000000004</v>
      </c>
      <c r="O66" s="36"/>
    </row>
    <row r="67" spans="1:18" ht="15.75" customHeight="1">
      <c r="A67" s="152" t="s">
        <v>292</v>
      </c>
      <c r="B67" s="145" t="s">
        <v>293</v>
      </c>
      <c r="C67" s="386">
        <f>SUM(C68:C72)</f>
        <v>274019</v>
      </c>
      <c r="D67" s="371"/>
      <c r="E67" s="642">
        <f>SUM(E68:E72)</f>
        <v>429985</v>
      </c>
      <c r="F67" s="145">
        <f>SUM(F68:F72)</f>
        <v>418657</v>
      </c>
      <c r="G67" s="145">
        <f>SUM(G68:G72)</f>
        <v>50888.25</v>
      </c>
      <c r="H67" s="145">
        <f>+O67+G67</f>
        <v>53614.11</v>
      </c>
      <c r="I67" s="145">
        <f>+I68+I69+I70+I72+I71</f>
        <v>4010.45</v>
      </c>
      <c r="J67" s="145">
        <f>+J68+J69+J70+J72+J71</f>
        <v>0</v>
      </c>
      <c r="K67" s="145">
        <f t="shared" si="20"/>
        <v>365042.89</v>
      </c>
      <c r="L67" s="152">
        <f t="shared" si="18"/>
        <v>376370.89</v>
      </c>
      <c r="M67" s="153">
        <f t="shared" si="16"/>
        <v>12.806213678500539</v>
      </c>
      <c r="O67" s="135">
        <f>O71+O72</f>
        <v>2725.86</v>
      </c>
      <c r="P67" s="36"/>
      <c r="Q67" s="36"/>
    </row>
    <row r="68" spans="1:18" ht="0.75" customHeight="1">
      <c r="A68" s="146">
        <v>162</v>
      </c>
      <c r="B68" s="148" t="s">
        <v>294</v>
      </c>
      <c r="C68" s="387">
        <v>0</v>
      </c>
      <c r="D68" s="372"/>
      <c r="E68" s="643">
        <v>0</v>
      </c>
      <c r="F68" s="148">
        <v>0</v>
      </c>
      <c r="G68" s="148"/>
      <c r="H68" s="148"/>
      <c r="I68" s="148"/>
      <c r="J68" s="148"/>
      <c r="K68" s="145">
        <f t="shared" si="20"/>
        <v>0</v>
      </c>
      <c r="L68" s="152">
        <f t="shared" si="18"/>
        <v>0</v>
      </c>
      <c r="M68" s="153"/>
      <c r="O68" s="36"/>
    </row>
    <row r="69" spans="1:18" ht="13.5" hidden="1" customHeight="1">
      <c r="A69" s="151" t="s">
        <v>295</v>
      </c>
      <c r="B69" s="148" t="s">
        <v>296</v>
      </c>
      <c r="C69" s="387"/>
      <c r="D69" s="372"/>
      <c r="E69" s="643">
        <v>0</v>
      </c>
      <c r="F69" s="148">
        <v>0</v>
      </c>
      <c r="G69" s="148"/>
      <c r="H69" s="148">
        <f>+O69+G69</f>
        <v>0</v>
      </c>
      <c r="I69" s="148"/>
      <c r="J69" s="148"/>
      <c r="K69" s="145">
        <f t="shared" si="20"/>
        <v>0</v>
      </c>
      <c r="L69" s="152">
        <f t="shared" si="18"/>
        <v>0</v>
      </c>
      <c r="M69" s="154" t="s">
        <v>12</v>
      </c>
      <c r="O69" s="36">
        <v>0</v>
      </c>
    </row>
    <row r="70" spans="1:18" ht="15" customHeight="1">
      <c r="A70" s="151" t="s">
        <v>297</v>
      </c>
      <c r="B70" s="148" t="s">
        <v>298</v>
      </c>
      <c r="C70" s="387"/>
      <c r="D70" s="372"/>
      <c r="E70" s="643">
        <v>219000</v>
      </c>
      <c r="F70" s="148">
        <v>219000</v>
      </c>
      <c r="G70" s="148">
        <v>2622.12</v>
      </c>
      <c r="H70" s="148">
        <f>+O70+G70</f>
        <v>2622.12</v>
      </c>
      <c r="I70" s="148"/>
      <c r="J70" s="148"/>
      <c r="K70" s="145">
        <f t="shared" si="20"/>
        <v>216377.88</v>
      </c>
      <c r="L70" s="152">
        <f t="shared" si="18"/>
        <v>216377.88</v>
      </c>
      <c r="M70" s="154">
        <f>+H70*100/F70</f>
        <v>1.1973150684931506</v>
      </c>
      <c r="O70" s="36">
        <v>0</v>
      </c>
    </row>
    <row r="71" spans="1:18" ht="15" customHeight="1">
      <c r="A71" s="146">
        <v>165</v>
      </c>
      <c r="B71" s="148" t="s">
        <v>299</v>
      </c>
      <c r="C71" s="387">
        <v>146641</v>
      </c>
      <c r="D71" s="372"/>
      <c r="E71" s="643">
        <v>174195</v>
      </c>
      <c r="F71" s="148">
        <v>174195</v>
      </c>
      <c r="G71" s="148">
        <v>31742.41</v>
      </c>
      <c r="H71" s="148">
        <f t="shared" ref="H71:H72" si="22">+O71+G71</f>
        <v>34449.51</v>
      </c>
      <c r="I71" s="148">
        <v>197.1</v>
      </c>
      <c r="J71" s="148"/>
      <c r="K71" s="148">
        <f t="shared" si="20"/>
        <v>139745.49</v>
      </c>
      <c r="L71" s="151">
        <f t="shared" si="18"/>
        <v>139745.49</v>
      </c>
      <c r="M71" s="154">
        <f>+H71*100/F71</f>
        <v>19.776405752174288</v>
      </c>
      <c r="O71" s="36">
        <v>2707.1</v>
      </c>
      <c r="R71" s="36"/>
    </row>
    <row r="72" spans="1:18" ht="12.75" customHeight="1">
      <c r="A72" s="146" t="s">
        <v>300</v>
      </c>
      <c r="B72" s="147" t="s">
        <v>301</v>
      </c>
      <c r="C72" s="387">
        <v>127378</v>
      </c>
      <c r="D72" s="372"/>
      <c r="E72" s="643">
        <v>36790</v>
      </c>
      <c r="F72" s="148">
        <v>25462</v>
      </c>
      <c r="G72" s="148">
        <v>16523.72</v>
      </c>
      <c r="H72" s="148">
        <f t="shared" si="22"/>
        <v>16542.48</v>
      </c>
      <c r="I72" s="148">
        <v>3813.35</v>
      </c>
      <c r="J72" s="148"/>
      <c r="K72" s="148">
        <f t="shared" si="20"/>
        <v>8919.52</v>
      </c>
      <c r="L72" s="151">
        <f t="shared" si="18"/>
        <v>20247.52</v>
      </c>
      <c r="M72" s="154">
        <f>+H72*100/F72</f>
        <v>64.969287565784299</v>
      </c>
      <c r="O72" s="36">
        <v>18.760000000000002</v>
      </c>
    </row>
    <row r="73" spans="1:18">
      <c r="A73" s="157">
        <v>170</v>
      </c>
      <c r="B73" s="158" t="s">
        <v>302</v>
      </c>
      <c r="C73" s="386">
        <f>SUM(C74:C75)</f>
        <v>312000</v>
      </c>
      <c r="D73" s="371"/>
      <c r="E73" s="642">
        <f>+E74+E75</f>
        <v>255776</v>
      </c>
      <c r="F73" s="145">
        <f>SUM(F74:F75)</f>
        <v>30546</v>
      </c>
      <c r="G73" s="145">
        <f>SUM(G74:G75)</f>
        <v>5088.7</v>
      </c>
      <c r="H73" s="145">
        <f>+O73+G73</f>
        <v>10007.77</v>
      </c>
      <c r="I73" s="145">
        <f>+I75</f>
        <v>7746.1</v>
      </c>
      <c r="J73" s="145">
        <f>+J75</f>
        <v>1874.07</v>
      </c>
      <c r="K73" s="145">
        <f t="shared" si="20"/>
        <v>20538.23</v>
      </c>
      <c r="L73" s="145">
        <f>+E73-H73</f>
        <v>245768.23</v>
      </c>
      <c r="M73" s="153">
        <f>+H73*100/F73</f>
        <v>32.762947685457995</v>
      </c>
      <c r="O73" s="135">
        <v>4919.07</v>
      </c>
    </row>
    <row r="74" spans="1:18">
      <c r="A74" s="159">
        <v>171</v>
      </c>
      <c r="B74" s="160" t="s">
        <v>303</v>
      </c>
      <c r="C74" s="387">
        <v>143000</v>
      </c>
      <c r="D74" s="372"/>
      <c r="E74" s="643">
        <v>86776</v>
      </c>
      <c r="F74" s="148">
        <v>776</v>
      </c>
      <c r="G74" s="145"/>
      <c r="H74" s="145"/>
      <c r="I74" s="145"/>
      <c r="J74" s="145"/>
      <c r="K74" s="145">
        <f t="shared" si="20"/>
        <v>776</v>
      </c>
      <c r="L74" s="148">
        <f>+E74-H74</f>
        <v>86776</v>
      </c>
      <c r="M74" s="153"/>
      <c r="O74" s="36"/>
    </row>
    <row r="75" spans="1:18" ht="15" customHeight="1">
      <c r="A75" s="146" t="s">
        <v>304</v>
      </c>
      <c r="B75" s="147" t="s">
        <v>305</v>
      </c>
      <c r="C75" s="387">
        <v>169000</v>
      </c>
      <c r="D75" s="372"/>
      <c r="E75" s="643">
        <v>169000</v>
      </c>
      <c r="F75" s="148">
        <v>29770</v>
      </c>
      <c r="G75" s="148">
        <v>5088.7</v>
      </c>
      <c r="H75" s="148">
        <f>O75+G75</f>
        <v>10007.77</v>
      </c>
      <c r="I75" s="148">
        <v>7746.1</v>
      </c>
      <c r="J75" s="148">
        <v>1874.07</v>
      </c>
      <c r="K75" s="148">
        <f t="shared" si="20"/>
        <v>19762.23</v>
      </c>
      <c r="L75" s="148">
        <f>+E75-H75</f>
        <v>158992.23000000001</v>
      </c>
      <c r="M75" s="154">
        <f>+H75*100/F75</f>
        <v>33.616963385959018</v>
      </c>
      <c r="O75" s="36">
        <v>4919.07</v>
      </c>
    </row>
    <row r="76" spans="1:18">
      <c r="A76" s="152" t="s">
        <v>306</v>
      </c>
      <c r="B76" s="145" t="s">
        <v>307</v>
      </c>
      <c r="C76" s="386">
        <f>SUM(C77:C82)</f>
        <v>195992</v>
      </c>
      <c r="D76" s="371"/>
      <c r="E76" s="642">
        <f>SUM(E77:E82)</f>
        <v>251852</v>
      </c>
      <c r="F76" s="145">
        <v>205342</v>
      </c>
      <c r="G76" s="145">
        <f>SUM(G77:G82)</f>
        <v>64082.320000000007</v>
      </c>
      <c r="H76" s="145">
        <f>+O76+G76</f>
        <v>66683.780000000013</v>
      </c>
      <c r="I76" s="145">
        <f>SUM(I77:I82)</f>
        <v>766.3</v>
      </c>
      <c r="J76" s="145">
        <f>SUM(J77:J82)</f>
        <v>0</v>
      </c>
      <c r="K76" s="145">
        <f t="shared" si="20"/>
        <v>138658.21999999997</v>
      </c>
      <c r="L76" s="145">
        <f>+E76-H76</f>
        <v>185168.21999999997</v>
      </c>
      <c r="M76" s="153">
        <f>+H76*100/F76</f>
        <v>32.474496206328958</v>
      </c>
      <c r="N76" s="6"/>
      <c r="O76" s="135">
        <v>2601.46</v>
      </c>
      <c r="Q76" s="36"/>
    </row>
    <row r="77" spans="1:18" ht="14.25" customHeight="1">
      <c r="A77" s="146">
        <v>181</v>
      </c>
      <c r="B77" s="148" t="s">
        <v>308</v>
      </c>
      <c r="C77" s="387">
        <v>25160</v>
      </c>
      <c r="D77" s="372"/>
      <c r="E77" s="643">
        <v>28960</v>
      </c>
      <c r="F77" s="148">
        <v>3800</v>
      </c>
      <c r="G77" s="148"/>
      <c r="H77" s="148"/>
      <c r="I77" s="148"/>
      <c r="J77" s="148"/>
      <c r="K77" s="148">
        <f t="shared" ref="K77:K82" si="23">+F77-H77</f>
        <v>3800</v>
      </c>
      <c r="L77" s="148">
        <f t="shared" ref="L77:L82" si="24">+E77-H77</f>
        <v>28960</v>
      </c>
      <c r="M77" s="153">
        <f>+H77*100/F77</f>
        <v>0</v>
      </c>
      <c r="O77" s="36"/>
    </row>
    <row r="78" spans="1:18" ht="14.25" customHeight="1">
      <c r="A78" s="151" t="s">
        <v>309</v>
      </c>
      <c r="B78" s="148" t="s">
        <v>310</v>
      </c>
      <c r="C78" s="387">
        <v>55209</v>
      </c>
      <c r="D78" s="372"/>
      <c r="E78" s="643">
        <v>46269</v>
      </c>
      <c r="F78" s="148">
        <v>46269</v>
      </c>
      <c r="G78" s="148">
        <v>13925</v>
      </c>
      <c r="H78" s="148">
        <f>O78+G78</f>
        <v>16526.46</v>
      </c>
      <c r="I78" s="148">
        <v>744.9</v>
      </c>
      <c r="J78" s="148"/>
      <c r="K78" s="148">
        <f t="shared" si="23"/>
        <v>29742.54</v>
      </c>
      <c r="L78" s="148">
        <f t="shared" si="24"/>
        <v>29742.54</v>
      </c>
      <c r="M78" s="154">
        <f>+H78*100/F78</f>
        <v>35.718213058419245</v>
      </c>
      <c r="O78" s="36">
        <v>2601.46</v>
      </c>
    </row>
    <row r="79" spans="1:18" ht="12.75" customHeight="1">
      <c r="A79" s="146">
        <v>183</v>
      </c>
      <c r="B79" s="148" t="s">
        <v>311</v>
      </c>
      <c r="C79" s="387">
        <v>5000</v>
      </c>
      <c r="D79" s="372"/>
      <c r="E79" s="643">
        <v>200</v>
      </c>
      <c r="F79" s="148">
        <v>200</v>
      </c>
      <c r="G79" s="148"/>
      <c r="H79" s="148">
        <f t="shared" ref="H79:H82" si="25">O79+G79</f>
        <v>0</v>
      </c>
      <c r="I79" s="148"/>
      <c r="J79" s="148"/>
      <c r="K79" s="148">
        <f t="shared" si="23"/>
        <v>200</v>
      </c>
      <c r="L79" s="148">
        <f t="shared" si="24"/>
        <v>200</v>
      </c>
      <c r="M79" s="154">
        <f>+H79*100/F79</f>
        <v>0</v>
      </c>
      <c r="O79" s="36"/>
    </row>
    <row r="80" spans="1:18" ht="12" customHeight="1">
      <c r="A80" s="146">
        <v>184</v>
      </c>
      <c r="B80" s="148" t="s">
        <v>312</v>
      </c>
      <c r="C80" s="387"/>
      <c r="D80" s="372"/>
      <c r="E80" s="643">
        <v>200</v>
      </c>
      <c r="F80" s="148">
        <v>200</v>
      </c>
      <c r="G80" s="148"/>
      <c r="H80" s="148">
        <f t="shared" si="25"/>
        <v>0</v>
      </c>
      <c r="I80" s="148"/>
      <c r="J80" s="148"/>
      <c r="K80" s="148">
        <f t="shared" si="23"/>
        <v>200</v>
      </c>
      <c r="L80" s="148">
        <f t="shared" si="24"/>
        <v>200</v>
      </c>
      <c r="M80" s="154">
        <f t="shared" ref="M80:M84" si="26">+H80*100/F80</f>
        <v>0</v>
      </c>
      <c r="O80" s="36"/>
    </row>
    <row r="81" spans="1:19" ht="12.75" customHeight="1">
      <c r="A81" s="146">
        <v>185</v>
      </c>
      <c r="B81" s="148" t="s">
        <v>313</v>
      </c>
      <c r="C81" s="387">
        <v>7120</v>
      </c>
      <c r="D81" s="372"/>
      <c r="E81" s="643">
        <v>48920</v>
      </c>
      <c r="F81" s="148">
        <v>48920</v>
      </c>
      <c r="G81" s="148">
        <v>2469.56</v>
      </c>
      <c r="H81" s="148">
        <f t="shared" si="25"/>
        <v>2469.56</v>
      </c>
      <c r="I81" s="148">
        <v>21.4</v>
      </c>
      <c r="J81" s="148"/>
      <c r="K81" s="148">
        <f t="shared" si="23"/>
        <v>46450.44</v>
      </c>
      <c r="L81" s="148">
        <f t="shared" si="24"/>
        <v>46450.44</v>
      </c>
      <c r="M81" s="154">
        <f t="shared" si="26"/>
        <v>5.0481602616516765</v>
      </c>
      <c r="O81" s="36"/>
    </row>
    <row r="82" spans="1:19" ht="15.75" customHeight="1">
      <c r="A82" s="146">
        <v>189</v>
      </c>
      <c r="B82" s="147" t="s">
        <v>314</v>
      </c>
      <c r="C82" s="387">
        <v>103503</v>
      </c>
      <c r="D82" s="372"/>
      <c r="E82" s="643">
        <v>127303</v>
      </c>
      <c r="F82" s="148">
        <v>105953</v>
      </c>
      <c r="G82" s="148">
        <v>47687.76</v>
      </c>
      <c r="H82" s="148">
        <f t="shared" si="25"/>
        <v>47687.76</v>
      </c>
      <c r="I82" s="148"/>
      <c r="J82" s="148"/>
      <c r="K82" s="145">
        <f t="shared" si="23"/>
        <v>58265.24</v>
      </c>
      <c r="L82" s="145">
        <f t="shared" si="24"/>
        <v>79615.239999999991</v>
      </c>
      <c r="M82" s="154">
        <f t="shared" si="26"/>
        <v>45.008409389068738</v>
      </c>
      <c r="O82" s="36"/>
    </row>
    <row r="83" spans="1:19" ht="12" customHeight="1">
      <c r="A83" s="607">
        <v>190</v>
      </c>
      <c r="B83" s="144" t="s">
        <v>315</v>
      </c>
      <c r="C83" s="386">
        <f>+C85+C89</f>
        <v>0</v>
      </c>
      <c r="D83" s="371"/>
      <c r="E83" s="642">
        <f>SUM(E84:E92)</f>
        <v>301058</v>
      </c>
      <c r="F83" s="145">
        <f>SUM(F84:F92)</f>
        <v>301058</v>
      </c>
      <c r="G83" s="145">
        <f>SUM(G84:G92)</f>
        <v>82265.150000000009</v>
      </c>
      <c r="H83" s="145">
        <f>SUM(H84:H92)</f>
        <v>243722.57</v>
      </c>
      <c r="I83" s="145">
        <f>SUM(I85:I92)</f>
        <v>232945.88</v>
      </c>
      <c r="J83" s="145">
        <f>SUM(J84:J92)</f>
        <v>158869.64000000001</v>
      </c>
      <c r="K83" s="145">
        <f>+F83-H83</f>
        <v>57335.429999999993</v>
      </c>
      <c r="L83" s="145">
        <f>+E83-H83</f>
        <v>57335.429999999993</v>
      </c>
      <c r="M83" s="153">
        <f t="shared" si="26"/>
        <v>80.955354117811183</v>
      </c>
      <c r="O83" s="135">
        <v>161457.42000000001</v>
      </c>
    </row>
    <row r="84" spans="1:19" ht="15.75" customHeight="1">
      <c r="A84" s="608">
        <v>191</v>
      </c>
      <c r="B84" s="147" t="s">
        <v>316</v>
      </c>
      <c r="C84" s="386"/>
      <c r="D84" s="371"/>
      <c r="E84" s="643">
        <v>4800</v>
      </c>
      <c r="F84" s="148">
        <v>4800</v>
      </c>
      <c r="G84" s="145">
        <v>0</v>
      </c>
      <c r="H84" s="148">
        <f>+O84+G84</f>
        <v>0</v>
      </c>
      <c r="I84" s="148"/>
      <c r="J84" s="148"/>
      <c r="K84" s="148">
        <f t="shared" ref="K84:K93" si="27">+F84-H84</f>
        <v>4800</v>
      </c>
      <c r="L84" s="148">
        <f t="shared" ref="L84:L93" si="28">+E84-H84</f>
        <v>4800</v>
      </c>
      <c r="M84" s="153">
        <f t="shared" si="26"/>
        <v>0</v>
      </c>
      <c r="O84" s="36">
        <v>0</v>
      </c>
    </row>
    <row r="85" spans="1:19" ht="11.25" customHeight="1">
      <c r="A85" s="608">
        <v>192</v>
      </c>
      <c r="B85" s="147" t="s">
        <v>317</v>
      </c>
      <c r="C85" s="387"/>
      <c r="D85" s="372"/>
      <c r="E85" s="643">
        <v>233720</v>
      </c>
      <c r="F85" s="148">
        <v>233720</v>
      </c>
      <c r="G85" s="148">
        <v>66063.039999999994</v>
      </c>
      <c r="H85" s="148">
        <f>O85+G85</f>
        <v>227520.46000000002</v>
      </c>
      <c r="I85" s="148">
        <v>227520.46</v>
      </c>
      <c r="J85" s="148">
        <v>152192.26</v>
      </c>
      <c r="K85" s="148">
        <f t="shared" si="27"/>
        <v>6199.539999999979</v>
      </c>
      <c r="L85" s="148">
        <f t="shared" si="28"/>
        <v>6199.539999999979</v>
      </c>
      <c r="M85" s="154">
        <f>+H85*100/F85</f>
        <v>97.347449940099281</v>
      </c>
      <c r="O85" s="36">
        <v>161457.42000000001</v>
      </c>
    </row>
    <row r="86" spans="1:19" ht="17.25" hidden="1" customHeight="1">
      <c r="A86" s="608">
        <v>193</v>
      </c>
      <c r="B86" s="147" t="s">
        <v>318</v>
      </c>
      <c r="C86" s="387"/>
      <c r="D86" s="372"/>
      <c r="E86" s="643"/>
      <c r="F86" s="148"/>
      <c r="G86" s="148"/>
      <c r="H86" s="148">
        <f t="shared" ref="H86:H92" si="29">O86+G86</f>
        <v>0</v>
      </c>
      <c r="I86" s="148"/>
      <c r="J86" s="148"/>
      <c r="K86" s="145">
        <f t="shared" si="27"/>
        <v>0</v>
      </c>
      <c r="L86" s="145">
        <f t="shared" si="28"/>
        <v>0</v>
      </c>
      <c r="M86" s="154" t="e">
        <f t="shared" ref="M86:M87" si="30">+H86*100/F86</f>
        <v>#DIV/0!</v>
      </c>
      <c r="O86" s="36"/>
    </row>
    <row r="87" spans="1:19" ht="12.75" customHeight="1">
      <c r="A87" s="608">
        <v>194</v>
      </c>
      <c r="B87" s="147" t="s">
        <v>319</v>
      </c>
      <c r="C87" s="387"/>
      <c r="D87" s="372"/>
      <c r="E87" s="643">
        <v>650</v>
      </c>
      <c r="F87" s="148">
        <v>650</v>
      </c>
      <c r="G87" s="148"/>
      <c r="H87" s="148">
        <f t="shared" si="29"/>
        <v>0</v>
      </c>
      <c r="I87" s="148"/>
      <c r="J87" s="148"/>
      <c r="K87" s="145">
        <f t="shared" si="27"/>
        <v>650</v>
      </c>
      <c r="L87" s="145">
        <f t="shared" si="28"/>
        <v>650</v>
      </c>
      <c r="M87" s="154">
        <f t="shared" si="30"/>
        <v>0</v>
      </c>
      <c r="O87" s="36"/>
    </row>
    <row r="88" spans="1:19" ht="13.5" customHeight="1">
      <c r="A88" s="608">
        <v>195</v>
      </c>
      <c r="B88" s="147" t="s">
        <v>320</v>
      </c>
      <c r="C88" s="387"/>
      <c r="D88" s="372"/>
      <c r="E88" s="643">
        <v>3850</v>
      </c>
      <c r="F88" s="148">
        <v>3850</v>
      </c>
      <c r="G88" s="148">
        <v>1086</v>
      </c>
      <c r="H88" s="148">
        <f t="shared" si="29"/>
        <v>1086</v>
      </c>
      <c r="I88" s="148">
        <v>1086</v>
      </c>
      <c r="J88" s="148">
        <v>986</v>
      </c>
      <c r="K88" s="148">
        <f t="shared" si="27"/>
        <v>2764</v>
      </c>
      <c r="L88" s="148">
        <f t="shared" si="28"/>
        <v>2764</v>
      </c>
      <c r="M88" s="154">
        <f t="shared" ref="M88:M92" si="31">+H88*100/F88</f>
        <v>28.207792207792206</v>
      </c>
      <c r="O88" s="36"/>
    </row>
    <row r="89" spans="1:19" ht="13.5" customHeight="1">
      <c r="A89" s="608">
        <v>196</v>
      </c>
      <c r="B89" s="147" t="s">
        <v>321</v>
      </c>
      <c r="C89" s="387"/>
      <c r="D89" s="372"/>
      <c r="E89" s="643">
        <v>8045</v>
      </c>
      <c r="F89" s="148">
        <v>8045</v>
      </c>
      <c r="G89" s="148">
        <v>1789.46</v>
      </c>
      <c r="H89" s="148">
        <f t="shared" si="29"/>
        <v>1789.46</v>
      </c>
      <c r="I89" s="148">
        <v>1789.46</v>
      </c>
      <c r="J89" s="148">
        <v>1563.4</v>
      </c>
      <c r="K89" s="148">
        <f t="shared" si="27"/>
        <v>6255.54</v>
      </c>
      <c r="L89" s="148">
        <f t="shared" si="28"/>
        <v>6255.54</v>
      </c>
      <c r="M89" s="154">
        <f t="shared" si="31"/>
        <v>22.243132380360471</v>
      </c>
      <c r="O89" s="36"/>
    </row>
    <row r="90" spans="1:19" ht="14.25" customHeight="1">
      <c r="A90" s="608">
        <v>197</v>
      </c>
      <c r="B90" s="147" t="s">
        <v>322</v>
      </c>
      <c r="C90" s="387"/>
      <c r="D90" s="372"/>
      <c r="E90" s="643">
        <v>21985</v>
      </c>
      <c r="F90" s="148">
        <v>21985</v>
      </c>
      <c r="G90" s="148">
        <v>2874.74</v>
      </c>
      <c r="H90" s="148">
        <f t="shared" si="29"/>
        <v>2874.74</v>
      </c>
      <c r="I90" s="148">
        <v>675.89</v>
      </c>
      <c r="J90" s="148"/>
      <c r="K90" s="148">
        <f t="shared" si="27"/>
        <v>19110.260000000002</v>
      </c>
      <c r="L90" s="148">
        <f t="shared" si="28"/>
        <v>19110.260000000002</v>
      </c>
      <c r="M90" s="154">
        <f t="shared" si="31"/>
        <v>13.075915396861497</v>
      </c>
      <c r="O90" s="36"/>
    </row>
    <row r="91" spans="1:19" ht="14.25" customHeight="1">
      <c r="A91" s="608">
        <v>198</v>
      </c>
      <c r="B91" s="147" t="s">
        <v>612</v>
      </c>
      <c r="C91" s="161"/>
      <c r="D91" s="372"/>
      <c r="E91" s="643">
        <v>8658</v>
      </c>
      <c r="F91" s="148">
        <v>8658</v>
      </c>
      <c r="G91" s="148">
        <v>8182</v>
      </c>
      <c r="H91" s="148">
        <f t="shared" si="29"/>
        <v>8182</v>
      </c>
      <c r="I91" s="148">
        <v>1874.07</v>
      </c>
      <c r="J91" s="148">
        <v>4127.9799999999996</v>
      </c>
      <c r="K91" s="148">
        <f t="shared" si="27"/>
        <v>476</v>
      </c>
      <c r="L91" s="148">
        <f t="shared" si="28"/>
        <v>476</v>
      </c>
      <c r="M91" s="154">
        <f t="shared" si="31"/>
        <v>94.502194502194499</v>
      </c>
      <c r="O91" s="36"/>
    </row>
    <row r="92" spans="1:19" ht="19.5" customHeight="1">
      <c r="A92" s="609">
        <v>199</v>
      </c>
      <c r="B92" s="162" t="s">
        <v>323</v>
      </c>
      <c r="C92" s="388"/>
      <c r="D92" s="374"/>
      <c r="E92" s="643">
        <v>19350</v>
      </c>
      <c r="F92" s="148">
        <v>19350</v>
      </c>
      <c r="G92" s="148">
        <v>2269.91</v>
      </c>
      <c r="H92" s="148">
        <f t="shared" si="29"/>
        <v>2269.91</v>
      </c>
      <c r="I92" s="148"/>
      <c r="J92" s="148"/>
      <c r="K92" s="148">
        <f t="shared" si="27"/>
        <v>17080.09</v>
      </c>
      <c r="L92" s="148">
        <f t="shared" si="28"/>
        <v>17080.09</v>
      </c>
      <c r="M92" s="154">
        <f t="shared" si="31"/>
        <v>11.730801033591732</v>
      </c>
      <c r="O92" s="36"/>
    </row>
    <row r="93" spans="1:19" ht="3.75" hidden="1" customHeight="1" thickBot="1">
      <c r="A93" s="608"/>
      <c r="B93" s="162"/>
      <c r="C93" s="611"/>
      <c r="D93" s="482"/>
      <c r="E93" s="646"/>
      <c r="F93" s="612"/>
      <c r="G93" s="612"/>
      <c r="H93" s="612"/>
      <c r="I93" s="612"/>
      <c r="J93" s="612"/>
      <c r="K93" s="145">
        <f t="shared" si="27"/>
        <v>0</v>
      </c>
      <c r="L93" s="145">
        <f t="shared" si="28"/>
        <v>0</v>
      </c>
      <c r="M93" s="154"/>
      <c r="O93" s="36"/>
    </row>
    <row r="94" spans="1:19" ht="21.75" customHeight="1">
      <c r="A94" s="613" t="s">
        <v>324</v>
      </c>
      <c r="B94" s="614" t="s">
        <v>325</v>
      </c>
      <c r="C94" s="615">
        <f t="shared" ref="C94:I94" si="32">+C95+C98+C104+C110+C114+C120+C128+C134+C143+C144</f>
        <v>1027428</v>
      </c>
      <c r="D94" s="616">
        <f>D96+D99+D101+D109+D114+D118+D119+D121+D122+D123+D124+D126+D139</f>
        <v>0</v>
      </c>
      <c r="E94" s="617">
        <f t="shared" si="32"/>
        <v>1174965</v>
      </c>
      <c r="F94" s="618">
        <f t="shared" si="32"/>
        <v>1050837</v>
      </c>
      <c r="G94" s="618">
        <f t="shared" si="32"/>
        <v>170869</v>
      </c>
      <c r="H94" s="671">
        <f>O94+G94</f>
        <v>252284.91</v>
      </c>
      <c r="I94" s="618">
        <f t="shared" si="32"/>
        <v>61214.15</v>
      </c>
      <c r="J94" s="618">
        <f>J95+J98+J104+J110+J114+J120+J128+J134+J143+J144</f>
        <v>1789.59</v>
      </c>
      <c r="K94" s="619">
        <f t="shared" ref="K94:K120" si="33">+F94-H94</f>
        <v>798552.09</v>
      </c>
      <c r="L94" s="615">
        <f t="shared" ref="L94:L120" si="34">+E94-H94</f>
        <v>922680.09</v>
      </c>
      <c r="M94" s="623">
        <f t="shared" ref="M94:M141" si="35">+H94*100/F94</f>
        <v>24.007996482803708</v>
      </c>
      <c r="O94" s="135">
        <v>81415.91</v>
      </c>
      <c r="P94" s="36"/>
      <c r="Q94" s="36"/>
      <c r="R94" s="1"/>
    </row>
    <row r="95" spans="1:19" ht="16.5" customHeight="1">
      <c r="A95" s="163" t="s">
        <v>326</v>
      </c>
      <c r="B95" s="163" t="s">
        <v>327</v>
      </c>
      <c r="C95" s="389">
        <f>SUM(C96:C97)</f>
        <v>61924</v>
      </c>
      <c r="D95" s="375"/>
      <c r="E95" s="647">
        <f>SUM(E96:E97)</f>
        <v>47504</v>
      </c>
      <c r="F95" s="655">
        <f>SUM(F96:F97)</f>
        <v>22504</v>
      </c>
      <c r="G95" s="647">
        <f>G96+G97</f>
        <v>368.06</v>
      </c>
      <c r="H95" s="672">
        <f>O95+G95</f>
        <v>368.06</v>
      </c>
      <c r="I95" s="164">
        <f>SUM(I96:I97)</f>
        <v>368.06</v>
      </c>
      <c r="J95" s="164">
        <f>SUM(J96:J97)</f>
        <v>164.51</v>
      </c>
      <c r="K95" s="165">
        <f t="shared" si="33"/>
        <v>22135.94</v>
      </c>
      <c r="L95" s="164">
        <f t="shared" si="34"/>
        <v>47135.94</v>
      </c>
      <c r="M95" s="169">
        <f t="shared" si="35"/>
        <v>1.6355314610735869</v>
      </c>
      <c r="O95" s="135">
        <v>0</v>
      </c>
      <c r="P95" s="36"/>
      <c r="Q95" s="170"/>
      <c r="S95" t="s">
        <v>12</v>
      </c>
    </row>
    <row r="96" spans="1:19" ht="13.5" customHeight="1">
      <c r="A96" s="161" t="s">
        <v>328</v>
      </c>
      <c r="B96" s="166" t="s">
        <v>329</v>
      </c>
      <c r="C96" s="390">
        <v>56824</v>
      </c>
      <c r="D96" s="372"/>
      <c r="E96" s="648">
        <v>43824</v>
      </c>
      <c r="F96" s="161">
        <v>18824</v>
      </c>
      <c r="G96" s="648">
        <v>354.16</v>
      </c>
      <c r="H96" s="669">
        <f>O96+G96</f>
        <v>354.16</v>
      </c>
      <c r="I96" s="148">
        <v>354.16</v>
      </c>
      <c r="J96" s="166">
        <v>164.51</v>
      </c>
      <c r="K96" s="455">
        <f t="shared" si="33"/>
        <v>18469.84</v>
      </c>
      <c r="L96" s="456">
        <f t="shared" si="34"/>
        <v>43469.84</v>
      </c>
      <c r="M96" s="171">
        <f t="shared" si="35"/>
        <v>1.8814279643008924</v>
      </c>
      <c r="O96" s="36"/>
    </row>
    <row r="97" spans="1:18" ht="13.5" customHeight="1">
      <c r="A97" s="608" t="s">
        <v>330</v>
      </c>
      <c r="B97" s="167" t="s">
        <v>331</v>
      </c>
      <c r="C97" s="390">
        <v>5100</v>
      </c>
      <c r="D97" s="372"/>
      <c r="E97" s="648">
        <v>3680</v>
      </c>
      <c r="F97" s="161">
        <v>3680</v>
      </c>
      <c r="G97" s="661">
        <v>13.9</v>
      </c>
      <c r="H97" s="669">
        <f>O97+G97</f>
        <v>13.9</v>
      </c>
      <c r="I97" s="148">
        <v>13.9</v>
      </c>
      <c r="J97" s="166"/>
      <c r="K97" s="455">
        <f t="shared" si="33"/>
        <v>3666.1</v>
      </c>
      <c r="L97" s="456">
        <f t="shared" si="34"/>
        <v>3666.1</v>
      </c>
      <c r="M97" s="171">
        <f t="shared" si="35"/>
        <v>0.37771739130434784</v>
      </c>
      <c r="O97" s="36"/>
      <c r="P97" s="36"/>
      <c r="Q97" s="36"/>
    </row>
    <row r="98" spans="1:18">
      <c r="A98" s="35" t="s">
        <v>332</v>
      </c>
      <c r="B98" s="168" t="s">
        <v>333</v>
      </c>
      <c r="C98" s="391">
        <f>SUM(C99:C103)</f>
        <v>43200</v>
      </c>
      <c r="D98" s="371"/>
      <c r="E98" s="385">
        <f>SUM(E99:E103)</f>
        <v>39744</v>
      </c>
      <c r="F98" s="395">
        <f>SUM(F99:F103)</f>
        <v>9744</v>
      </c>
      <c r="G98" s="395">
        <f>SUM(G99:G103)</f>
        <v>1527.9</v>
      </c>
      <c r="H98" s="670">
        <f>+O98+G98</f>
        <v>1527.9</v>
      </c>
      <c r="I98" s="385">
        <f>SUM(I99:I103)</f>
        <v>34.18</v>
      </c>
      <c r="J98" s="385">
        <f>SUM(J99:J103)</f>
        <v>34.18</v>
      </c>
      <c r="K98" s="145">
        <f t="shared" si="33"/>
        <v>8216.1</v>
      </c>
      <c r="L98" s="168">
        <f t="shared" si="34"/>
        <v>38216.1</v>
      </c>
      <c r="M98" s="171">
        <f t="shared" si="35"/>
        <v>15.680418719211822</v>
      </c>
      <c r="O98" s="135">
        <v>0</v>
      </c>
    </row>
    <row r="99" spans="1:18" ht="12" customHeight="1">
      <c r="A99" s="161" t="s">
        <v>334</v>
      </c>
      <c r="B99" s="166" t="s">
        <v>335</v>
      </c>
      <c r="C99" s="390">
        <v>20000</v>
      </c>
      <c r="D99" s="372"/>
      <c r="E99" s="648">
        <v>13794</v>
      </c>
      <c r="F99" s="161">
        <v>3794</v>
      </c>
      <c r="G99" s="661">
        <v>1493.72</v>
      </c>
      <c r="H99" s="669">
        <f>O99+G99</f>
        <v>1493.72</v>
      </c>
      <c r="I99" s="148"/>
      <c r="J99" s="166"/>
      <c r="K99" s="148">
        <f t="shared" si="33"/>
        <v>2300.2799999999997</v>
      </c>
      <c r="L99" s="166">
        <f t="shared" si="34"/>
        <v>12300.28</v>
      </c>
      <c r="M99" s="171">
        <f t="shared" si="35"/>
        <v>39.370585134422775</v>
      </c>
      <c r="O99" s="36"/>
    </row>
    <row r="100" spans="1:18" ht="12" customHeight="1">
      <c r="A100" s="608" t="s">
        <v>336</v>
      </c>
      <c r="B100" s="167" t="s">
        <v>337</v>
      </c>
      <c r="C100" s="390">
        <v>10000</v>
      </c>
      <c r="D100" s="372"/>
      <c r="E100" s="648">
        <v>12650</v>
      </c>
      <c r="F100" s="161">
        <v>2650</v>
      </c>
      <c r="G100" s="661">
        <v>34.18</v>
      </c>
      <c r="H100" s="669">
        <f t="shared" ref="H100:H103" si="36">O100+G100</f>
        <v>34.18</v>
      </c>
      <c r="I100" s="148">
        <v>34.18</v>
      </c>
      <c r="J100" s="166">
        <v>34.18</v>
      </c>
      <c r="K100" s="148">
        <f t="shared" si="33"/>
        <v>2615.8200000000002</v>
      </c>
      <c r="L100" s="166">
        <f t="shared" si="34"/>
        <v>12615.82</v>
      </c>
      <c r="M100" s="171">
        <f t="shared" si="35"/>
        <v>1.2898113207547171</v>
      </c>
      <c r="O100" s="36"/>
    </row>
    <row r="101" spans="1:18" ht="12" customHeight="1">
      <c r="A101" s="608" t="s">
        <v>338</v>
      </c>
      <c r="B101" s="167" t="s">
        <v>339</v>
      </c>
      <c r="C101" s="390">
        <v>3200</v>
      </c>
      <c r="D101" s="372"/>
      <c r="E101" s="648">
        <v>1250</v>
      </c>
      <c r="F101" s="161">
        <v>1250</v>
      </c>
      <c r="G101" s="661"/>
      <c r="H101" s="669">
        <f t="shared" si="36"/>
        <v>0</v>
      </c>
      <c r="I101" s="148"/>
      <c r="J101" s="166"/>
      <c r="K101" s="148">
        <f t="shared" si="33"/>
        <v>1250</v>
      </c>
      <c r="L101" s="166">
        <f t="shared" si="34"/>
        <v>1250</v>
      </c>
      <c r="M101" s="171">
        <f t="shared" si="35"/>
        <v>0</v>
      </c>
      <c r="O101" s="36"/>
    </row>
    <row r="102" spans="1:18" ht="13.5" customHeight="1">
      <c r="A102" s="608" t="s">
        <v>340</v>
      </c>
      <c r="B102" s="167" t="s">
        <v>341</v>
      </c>
      <c r="C102" s="390">
        <v>10000</v>
      </c>
      <c r="D102" s="372"/>
      <c r="E102" s="648">
        <v>11275</v>
      </c>
      <c r="F102" s="161">
        <v>1275</v>
      </c>
      <c r="G102" s="661"/>
      <c r="H102" s="669">
        <f t="shared" si="36"/>
        <v>0</v>
      </c>
      <c r="I102" s="148"/>
      <c r="J102" s="166"/>
      <c r="K102" s="148">
        <f t="shared" si="33"/>
        <v>1275</v>
      </c>
      <c r="L102" s="166">
        <f t="shared" si="34"/>
        <v>11275</v>
      </c>
      <c r="M102" s="171">
        <f t="shared" si="35"/>
        <v>0</v>
      </c>
      <c r="O102" s="36"/>
    </row>
    <row r="103" spans="1:18" ht="13.5" customHeight="1">
      <c r="A103" s="608" t="s">
        <v>342</v>
      </c>
      <c r="B103" s="167" t="s">
        <v>343</v>
      </c>
      <c r="C103" s="387"/>
      <c r="D103" s="372"/>
      <c r="E103" s="643">
        <v>775</v>
      </c>
      <c r="F103" s="151">
        <v>775</v>
      </c>
      <c r="G103" s="661"/>
      <c r="H103" s="669">
        <f t="shared" si="36"/>
        <v>0</v>
      </c>
      <c r="I103" s="148"/>
      <c r="J103" s="166"/>
      <c r="K103" s="148">
        <f t="shared" si="33"/>
        <v>775</v>
      </c>
      <c r="L103" s="166">
        <f t="shared" si="34"/>
        <v>775</v>
      </c>
      <c r="M103" s="171">
        <f t="shared" si="35"/>
        <v>0</v>
      </c>
      <c r="O103" s="36"/>
    </row>
    <row r="104" spans="1:18" ht="20.25" customHeight="1">
      <c r="A104" s="610" t="s">
        <v>344</v>
      </c>
      <c r="B104" s="164" t="s">
        <v>345</v>
      </c>
      <c r="C104" s="389">
        <f>SUM(C105:C109)</f>
        <v>236371</v>
      </c>
      <c r="D104" s="375"/>
      <c r="E104" s="647">
        <f>SUM(E105:E109)</f>
        <v>240021</v>
      </c>
      <c r="F104" s="164">
        <f>SUM(F105:F109)</f>
        <v>240021</v>
      </c>
      <c r="G104" s="164">
        <f>G105+G106+G107+G108+G109</f>
        <v>14708.45</v>
      </c>
      <c r="H104" s="673">
        <f>O104+G104</f>
        <v>65617.62</v>
      </c>
      <c r="I104" s="398">
        <f>SUM(I105:I109)</f>
        <v>9849.5999999999985</v>
      </c>
      <c r="J104" s="398">
        <f>SUM(J105:J109)</f>
        <v>242.65</v>
      </c>
      <c r="K104" s="165">
        <f t="shared" si="33"/>
        <v>174403.38</v>
      </c>
      <c r="L104" s="164">
        <f t="shared" si="34"/>
        <v>174403.38</v>
      </c>
      <c r="M104" s="171">
        <f t="shared" si="35"/>
        <v>27.338282900246227</v>
      </c>
      <c r="N104" s="6"/>
      <c r="O104" s="135">
        <f>O105+O106+O107</f>
        <v>50909.17</v>
      </c>
      <c r="P104" s="36"/>
      <c r="Q104" s="36"/>
      <c r="R104" s="36"/>
    </row>
    <row r="105" spans="1:18" ht="12" customHeight="1">
      <c r="A105" s="161" t="s">
        <v>346</v>
      </c>
      <c r="B105" s="166" t="s">
        <v>347</v>
      </c>
      <c r="C105" s="390">
        <v>155000</v>
      </c>
      <c r="D105" s="372"/>
      <c r="E105" s="648">
        <v>99700</v>
      </c>
      <c r="F105" s="656">
        <v>99700</v>
      </c>
      <c r="G105" s="661"/>
      <c r="H105" s="148">
        <f>O105+G105</f>
        <v>39600</v>
      </c>
      <c r="I105" s="148">
        <v>7379.9</v>
      </c>
      <c r="J105" s="166"/>
      <c r="K105" s="455">
        <f t="shared" si="33"/>
        <v>60100</v>
      </c>
      <c r="L105" s="456">
        <f t="shared" si="34"/>
        <v>60100</v>
      </c>
      <c r="M105" s="171">
        <f t="shared" si="35"/>
        <v>39.719157472417251</v>
      </c>
      <c r="O105" s="36">
        <v>39600</v>
      </c>
      <c r="P105" s="1"/>
    </row>
    <row r="106" spans="1:18" ht="12" customHeight="1">
      <c r="A106" s="608">
        <v>222</v>
      </c>
      <c r="B106" s="166" t="s">
        <v>348</v>
      </c>
      <c r="C106" s="390">
        <v>36336</v>
      </c>
      <c r="D106" s="372"/>
      <c r="E106" s="648">
        <v>108936</v>
      </c>
      <c r="F106" s="161">
        <v>108936</v>
      </c>
      <c r="G106" s="661">
        <v>9120</v>
      </c>
      <c r="H106" s="148">
        <f t="shared" ref="H106:H108" si="37">O106+G106</f>
        <v>12329.17</v>
      </c>
      <c r="I106" s="148">
        <v>476.45</v>
      </c>
      <c r="J106" s="166">
        <v>242.65</v>
      </c>
      <c r="K106" s="455">
        <f t="shared" si="33"/>
        <v>96606.83</v>
      </c>
      <c r="L106" s="456">
        <f t="shared" si="34"/>
        <v>96606.83</v>
      </c>
      <c r="M106" s="171">
        <f t="shared" si="35"/>
        <v>11.317810457516339</v>
      </c>
      <c r="O106" s="36">
        <v>3209.17</v>
      </c>
    </row>
    <row r="107" spans="1:18" ht="16.149999999999999" customHeight="1">
      <c r="A107" s="608" t="s">
        <v>349</v>
      </c>
      <c r="B107" s="167" t="s">
        <v>350</v>
      </c>
      <c r="C107" s="390">
        <v>33835</v>
      </c>
      <c r="D107" s="372"/>
      <c r="E107" s="648">
        <v>19285</v>
      </c>
      <c r="F107" s="161">
        <v>19285</v>
      </c>
      <c r="G107" s="161"/>
      <c r="H107" s="148">
        <f t="shared" si="37"/>
        <v>8100</v>
      </c>
      <c r="I107" s="148">
        <v>1977.36</v>
      </c>
      <c r="J107" s="166"/>
      <c r="K107" s="455">
        <f t="shared" si="33"/>
        <v>11185</v>
      </c>
      <c r="L107" s="456">
        <f t="shared" si="34"/>
        <v>11185</v>
      </c>
      <c r="M107" s="171">
        <f t="shared" si="35"/>
        <v>42.001555613170858</v>
      </c>
      <c r="O107" s="36">
        <v>8100</v>
      </c>
    </row>
    <row r="108" spans="1:18" ht="14.25" customHeight="1">
      <c r="A108" s="608" t="s">
        <v>351</v>
      </c>
      <c r="B108" s="167" t="s">
        <v>352</v>
      </c>
      <c r="C108" s="390">
        <v>6200</v>
      </c>
      <c r="D108" s="372"/>
      <c r="E108" s="648">
        <v>11000</v>
      </c>
      <c r="F108" s="161">
        <v>11000</v>
      </c>
      <c r="G108" s="661">
        <v>5588.45</v>
      </c>
      <c r="H108" s="148">
        <f t="shared" si="37"/>
        <v>5588.45</v>
      </c>
      <c r="I108" s="148">
        <v>15.89</v>
      </c>
      <c r="J108" s="166"/>
      <c r="K108" s="455">
        <f t="shared" si="33"/>
        <v>5411.55</v>
      </c>
      <c r="L108" s="456">
        <f t="shared" si="34"/>
        <v>5411.55</v>
      </c>
      <c r="M108" s="171">
        <f t="shared" si="35"/>
        <v>50.80409090909091</v>
      </c>
      <c r="O108" s="36"/>
    </row>
    <row r="109" spans="1:18" ht="14.45" customHeight="1">
      <c r="A109" s="608">
        <v>229</v>
      </c>
      <c r="B109" s="167" t="s">
        <v>353</v>
      </c>
      <c r="C109" s="390">
        <v>5000</v>
      </c>
      <c r="D109" s="372"/>
      <c r="E109" s="648">
        <v>1100</v>
      </c>
      <c r="F109" s="161">
        <v>1100</v>
      </c>
      <c r="G109" s="661"/>
      <c r="H109" s="148"/>
      <c r="I109" s="148"/>
      <c r="J109" s="166"/>
      <c r="K109" s="455">
        <f t="shared" si="33"/>
        <v>1100</v>
      </c>
      <c r="L109" s="456">
        <f t="shared" si="34"/>
        <v>1100</v>
      </c>
      <c r="M109" s="171">
        <f t="shared" si="35"/>
        <v>0</v>
      </c>
      <c r="O109" s="36"/>
    </row>
    <row r="110" spans="1:18" ht="16.5" customHeight="1">
      <c r="A110" s="610" t="s">
        <v>354</v>
      </c>
      <c r="B110" s="164" t="s">
        <v>355</v>
      </c>
      <c r="C110" s="389">
        <f>SUM(C111:C113)</f>
        <v>57364</v>
      </c>
      <c r="D110" s="375"/>
      <c r="E110" s="647">
        <f>SUM(E111:E113)</f>
        <v>115130</v>
      </c>
      <c r="F110" s="655">
        <f>SUM(F111:F113)</f>
        <v>115130</v>
      </c>
      <c r="G110" s="655">
        <f>SUM(G111:G113)</f>
        <v>3272.26</v>
      </c>
      <c r="H110" s="145">
        <f>+O110+G110</f>
        <v>3272.26</v>
      </c>
      <c r="I110" s="398">
        <f>SUM(I111:I113)</f>
        <v>521.04000000000008</v>
      </c>
      <c r="J110" s="398">
        <f>SUM(J111:J113)</f>
        <v>0</v>
      </c>
      <c r="K110" s="165">
        <f t="shared" si="33"/>
        <v>111857.74</v>
      </c>
      <c r="L110" s="164">
        <f t="shared" si="34"/>
        <v>111857.74</v>
      </c>
      <c r="M110" s="169">
        <f t="shared" si="35"/>
        <v>2.8422305220185877</v>
      </c>
      <c r="O110" s="135">
        <v>0</v>
      </c>
    </row>
    <row r="111" spans="1:18" ht="12.75" customHeight="1">
      <c r="A111" s="161" t="s">
        <v>356</v>
      </c>
      <c r="B111" s="166" t="s">
        <v>357</v>
      </c>
      <c r="C111" s="390">
        <v>25027</v>
      </c>
      <c r="D111" s="372"/>
      <c r="E111" s="648">
        <v>30377</v>
      </c>
      <c r="F111" s="161">
        <v>30377</v>
      </c>
      <c r="G111" s="661"/>
      <c r="H111" s="148"/>
      <c r="I111" s="148"/>
      <c r="J111" s="166"/>
      <c r="K111" s="455">
        <f t="shared" si="33"/>
        <v>30377</v>
      </c>
      <c r="L111" s="456">
        <f t="shared" si="34"/>
        <v>30377</v>
      </c>
      <c r="M111" s="171">
        <f t="shared" si="35"/>
        <v>0</v>
      </c>
      <c r="O111" s="36"/>
    </row>
    <row r="112" spans="1:18" ht="12.75" customHeight="1">
      <c r="A112" s="608" t="s">
        <v>358</v>
      </c>
      <c r="B112" s="167" t="s">
        <v>359</v>
      </c>
      <c r="C112" s="390">
        <v>21717</v>
      </c>
      <c r="D112" s="372"/>
      <c r="E112" s="648">
        <v>75907</v>
      </c>
      <c r="F112" s="161">
        <v>75907</v>
      </c>
      <c r="G112" s="661">
        <v>771.53</v>
      </c>
      <c r="H112" s="148">
        <f>O112+G112</f>
        <v>771.53</v>
      </c>
      <c r="I112" s="148">
        <v>489.91</v>
      </c>
      <c r="J112" s="166"/>
      <c r="K112" s="455">
        <f t="shared" si="33"/>
        <v>75135.47</v>
      </c>
      <c r="L112" s="456">
        <f t="shared" si="34"/>
        <v>75135.47</v>
      </c>
      <c r="M112" s="171">
        <f t="shared" si="35"/>
        <v>1.0164148234023214</v>
      </c>
      <c r="O112" s="36"/>
    </row>
    <row r="113" spans="1:20" ht="15" customHeight="1">
      <c r="A113" s="608" t="s">
        <v>360</v>
      </c>
      <c r="B113" s="167" t="s">
        <v>361</v>
      </c>
      <c r="C113" s="390">
        <v>10620</v>
      </c>
      <c r="D113" s="372"/>
      <c r="E113" s="648">
        <v>8846</v>
      </c>
      <c r="F113" s="161">
        <v>8846</v>
      </c>
      <c r="G113" s="661">
        <v>2500.73</v>
      </c>
      <c r="H113" s="148">
        <f>O113+G113</f>
        <v>2500.73</v>
      </c>
      <c r="I113" s="148">
        <v>31.13</v>
      </c>
      <c r="J113" s="166"/>
      <c r="K113" s="148">
        <f t="shared" si="33"/>
        <v>6345.27</v>
      </c>
      <c r="L113" s="166">
        <f t="shared" si="34"/>
        <v>6345.27</v>
      </c>
      <c r="M113" s="171">
        <f t="shared" si="35"/>
        <v>28.269613384580602</v>
      </c>
      <c r="O113" s="36"/>
      <c r="Q113" t="s">
        <v>12</v>
      </c>
    </row>
    <row r="114" spans="1:20" ht="15" customHeight="1">
      <c r="A114" s="610" t="s">
        <v>362</v>
      </c>
      <c r="B114" s="164" t="s">
        <v>363</v>
      </c>
      <c r="C114" s="389">
        <f>SUM(C115:C119)</f>
        <v>123034</v>
      </c>
      <c r="D114" s="375"/>
      <c r="E114" s="647">
        <f>SUM(E115:E119)</f>
        <v>84034</v>
      </c>
      <c r="F114" s="655">
        <f>SUM(F115:F119)</f>
        <v>67581</v>
      </c>
      <c r="G114" s="655">
        <f>SUM(G115:G119)</f>
        <v>2084.75</v>
      </c>
      <c r="H114" s="165">
        <f>+O114+G114</f>
        <v>3660.65</v>
      </c>
      <c r="I114" s="164">
        <f>SUM(I115:I119)</f>
        <v>508</v>
      </c>
      <c r="J114" s="164">
        <f>SUM(J115:J119)</f>
        <v>0</v>
      </c>
      <c r="K114" s="165">
        <f t="shared" si="33"/>
        <v>63920.35</v>
      </c>
      <c r="L114" s="164">
        <f t="shared" si="34"/>
        <v>80373.350000000006</v>
      </c>
      <c r="M114" s="169">
        <f t="shared" si="35"/>
        <v>5.416685162989598</v>
      </c>
      <c r="O114" s="135">
        <v>1575.9</v>
      </c>
    </row>
    <row r="115" spans="1:20" ht="15.75" customHeight="1">
      <c r="A115" s="608" t="s">
        <v>364</v>
      </c>
      <c r="B115" s="166" t="s">
        <v>365</v>
      </c>
      <c r="C115" s="390">
        <v>1443</v>
      </c>
      <c r="D115" s="372"/>
      <c r="E115" s="648">
        <v>1293</v>
      </c>
      <c r="F115" s="161">
        <v>1293</v>
      </c>
      <c r="G115" s="661"/>
      <c r="H115" s="148"/>
      <c r="I115" s="148"/>
      <c r="J115" s="166"/>
      <c r="K115" s="455">
        <f t="shared" si="33"/>
        <v>1293</v>
      </c>
      <c r="L115" s="456">
        <f t="shared" si="34"/>
        <v>1293</v>
      </c>
      <c r="M115" s="154">
        <f t="shared" si="35"/>
        <v>0</v>
      </c>
      <c r="O115" s="36"/>
    </row>
    <row r="116" spans="1:20" ht="14.25" customHeight="1">
      <c r="A116" s="608" t="s">
        <v>366</v>
      </c>
      <c r="B116" s="167" t="s">
        <v>367</v>
      </c>
      <c r="C116" s="390">
        <v>3215</v>
      </c>
      <c r="D116" s="372"/>
      <c r="E116" s="648">
        <v>16015</v>
      </c>
      <c r="F116" s="161">
        <v>16015</v>
      </c>
      <c r="G116" s="148">
        <v>215.39</v>
      </c>
      <c r="H116" s="148">
        <f>O116+G116</f>
        <v>215.39</v>
      </c>
      <c r="I116" s="148">
        <v>215.39</v>
      </c>
      <c r="J116" s="166"/>
      <c r="K116" s="455">
        <f t="shared" si="33"/>
        <v>15799.61</v>
      </c>
      <c r="L116" s="456">
        <f t="shared" si="34"/>
        <v>15799.61</v>
      </c>
      <c r="M116" s="154">
        <f t="shared" si="35"/>
        <v>1.344926631283172</v>
      </c>
      <c r="O116" s="36"/>
    </row>
    <row r="117" spans="1:20" ht="17.25" customHeight="1">
      <c r="A117" s="608" t="s">
        <v>368</v>
      </c>
      <c r="B117" s="167" t="s">
        <v>369</v>
      </c>
      <c r="C117" s="390">
        <v>24415</v>
      </c>
      <c r="D117" s="372"/>
      <c r="E117" s="648">
        <v>18115</v>
      </c>
      <c r="F117" s="161">
        <v>18115</v>
      </c>
      <c r="G117" s="148">
        <v>1110.02</v>
      </c>
      <c r="H117" s="148">
        <f t="shared" ref="H117:H119" si="38">O117+G117</f>
        <v>2661.52</v>
      </c>
      <c r="I117" s="148"/>
      <c r="J117" s="166"/>
      <c r="K117" s="455">
        <f t="shared" si="33"/>
        <v>15453.48</v>
      </c>
      <c r="L117" s="456">
        <f t="shared" si="34"/>
        <v>15453.48</v>
      </c>
      <c r="M117" s="171">
        <f t="shared" si="35"/>
        <v>14.692354402428926</v>
      </c>
      <c r="O117" s="36">
        <v>1551.5</v>
      </c>
    </row>
    <row r="118" spans="1:20" ht="16.5" customHeight="1">
      <c r="A118" s="608" t="s">
        <v>370</v>
      </c>
      <c r="B118" s="167" t="s">
        <v>371</v>
      </c>
      <c r="C118" s="390">
        <v>3000</v>
      </c>
      <c r="D118" s="372"/>
      <c r="E118" s="648">
        <v>3450</v>
      </c>
      <c r="F118" s="161">
        <v>450</v>
      </c>
      <c r="G118" s="661"/>
      <c r="H118" s="148">
        <f t="shared" si="38"/>
        <v>0</v>
      </c>
      <c r="I118" s="148"/>
      <c r="J118" s="166"/>
      <c r="K118" s="455">
        <f t="shared" si="33"/>
        <v>450</v>
      </c>
      <c r="L118" s="456">
        <f t="shared" si="34"/>
        <v>3450</v>
      </c>
      <c r="M118" s="171">
        <f t="shared" si="35"/>
        <v>0</v>
      </c>
      <c r="O118" s="36"/>
    </row>
    <row r="119" spans="1:20" ht="16.5" customHeight="1">
      <c r="A119" s="608" t="s">
        <v>372</v>
      </c>
      <c r="B119" s="167" t="s">
        <v>373</v>
      </c>
      <c r="C119" s="390">
        <v>90961</v>
      </c>
      <c r="D119" s="372"/>
      <c r="E119" s="648">
        <v>45161</v>
      </c>
      <c r="F119" s="161">
        <v>31708</v>
      </c>
      <c r="G119" s="661">
        <v>759.34</v>
      </c>
      <c r="H119" s="148">
        <f t="shared" si="38"/>
        <v>783.74</v>
      </c>
      <c r="I119" s="148">
        <v>292.61</v>
      </c>
      <c r="J119" s="166"/>
      <c r="K119" s="165">
        <f t="shared" si="33"/>
        <v>30924.26</v>
      </c>
      <c r="L119" s="164">
        <f t="shared" si="34"/>
        <v>44377.26</v>
      </c>
      <c r="M119" s="171">
        <f t="shared" si="35"/>
        <v>2.4717421470922165</v>
      </c>
      <c r="O119" s="36">
        <v>24.4</v>
      </c>
      <c r="Q119" s="36" t="s">
        <v>12</v>
      </c>
    </row>
    <row r="120" spans="1:20" ht="20.25" customHeight="1">
      <c r="A120" s="610" t="s">
        <v>374</v>
      </c>
      <c r="B120" s="164" t="s">
        <v>375</v>
      </c>
      <c r="C120" s="389">
        <f>SUM(C121:C127)</f>
        <v>87709</v>
      </c>
      <c r="D120" s="375"/>
      <c r="E120" s="647">
        <f>SUM(E121:E127)</f>
        <v>109427</v>
      </c>
      <c r="F120" s="655">
        <f>SUM(F121:F127)</f>
        <v>99451</v>
      </c>
      <c r="G120" s="165">
        <f>SUM(G121:G127)</f>
        <v>8345.130000000001</v>
      </c>
      <c r="H120" s="164">
        <f>+O120+G120</f>
        <v>8618.09</v>
      </c>
      <c r="I120" s="398">
        <f>SUM(I121:I127)</f>
        <v>2146.98</v>
      </c>
      <c r="J120" s="398">
        <f>SUM(J121:J127)</f>
        <v>141.26999999999998</v>
      </c>
      <c r="K120" s="165">
        <f t="shared" si="33"/>
        <v>90832.91</v>
      </c>
      <c r="L120" s="164">
        <f t="shared" si="34"/>
        <v>100808.91</v>
      </c>
      <c r="M120" s="169">
        <f t="shared" si="35"/>
        <v>8.6656644980945394</v>
      </c>
      <c r="O120" s="135">
        <f>O124+O125+O127</f>
        <v>272.95999999999998</v>
      </c>
      <c r="P120" s="36" t="s">
        <v>12</v>
      </c>
    </row>
    <row r="121" spans="1:20" ht="14.25" customHeight="1">
      <c r="A121" s="608" t="s">
        <v>376</v>
      </c>
      <c r="B121" s="167" t="s">
        <v>377</v>
      </c>
      <c r="C121" s="390">
        <v>10885</v>
      </c>
      <c r="D121" s="372"/>
      <c r="E121" s="648">
        <v>6335</v>
      </c>
      <c r="F121" s="161">
        <v>6335</v>
      </c>
      <c r="G121" s="661"/>
      <c r="H121" s="148"/>
      <c r="I121" s="148"/>
      <c r="J121" s="166"/>
      <c r="K121" s="455">
        <f t="shared" ref="K121:K130" si="39">+F121-H121</f>
        <v>6335</v>
      </c>
      <c r="L121" s="456">
        <f t="shared" ref="L121:L130" si="40">+E121-H121</f>
        <v>6335</v>
      </c>
      <c r="M121" s="171">
        <f t="shared" si="35"/>
        <v>0</v>
      </c>
      <c r="O121" s="36"/>
    </row>
    <row r="122" spans="1:20" ht="16.5" customHeight="1">
      <c r="A122" s="608" t="s">
        <v>378</v>
      </c>
      <c r="B122" s="167" t="s">
        <v>379</v>
      </c>
      <c r="C122" s="390">
        <v>11735</v>
      </c>
      <c r="D122" s="372"/>
      <c r="E122" s="648">
        <v>7935</v>
      </c>
      <c r="F122" s="161">
        <v>3459</v>
      </c>
      <c r="G122" s="148"/>
      <c r="H122" s="148"/>
      <c r="I122" s="148"/>
      <c r="J122" s="166"/>
      <c r="K122" s="455">
        <f t="shared" si="39"/>
        <v>3459</v>
      </c>
      <c r="L122" s="456">
        <f t="shared" si="40"/>
        <v>7935</v>
      </c>
      <c r="M122" s="171">
        <f t="shared" si="35"/>
        <v>0</v>
      </c>
      <c r="O122" s="36"/>
    </row>
    <row r="123" spans="1:20" ht="12.75" customHeight="1">
      <c r="A123" s="608">
        <v>254</v>
      </c>
      <c r="B123" s="167" t="s">
        <v>380</v>
      </c>
      <c r="C123" s="390">
        <v>11627</v>
      </c>
      <c r="D123" s="372"/>
      <c r="E123" s="648">
        <v>16727</v>
      </c>
      <c r="F123" s="656">
        <v>16727</v>
      </c>
      <c r="G123" s="148">
        <v>871.95</v>
      </c>
      <c r="H123" s="148">
        <f>O123+G123</f>
        <v>871.95</v>
      </c>
      <c r="I123" s="148">
        <v>84.23</v>
      </c>
      <c r="J123" s="166"/>
      <c r="K123" s="455">
        <f t="shared" si="39"/>
        <v>15855.05</v>
      </c>
      <c r="L123" s="456">
        <f t="shared" si="40"/>
        <v>15855.05</v>
      </c>
      <c r="M123" s="171">
        <f t="shared" si="35"/>
        <v>5.2128295570036469</v>
      </c>
      <c r="O123" s="36"/>
      <c r="T123" t="s">
        <v>12</v>
      </c>
    </row>
    <row r="124" spans="1:20" ht="18" customHeight="1">
      <c r="A124" s="608" t="s">
        <v>381</v>
      </c>
      <c r="B124" s="167" t="s">
        <v>382</v>
      </c>
      <c r="C124" s="390">
        <v>17705</v>
      </c>
      <c r="D124" s="372"/>
      <c r="E124" s="648">
        <v>30073</v>
      </c>
      <c r="F124" s="166">
        <v>30073</v>
      </c>
      <c r="G124" s="161">
        <v>4037.42</v>
      </c>
      <c r="H124" s="148">
        <f t="shared" ref="H124:H127" si="41">O124+G124</f>
        <v>4211.6499999999996</v>
      </c>
      <c r="I124" s="148">
        <v>1202.48</v>
      </c>
      <c r="J124" s="166">
        <v>130.44999999999999</v>
      </c>
      <c r="K124" s="455">
        <f t="shared" si="39"/>
        <v>25861.35</v>
      </c>
      <c r="L124" s="456">
        <f t="shared" si="40"/>
        <v>25861.35</v>
      </c>
      <c r="M124" s="171">
        <f t="shared" si="35"/>
        <v>14.004755095933227</v>
      </c>
      <c r="O124" s="36">
        <v>174.23</v>
      </c>
    </row>
    <row r="125" spans="1:20" ht="17.25" customHeight="1">
      <c r="A125" s="608" t="s">
        <v>383</v>
      </c>
      <c r="B125" s="167" t="s">
        <v>384</v>
      </c>
      <c r="C125" s="390">
        <v>18829</v>
      </c>
      <c r="D125" s="372"/>
      <c r="E125" s="648">
        <v>23829</v>
      </c>
      <c r="F125" s="166">
        <v>23829</v>
      </c>
      <c r="G125" s="148">
        <v>2441.65</v>
      </c>
      <c r="H125" s="148">
        <f t="shared" si="41"/>
        <v>2514.3000000000002</v>
      </c>
      <c r="I125" s="148">
        <v>635.66</v>
      </c>
      <c r="J125" s="166"/>
      <c r="K125" s="455">
        <f t="shared" si="39"/>
        <v>21314.7</v>
      </c>
      <c r="L125" s="456">
        <f t="shared" si="40"/>
        <v>21314.7</v>
      </c>
      <c r="M125" s="171">
        <f t="shared" si="35"/>
        <v>10.551428931134334</v>
      </c>
      <c r="O125" s="36">
        <v>72.650000000000006</v>
      </c>
    </row>
    <row r="126" spans="1:20" ht="17.25" customHeight="1">
      <c r="A126" s="608">
        <v>257</v>
      </c>
      <c r="B126" s="167" t="s">
        <v>385</v>
      </c>
      <c r="C126" s="390">
        <v>10882</v>
      </c>
      <c r="D126" s="372"/>
      <c r="E126" s="648">
        <v>10182</v>
      </c>
      <c r="F126" s="166">
        <v>4682</v>
      </c>
      <c r="G126" s="161"/>
      <c r="H126" s="148">
        <f t="shared" si="41"/>
        <v>0</v>
      </c>
      <c r="I126" s="148"/>
      <c r="J126" s="166"/>
      <c r="K126" s="455">
        <f t="shared" si="39"/>
        <v>4682</v>
      </c>
      <c r="L126" s="456">
        <f t="shared" si="40"/>
        <v>10182</v>
      </c>
      <c r="M126" s="171">
        <f t="shared" si="35"/>
        <v>0</v>
      </c>
      <c r="O126" s="36"/>
    </row>
    <row r="127" spans="1:20" ht="17.25" customHeight="1">
      <c r="A127" s="608" t="s">
        <v>386</v>
      </c>
      <c r="B127" s="167" t="s">
        <v>387</v>
      </c>
      <c r="C127" s="390">
        <v>6046</v>
      </c>
      <c r="D127" s="372"/>
      <c r="E127" s="648">
        <v>14346</v>
      </c>
      <c r="F127" s="166">
        <v>14346</v>
      </c>
      <c r="G127" s="148">
        <v>994.11</v>
      </c>
      <c r="H127" s="148">
        <f t="shared" si="41"/>
        <v>1020.19</v>
      </c>
      <c r="I127" s="148">
        <v>224.61</v>
      </c>
      <c r="J127" s="166">
        <v>10.82</v>
      </c>
      <c r="K127" s="455">
        <f t="shared" si="39"/>
        <v>13325.81</v>
      </c>
      <c r="L127" s="456">
        <f t="shared" si="40"/>
        <v>13325.81</v>
      </c>
      <c r="M127" s="171">
        <f t="shared" si="35"/>
        <v>7.1113202286351598</v>
      </c>
      <c r="O127" s="36">
        <v>26.08</v>
      </c>
      <c r="P127" t="s">
        <v>12</v>
      </c>
      <c r="Q127" t="s">
        <v>12</v>
      </c>
    </row>
    <row r="128" spans="1:20" ht="15" customHeight="1">
      <c r="A128" s="610" t="s">
        <v>388</v>
      </c>
      <c r="B128" s="164" t="s">
        <v>389</v>
      </c>
      <c r="C128" s="389">
        <f>SUM(C129:C133)</f>
        <v>125332</v>
      </c>
      <c r="D128" s="375"/>
      <c r="E128" s="647">
        <f>SUM(E129:E133)</f>
        <v>80100</v>
      </c>
      <c r="F128" s="396">
        <f>SUM(F129:F133)</f>
        <v>72100</v>
      </c>
      <c r="G128" s="145">
        <f>SUM(G129:G133)</f>
        <v>12888.369999999999</v>
      </c>
      <c r="H128" s="145">
        <f>+O128+G128</f>
        <v>13498.089999999998</v>
      </c>
      <c r="I128" s="399">
        <f>SUM(I129:I133)</f>
        <v>4205.3600000000006</v>
      </c>
      <c r="J128" s="396">
        <f>SUM(J129:J133)</f>
        <v>48.69</v>
      </c>
      <c r="K128" s="165">
        <f t="shared" si="39"/>
        <v>58601.91</v>
      </c>
      <c r="L128" s="164">
        <f t="shared" si="40"/>
        <v>66601.91</v>
      </c>
      <c r="M128" s="169">
        <f t="shared" si="35"/>
        <v>18.721345353675449</v>
      </c>
      <c r="O128" s="135">
        <f>O132+O133</f>
        <v>609.72</v>
      </c>
    </row>
    <row r="129" spans="1:16" ht="13.5" customHeight="1">
      <c r="A129" s="608">
        <v>261</v>
      </c>
      <c r="B129" s="166" t="s">
        <v>390</v>
      </c>
      <c r="C129" s="390">
        <v>5564</v>
      </c>
      <c r="D129" s="372"/>
      <c r="E129" s="648">
        <v>1489</v>
      </c>
      <c r="F129" s="172">
        <v>1489</v>
      </c>
      <c r="G129" s="662"/>
      <c r="H129" s="148"/>
      <c r="I129" s="148"/>
      <c r="J129" s="166"/>
      <c r="K129" s="165">
        <f t="shared" si="39"/>
        <v>1489</v>
      </c>
      <c r="L129" s="164">
        <f t="shared" si="40"/>
        <v>1489</v>
      </c>
      <c r="M129" s="154">
        <f t="shared" si="35"/>
        <v>0</v>
      </c>
      <c r="O129" s="36"/>
    </row>
    <row r="130" spans="1:16" ht="13.5" customHeight="1">
      <c r="A130" s="608" t="s">
        <v>391</v>
      </c>
      <c r="B130" s="167" t="s">
        <v>392</v>
      </c>
      <c r="C130" s="390">
        <v>59615</v>
      </c>
      <c r="D130" s="372"/>
      <c r="E130" s="648">
        <v>13111</v>
      </c>
      <c r="F130" s="166">
        <v>13111</v>
      </c>
      <c r="G130" s="148">
        <v>3955.83</v>
      </c>
      <c r="H130" s="148">
        <f>O130+G130</f>
        <v>3955.83</v>
      </c>
      <c r="I130" s="148">
        <v>130.04</v>
      </c>
      <c r="J130" s="166"/>
      <c r="K130" s="148">
        <f t="shared" si="39"/>
        <v>9155.17</v>
      </c>
      <c r="L130" s="166">
        <f t="shared" si="40"/>
        <v>9155.17</v>
      </c>
      <c r="M130" s="171">
        <f t="shared" si="35"/>
        <v>30.171840439325756</v>
      </c>
      <c r="O130" s="36"/>
    </row>
    <row r="131" spans="1:16" ht="17.25" customHeight="1">
      <c r="A131" s="608">
        <v>263</v>
      </c>
      <c r="B131" s="167" t="s">
        <v>393</v>
      </c>
      <c r="C131" s="390">
        <v>15000</v>
      </c>
      <c r="D131" s="372"/>
      <c r="E131" s="648">
        <v>14200</v>
      </c>
      <c r="F131" s="166">
        <v>6200</v>
      </c>
      <c r="G131" s="662">
        <v>360.56</v>
      </c>
      <c r="H131" s="148">
        <f t="shared" ref="H131:H133" si="42">O131+G131</f>
        <v>360.56</v>
      </c>
      <c r="I131" s="148">
        <v>16.66</v>
      </c>
      <c r="J131" s="166"/>
      <c r="K131" s="148">
        <f>+F131-H131</f>
        <v>5839.44</v>
      </c>
      <c r="L131" s="166">
        <f>+E131-H131</f>
        <v>13839.44</v>
      </c>
      <c r="M131" s="171">
        <f t="shared" si="35"/>
        <v>5.8154838709677419</v>
      </c>
      <c r="O131" s="36"/>
    </row>
    <row r="132" spans="1:16" ht="17.25" customHeight="1">
      <c r="A132" s="608" t="s">
        <v>394</v>
      </c>
      <c r="B132" s="173" t="s">
        <v>395</v>
      </c>
      <c r="C132" s="161">
        <v>20673</v>
      </c>
      <c r="D132" s="372"/>
      <c r="E132" s="648">
        <v>32420</v>
      </c>
      <c r="F132" s="172">
        <v>32420</v>
      </c>
      <c r="G132" s="662">
        <v>2361.94</v>
      </c>
      <c r="H132" s="148">
        <f t="shared" si="42"/>
        <v>2922.51</v>
      </c>
      <c r="I132" s="148">
        <v>68.069999999999993</v>
      </c>
      <c r="J132" s="166"/>
      <c r="K132" s="148">
        <f>+F132-H132</f>
        <v>29497.489999999998</v>
      </c>
      <c r="L132" s="166">
        <f>+E132-H132</f>
        <v>29497.489999999998</v>
      </c>
      <c r="M132" s="171">
        <f t="shared" si="35"/>
        <v>9.0145280690931529</v>
      </c>
      <c r="O132" s="36">
        <v>560.57000000000005</v>
      </c>
      <c r="P132" t="s">
        <v>12</v>
      </c>
    </row>
    <row r="133" spans="1:16" ht="15.75" customHeight="1">
      <c r="A133" s="608" t="s">
        <v>396</v>
      </c>
      <c r="B133" s="173" t="s">
        <v>397</v>
      </c>
      <c r="C133" s="161">
        <v>24480</v>
      </c>
      <c r="D133" s="372"/>
      <c r="E133" s="648">
        <v>18880</v>
      </c>
      <c r="F133" s="172">
        <v>18880</v>
      </c>
      <c r="G133" s="148">
        <v>6210.04</v>
      </c>
      <c r="H133" s="148">
        <f t="shared" si="42"/>
        <v>6259.19</v>
      </c>
      <c r="I133" s="148">
        <v>3990.59</v>
      </c>
      <c r="J133" s="166">
        <v>48.69</v>
      </c>
      <c r="K133" s="148">
        <f>+F133-H133</f>
        <v>12620.810000000001</v>
      </c>
      <c r="L133" s="166">
        <f>+E133-H133</f>
        <v>12620.810000000001</v>
      </c>
      <c r="M133" s="171">
        <f t="shared" si="35"/>
        <v>33.152489406779658</v>
      </c>
      <c r="O133" s="36">
        <v>49.15</v>
      </c>
    </row>
    <row r="134" spans="1:16" ht="20.25" customHeight="1">
      <c r="A134" s="610" t="s">
        <v>398</v>
      </c>
      <c r="B134" s="174" t="s">
        <v>399</v>
      </c>
      <c r="C134" s="610">
        <f>SUM(C135:C142)</f>
        <v>194139</v>
      </c>
      <c r="D134" s="375"/>
      <c r="E134" s="647">
        <f>SUM(E135:E142)</f>
        <v>185686</v>
      </c>
      <c r="F134" s="396">
        <f>SUM(F135:F142)</f>
        <v>150987</v>
      </c>
      <c r="G134" s="396">
        <f>SUM(G135:G142)</f>
        <v>17905.29</v>
      </c>
      <c r="H134" s="165">
        <f>+O134+G134</f>
        <v>18187.34</v>
      </c>
      <c r="I134" s="396">
        <f>SUM(I135:I142)</f>
        <v>1418.5900000000001</v>
      </c>
      <c r="J134" s="396">
        <f>SUM(J135:J142)</f>
        <v>7.29</v>
      </c>
      <c r="K134" s="165">
        <f>+F134-H134</f>
        <v>132799.66</v>
      </c>
      <c r="L134" s="164">
        <f>+E134-H134</f>
        <v>167498.66</v>
      </c>
      <c r="M134" s="169">
        <f t="shared" si="35"/>
        <v>12.045633067747554</v>
      </c>
      <c r="N134" s="6"/>
      <c r="O134" s="135">
        <v>282.05</v>
      </c>
    </row>
    <row r="135" spans="1:16" ht="12.75" customHeight="1">
      <c r="A135" s="608" t="s">
        <v>400</v>
      </c>
      <c r="B135" s="173" t="s">
        <v>401</v>
      </c>
      <c r="C135" s="161">
        <v>9547</v>
      </c>
      <c r="D135" s="372"/>
      <c r="E135" s="648">
        <v>61422</v>
      </c>
      <c r="F135" s="656">
        <v>61422</v>
      </c>
      <c r="G135" s="662">
        <v>6031.37</v>
      </c>
      <c r="H135" s="148">
        <f>O135+G135</f>
        <v>6031.37</v>
      </c>
      <c r="I135" s="148">
        <v>7.29</v>
      </c>
      <c r="J135" s="166">
        <v>7.29</v>
      </c>
      <c r="K135" s="455">
        <f t="shared" ref="K135:K143" si="43">+F135-H135</f>
        <v>55390.63</v>
      </c>
      <c r="L135" s="456">
        <f t="shared" ref="L135:L143" si="44">+E135-H135</f>
        <v>55390.63</v>
      </c>
      <c r="M135" s="171">
        <f t="shared" si="35"/>
        <v>9.8195597668587808</v>
      </c>
      <c r="O135" s="36"/>
    </row>
    <row r="136" spans="1:16" ht="16.5" customHeight="1">
      <c r="A136" s="608" t="s">
        <v>402</v>
      </c>
      <c r="B136" s="167" t="s">
        <v>403</v>
      </c>
      <c r="C136" s="390">
        <v>797</v>
      </c>
      <c r="D136" s="372"/>
      <c r="E136" s="648">
        <v>10197</v>
      </c>
      <c r="F136" s="172">
        <v>10197</v>
      </c>
      <c r="G136" s="662">
        <v>513.6</v>
      </c>
      <c r="H136" s="148">
        <f t="shared" ref="H136:H143" si="45">O136+G136</f>
        <v>513.6</v>
      </c>
      <c r="I136" s="148"/>
      <c r="J136" s="166"/>
      <c r="K136" s="455">
        <f t="shared" si="43"/>
        <v>9683.4</v>
      </c>
      <c r="L136" s="456">
        <f t="shared" si="44"/>
        <v>9683.4</v>
      </c>
      <c r="M136" s="171">
        <f t="shared" si="35"/>
        <v>5.0367755222124151</v>
      </c>
      <c r="O136" s="36"/>
    </row>
    <row r="137" spans="1:16" ht="13.5" customHeight="1">
      <c r="A137" s="608" t="s">
        <v>404</v>
      </c>
      <c r="B137" s="167" t="s">
        <v>613</v>
      </c>
      <c r="C137" s="390">
        <v>12152</v>
      </c>
      <c r="D137" s="372"/>
      <c r="E137" s="648">
        <v>18652</v>
      </c>
      <c r="F137" s="172">
        <v>18652</v>
      </c>
      <c r="G137" s="662">
        <v>4178.3500000000004</v>
      </c>
      <c r="H137" s="148">
        <f t="shared" si="45"/>
        <v>4178.3500000000004</v>
      </c>
      <c r="I137" s="148"/>
      <c r="J137" s="166"/>
      <c r="K137" s="455">
        <f t="shared" si="43"/>
        <v>14473.65</v>
      </c>
      <c r="L137" s="456">
        <f t="shared" si="44"/>
        <v>14473.65</v>
      </c>
      <c r="M137" s="171">
        <f t="shared" si="35"/>
        <v>22.401619129315893</v>
      </c>
      <c r="O137" s="36"/>
    </row>
    <row r="138" spans="1:16" ht="16.5" customHeight="1">
      <c r="A138" s="608" t="s">
        <v>405</v>
      </c>
      <c r="B138" s="167" t="s">
        <v>406</v>
      </c>
      <c r="C138" s="390">
        <v>50000</v>
      </c>
      <c r="D138" s="372"/>
      <c r="E138" s="648">
        <v>37072</v>
      </c>
      <c r="F138" s="172">
        <v>37072</v>
      </c>
      <c r="G138" s="662">
        <v>2116.79</v>
      </c>
      <c r="H138" s="148">
        <f t="shared" si="45"/>
        <v>2116.79</v>
      </c>
      <c r="I138" s="148">
        <v>112.68</v>
      </c>
      <c r="J138" s="166"/>
      <c r="K138" s="455">
        <f t="shared" si="43"/>
        <v>34955.21</v>
      </c>
      <c r="L138" s="456">
        <f t="shared" si="44"/>
        <v>34955.21</v>
      </c>
      <c r="M138" s="171">
        <f t="shared" si="35"/>
        <v>5.7099428139835995</v>
      </c>
      <c r="O138" s="36"/>
    </row>
    <row r="139" spans="1:16" ht="12.75" customHeight="1">
      <c r="A139" s="608" t="s">
        <v>407</v>
      </c>
      <c r="B139" s="167" t="s">
        <v>614</v>
      </c>
      <c r="C139" s="390">
        <v>91203</v>
      </c>
      <c r="D139" s="372"/>
      <c r="E139" s="648">
        <v>40903</v>
      </c>
      <c r="F139" s="172">
        <v>11698</v>
      </c>
      <c r="G139" s="662">
        <v>3810.84</v>
      </c>
      <c r="H139" s="148">
        <f t="shared" si="45"/>
        <v>4092.8900000000003</v>
      </c>
      <c r="I139" s="148">
        <v>510.53</v>
      </c>
      <c r="J139" s="166"/>
      <c r="K139" s="455">
        <f t="shared" si="43"/>
        <v>7605.11</v>
      </c>
      <c r="L139" s="456">
        <f t="shared" si="44"/>
        <v>36810.11</v>
      </c>
      <c r="M139" s="171">
        <f t="shared" si="35"/>
        <v>34.987946657548306</v>
      </c>
      <c r="O139" s="36">
        <v>282.05</v>
      </c>
    </row>
    <row r="140" spans="1:16" ht="15" customHeight="1">
      <c r="A140" s="608">
        <v>277</v>
      </c>
      <c r="B140" s="167" t="s">
        <v>408</v>
      </c>
      <c r="C140" s="390"/>
      <c r="D140" s="372"/>
      <c r="E140" s="648">
        <v>200</v>
      </c>
      <c r="F140" s="172">
        <v>200</v>
      </c>
      <c r="G140" s="662"/>
      <c r="H140" s="148">
        <f t="shared" si="45"/>
        <v>0</v>
      </c>
      <c r="I140" s="148"/>
      <c r="J140" s="166"/>
      <c r="K140" s="455">
        <f t="shared" si="43"/>
        <v>200</v>
      </c>
      <c r="L140" s="456">
        <f t="shared" si="44"/>
        <v>200</v>
      </c>
      <c r="M140" s="171">
        <f t="shared" si="35"/>
        <v>0</v>
      </c>
      <c r="O140" s="36"/>
    </row>
    <row r="141" spans="1:16" ht="15" customHeight="1">
      <c r="A141" s="608">
        <v>278</v>
      </c>
      <c r="B141" s="167" t="s">
        <v>409</v>
      </c>
      <c r="C141" s="390"/>
      <c r="D141" s="372"/>
      <c r="E141" s="648">
        <v>300</v>
      </c>
      <c r="F141" s="172">
        <v>300</v>
      </c>
      <c r="G141" s="662"/>
      <c r="H141" s="148">
        <f t="shared" si="45"/>
        <v>0</v>
      </c>
      <c r="I141" s="148"/>
      <c r="J141" s="166"/>
      <c r="K141" s="455">
        <f t="shared" si="43"/>
        <v>300</v>
      </c>
      <c r="L141" s="456">
        <f t="shared" si="44"/>
        <v>300</v>
      </c>
      <c r="M141" s="171">
        <f t="shared" si="35"/>
        <v>0</v>
      </c>
      <c r="O141" s="36"/>
    </row>
    <row r="142" spans="1:16" ht="15" customHeight="1">
      <c r="A142" s="608" t="s">
        <v>410</v>
      </c>
      <c r="B142" s="167" t="s">
        <v>411</v>
      </c>
      <c r="C142" s="390">
        <v>30440</v>
      </c>
      <c r="D142" s="372"/>
      <c r="E142" s="648">
        <v>16940</v>
      </c>
      <c r="F142" s="172">
        <v>11446</v>
      </c>
      <c r="G142" s="662">
        <v>1254.3399999999999</v>
      </c>
      <c r="H142" s="148">
        <f t="shared" si="45"/>
        <v>1254.3399999999999</v>
      </c>
      <c r="I142" s="148">
        <v>788.09</v>
      </c>
      <c r="J142" s="166"/>
      <c r="K142" s="455">
        <f t="shared" si="43"/>
        <v>10191.66</v>
      </c>
      <c r="L142" s="456">
        <f t="shared" si="44"/>
        <v>15685.66</v>
      </c>
      <c r="M142" s="171">
        <f t="shared" ref="M142:M181" si="46">+H142*100/F142</f>
        <v>10.958762886597937</v>
      </c>
      <c r="O142" s="36"/>
    </row>
    <row r="143" spans="1:16" ht="15" customHeight="1">
      <c r="A143" s="610" t="s">
        <v>412</v>
      </c>
      <c r="B143" s="164" t="s">
        <v>413</v>
      </c>
      <c r="C143" s="389">
        <v>98355</v>
      </c>
      <c r="D143" s="375"/>
      <c r="E143" s="649">
        <v>55369</v>
      </c>
      <c r="F143" s="657">
        <v>55369</v>
      </c>
      <c r="G143" s="660">
        <v>24913.68</v>
      </c>
      <c r="H143" s="145">
        <f t="shared" si="45"/>
        <v>37417.89</v>
      </c>
      <c r="I143" s="165">
        <v>10647.09</v>
      </c>
      <c r="J143" s="164"/>
      <c r="K143" s="165">
        <f t="shared" si="43"/>
        <v>17951.11</v>
      </c>
      <c r="L143" s="164">
        <f t="shared" si="44"/>
        <v>17951.11</v>
      </c>
      <c r="M143" s="169">
        <f t="shared" si="46"/>
        <v>67.579132727699616</v>
      </c>
      <c r="O143" s="135">
        <v>12504.21</v>
      </c>
    </row>
    <row r="144" spans="1:16" ht="15" customHeight="1">
      <c r="A144" s="607">
        <v>290</v>
      </c>
      <c r="B144" s="175" t="s">
        <v>414</v>
      </c>
      <c r="C144" s="392">
        <f>SUM(C145:C152)</f>
        <v>0</v>
      </c>
      <c r="D144" s="371"/>
      <c r="E144" s="650">
        <f>SUM(E145:E153)</f>
        <v>217950</v>
      </c>
      <c r="F144" s="175">
        <v>217950</v>
      </c>
      <c r="G144" s="175">
        <f>SUM(G145:G153)</f>
        <v>84855.11</v>
      </c>
      <c r="H144" s="145">
        <f>H145+H146+H147+H148+H149+H150+H151+H152+H153</f>
        <v>100117.01</v>
      </c>
      <c r="I144" s="165">
        <f>SUM(I145:I153)</f>
        <v>31515.25</v>
      </c>
      <c r="J144" s="175">
        <f>SUM(J145:J153)</f>
        <v>1151</v>
      </c>
      <c r="K144" s="145">
        <f>+F144-H144</f>
        <v>117832.99</v>
      </c>
      <c r="L144" s="175">
        <f>+E144-H144</f>
        <v>117832.99</v>
      </c>
      <c r="M144" s="169">
        <f t="shared" si="46"/>
        <v>45.935769671943106</v>
      </c>
      <c r="N144">
        <v>0</v>
      </c>
      <c r="O144" s="135">
        <v>15261.9</v>
      </c>
      <c r="P144" s="36" t="s">
        <v>12</v>
      </c>
    </row>
    <row r="145" spans="1:17" ht="15" customHeight="1">
      <c r="A145" s="608">
        <v>291</v>
      </c>
      <c r="B145" s="176" t="s">
        <v>415</v>
      </c>
      <c r="C145" s="392"/>
      <c r="D145" s="371"/>
      <c r="E145" s="651">
        <v>7240</v>
      </c>
      <c r="F145" s="177">
        <v>7240</v>
      </c>
      <c r="G145" s="177">
        <v>1424.5</v>
      </c>
      <c r="H145" s="177">
        <f>O145+G145</f>
        <v>1424.5</v>
      </c>
      <c r="I145" s="148">
        <v>1184.5</v>
      </c>
      <c r="J145" s="177">
        <v>1151</v>
      </c>
      <c r="K145" s="148">
        <f t="shared" ref="K145:K152" si="47">+F145-H145</f>
        <v>5815.5</v>
      </c>
      <c r="L145" s="177">
        <f t="shared" ref="L145:L152" si="48">+E145-H145</f>
        <v>5815.5</v>
      </c>
      <c r="M145" s="171">
        <f t="shared" si="46"/>
        <v>19.675414364640883</v>
      </c>
      <c r="O145" s="36"/>
    </row>
    <row r="146" spans="1:17" ht="15" customHeight="1">
      <c r="A146" s="609">
        <v>292</v>
      </c>
      <c r="B146" s="176" t="s">
        <v>416</v>
      </c>
      <c r="C146" s="393"/>
      <c r="D146" s="374"/>
      <c r="E146" s="651">
        <v>250</v>
      </c>
      <c r="F146" s="177">
        <v>250</v>
      </c>
      <c r="G146" s="177">
        <v>249.1</v>
      </c>
      <c r="H146" s="177">
        <f>O146+G146</f>
        <v>249.1</v>
      </c>
      <c r="I146" s="148"/>
      <c r="J146" s="177"/>
      <c r="K146" s="148">
        <f t="shared" si="47"/>
        <v>0.90000000000000568</v>
      </c>
      <c r="L146" s="177">
        <f t="shared" si="48"/>
        <v>0.90000000000000568</v>
      </c>
      <c r="M146" s="171">
        <f t="shared" si="46"/>
        <v>99.64</v>
      </c>
      <c r="O146" s="36"/>
      <c r="P146" t="s">
        <v>12</v>
      </c>
    </row>
    <row r="147" spans="1:17" ht="14.25" customHeight="1">
      <c r="A147" s="608">
        <v>293</v>
      </c>
      <c r="B147" s="176" t="s">
        <v>417</v>
      </c>
      <c r="C147" s="394"/>
      <c r="D147" s="372"/>
      <c r="E147" s="651">
        <v>100550</v>
      </c>
      <c r="F147" s="177">
        <v>100550</v>
      </c>
      <c r="G147" s="663">
        <v>-6669.84</v>
      </c>
      <c r="H147" s="177">
        <f>O147+G147</f>
        <v>8592.06</v>
      </c>
      <c r="I147" s="148">
        <v>8015.08</v>
      </c>
      <c r="J147" s="177"/>
      <c r="K147" s="148">
        <f t="shared" si="47"/>
        <v>91957.94</v>
      </c>
      <c r="L147" s="177">
        <f t="shared" si="48"/>
        <v>91957.94</v>
      </c>
      <c r="M147" s="171">
        <f t="shared" si="46"/>
        <v>8.5450621581302837</v>
      </c>
      <c r="O147" s="36">
        <v>15261.9</v>
      </c>
    </row>
    <row r="148" spans="1:17" ht="15" customHeight="1">
      <c r="A148" s="608">
        <v>294</v>
      </c>
      <c r="B148" s="176" t="s">
        <v>418</v>
      </c>
      <c r="C148" s="394"/>
      <c r="D148" s="372"/>
      <c r="E148" s="651">
        <v>110</v>
      </c>
      <c r="F148" s="177">
        <v>110</v>
      </c>
      <c r="G148" s="177">
        <v>102.45</v>
      </c>
      <c r="H148" s="177">
        <f t="shared" ref="H148:H153" si="49">O148+G148</f>
        <v>102.45</v>
      </c>
      <c r="I148" s="148"/>
      <c r="J148" s="177"/>
      <c r="K148" s="148">
        <f t="shared" si="47"/>
        <v>7.5499999999999972</v>
      </c>
      <c r="L148" s="177">
        <f t="shared" si="48"/>
        <v>7.5499999999999972</v>
      </c>
      <c r="M148" s="171">
        <f t="shared" si="46"/>
        <v>93.13636363636364</v>
      </c>
      <c r="O148" s="36"/>
    </row>
    <row r="149" spans="1:17" ht="15" customHeight="1">
      <c r="A149" s="608">
        <v>295</v>
      </c>
      <c r="B149" s="177" t="s">
        <v>419</v>
      </c>
      <c r="C149" s="392"/>
      <c r="D149" s="371"/>
      <c r="E149" s="651">
        <v>800</v>
      </c>
      <c r="F149" s="177">
        <v>800</v>
      </c>
      <c r="G149" s="177">
        <v>798.22</v>
      </c>
      <c r="H149" s="177">
        <f t="shared" si="49"/>
        <v>798.22</v>
      </c>
      <c r="I149" s="148"/>
      <c r="J149" s="177"/>
      <c r="K149" s="148">
        <f t="shared" si="47"/>
        <v>1.7799999999999727</v>
      </c>
      <c r="L149" s="177">
        <f t="shared" si="48"/>
        <v>1.7799999999999727</v>
      </c>
      <c r="M149" s="171">
        <f t="shared" si="46"/>
        <v>99.777500000000003</v>
      </c>
      <c r="O149" s="36"/>
    </row>
    <row r="150" spans="1:17" ht="15" customHeight="1">
      <c r="A150" s="608">
        <v>296</v>
      </c>
      <c r="B150" s="176" t="s">
        <v>420</v>
      </c>
      <c r="C150" s="394"/>
      <c r="D150" s="372"/>
      <c r="E150" s="651">
        <v>6000</v>
      </c>
      <c r="F150" s="177">
        <v>6000</v>
      </c>
      <c r="G150" s="177">
        <v>5992.55</v>
      </c>
      <c r="H150" s="177">
        <f t="shared" si="49"/>
        <v>5992.55</v>
      </c>
      <c r="I150" s="148"/>
      <c r="J150" s="177"/>
      <c r="K150" s="148">
        <f t="shared" si="47"/>
        <v>7.4499999999998181</v>
      </c>
      <c r="L150" s="177">
        <f t="shared" si="48"/>
        <v>7.4499999999998181</v>
      </c>
      <c r="M150" s="171">
        <f t="shared" si="46"/>
        <v>99.875833333333333</v>
      </c>
      <c r="O150" s="36"/>
    </row>
    <row r="151" spans="1:17" ht="15" customHeight="1">
      <c r="A151" s="608">
        <v>297</v>
      </c>
      <c r="B151" s="177" t="s">
        <v>421</v>
      </c>
      <c r="C151" s="392"/>
      <c r="D151" s="371"/>
      <c r="E151" s="651">
        <v>22000</v>
      </c>
      <c r="F151" s="177">
        <v>22000</v>
      </c>
      <c r="G151" s="177">
        <v>21355.06</v>
      </c>
      <c r="H151" s="177">
        <f t="shared" si="49"/>
        <v>21355.06</v>
      </c>
      <c r="I151" s="148"/>
      <c r="J151" s="177"/>
      <c r="K151" s="148">
        <f t="shared" si="47"/>
        <v>644.93999999999869</v>
      </c>
      <c r="L151" s="177">
        <f t="shared" si="48"/>
        <v>644.93999999999869</v>
      </c>
      <c r="M151" s="171">
        <f t="shared" si="46"/>
        <v>97.068454545454543</v>
      </c>
      <c r="O151" s="36"/>
    </row>
    <row r="152" spans="1:17" ht="14.25" customHeight="1">
      <c r="A152" s="608">
        <v>298</v>
      </c>
      <c r="B152" s="177" t="s">
        <v>422</v>
      </c>
      <c r="C152" s="392"/>
      <c r="D152" s="371"/>
      <c r="E152" s="651">
        <v>41900</v>
      </c>
      <c r="F152" s="177">
        <v>41900</v>
      </c>
      <c r="G152" s="177">
        <v>38542.400000000001</v>
      </c>
      <c r="H152" s="177">
        <f t="shared" si="49"/>
        <v>38542.400000000001</v>
      </c>
      <c r="I152" s="148"/>
      <c r="J152" s="177"/>
      <c r="K152" s="148">
        <f t="shared" si="47"/>
        <v>3357.5999999999985</v>
      </c>
      <c r="L152" s="177">
        <f t="shared" si="48"/>
        <v>3357.5999999999985</v>
      </c>
      <c r="M152" s="171">
        <f t="shared" si="46"/>
        <v>91.986634844868732</v>
      </c>
      <c r="O152" s="36"/>
    </row>
    <row r="153" spans="1:17" ht="15.75" customHeight="1">
      <c r="A153" s="608">
        <v>299</v>
      </c>
      <c r="B153" s="177" t="s">
        <v>423</v>
      </c>
      <c r="C153" s="392"/>
      <c r="D153" s="371"/>
      <c r="E153" s="651">
        <v>39100</v>
      </c>
      <c r="F153" s="177">
        <v>39100</v>
      </c>
      <c r="G153" s="177">
        <v>23060.67</v>
      </c>
      <c r="H153" s="177">
        <f t="shared" si="49"/>
        <v>23060.67</v>
      </c>
      <c r="I153" s="148">
        <v>22315.67</v>
      </c>
      <c r="J153" s="177"/>
      <c r="K153" s="148">
        <f t="shared" ref="K153:K162" si="50">+F153-H153</f>
        <v>16039.330000000002</v>
      </c>
      <c r="L153" s="177">
        <f t="shared" ref="L153:L162" si="51">+E153-H153</f>
        <v>16039.330000000002</v>
      </c>
      <c r="M153" s="171">
        <f t="shared" si="46"/>
        <v>58.978695652173911</v>
      </c>
      <c r="O153" s="36">
        <v>0</v>
      </c>
    </row>
    <row r="154" spans="1:17" ht="18.75" customHeight="1">
      <c r="A154" s="620">
        <v>4</v>
      </c>
      <c r="B154" s="618" t="s">
        <v>424</v>
      </c>
      <c r="C154" s="615">
        <f>SUM(C155)</f>
        <v>2318000</v>
      </c>
      <c r="D154" s="616"/>
      <c r="E154" s="617">
        <f t="shared" ref="E154:J154" si="52">+E155+E157</f>
        <v>2319700</v>
      </c>
      <c r="F154" s="615">
        <f t="shared" si="52"/>
        <v>1390700</v>
      </c>
      <c r="G154" s="615">
        <f t="shared" si="52"/>
        <v>209312.86</v>
      </c>
      <c r="H154" s="671">
        <f t="shared" si="52"/>
        <v>354158.05999999994</v>
      </c>
      <c r="I154" s="617">
        <f t="shared" si="52"/>
        <v>77649.259999999995</v>
      </c>
      <c r="J154" s="618">
        <f t="shared" si="52"/>
        <v>998</v>
      </c>
      <c r="K154" s="619">
        <f t="shared" si="50"/>
        <v>1036541.9400000001</v>
      </c>
      <c r="L154" s="615">
        <f t="shared" si="51"/>
        <v>1965541.94</v>
      </c>
      <c r="M154" s="623">
        <f t="shared" si="46"/>
        <v>25.466172431149776</v>
      </c>
      <c r="O154" s="135">
        <v>159922.12</v>
      </c>
      <c r="P154" t="s">
        <v>12</v>
      </c>
      <c r="Q154" s="1" t="s">
        <v>12</v>
      </c>
    </row>
    <row r="155" spans="1:17" ht="15" customHeight="1">
      <c r="A155" s="607">
        <v>430</v>
      </c>
      <c r="B155" s="168" t="s">
        <v>425</v>
      </c>
      <c r="C155" s="391">
        <f>SUM(C156)</f>
        <v>2318000</v>
      </c>
      <c r="D155" s="371"/>
      <c r="E155" s="385">
        <f>E156</f>
        <v>2232600</v>
      </c>
      <c r="F155" s="391">
        <f>+F156</f>
        <v>1303600</v>
      </c>
      <c r="G155" s="391">
        <f>+G156</f>
        <v>180410.25</v>
      </c>
      <c r="H155" s="391">
        <f>+H156</f>
        <v>325255.44999999995</v>
      </c>
      <c r="I155" s="145">
        <f>+I156</f>
        <v>77649.259999999995</v>
      </c>
      <c r="J155" s="168">
        <f>SUM(J156)</f>
        <v>998</v>
      </c>
      <c r="K155" s="145">
        <f t="shared" si="50"/>
        <v>978344.55</v>
      </c>
      <c r="L155" s="168">
        <f t="shared" si="51"/>
        <v>1907344.55</v>
      </c>
      <c r="M155" s="180">
        <f t="shared" si="46"/>
        <v>24.950556152193922</v>
      </c>
      <c r="O155" s="135">
        <v>159922.12</v>
      </c>
    </row>
    <row r="156" spans="1:17" ht="13.5" customHeight="1">
      <c r="A156" s="608">
        <v>439</v>
      </c>
      <c r="B156" s="166" t="s">
        <v>426</v>
      </c>
      <c r="C156" s="390">
        <v>2318000</v>
      </c>
      <c r="D156" s="372"/>
      <c r="E156" s="648">
        <v>2232600</v>
      </c>
      <c r="F156" s="390">
        <v>1303600</v>
      </c>
      <c r="G156" s="664">
        <f>180410.25</f>
        <v>180410.25</v>
      </c>
      <c r="H156" s="669">
        <f>O156+G156</f>
        <v>325255.44999999995</v>
      </c>
      <c r="I156" s="148">
        <v>77649.259999999995</v>
      </c>
      <c r="J156" s="166">
        <v>998</v>
      </c>
      <c r="K156" s="148">
        <f t="shared" si="50"/>
        <v>978344.55</v>
      </c>
      <c r="L156" s="166">
        <f t="shared" si="51"/>
        <v>1907344.55</v>
      </c>
      <c r="M156" s="171">
        <f t="shared" si="46"/>
        <v>24.950556152193922</v>
      </c>
      <c r="O156" s="36">
        <f>159922.12-15076.92</f>
        <v>144845.19999999998</v>
      </c>
    </row>
    <row r="157" spans="1:17" ht="16.5" customHeight="1">
      <c r="A157" s="607">
        <v>490</v>
      </c>
      <c r="B157" s="168" t="s">
        <v>427</v>
      </c>
      <c r="C157" s="390">
        <f>SUM(C158)</f>
        <v>0</v>
      </c>
      <c r="D157" s="372"/>
      <c r="E157" s="385">
        <f>+E158</f>
        <v>87100</v>
      </c>
      <c r="F157" s="391">
        <f>+F158</f>
        <v>87100</v>
      </c>
      <c r="G157" s="391">
        <f>+G158</f>
        <v>28902.61</v>
      </c>
      <c r="H157" s="168">
        <f>+H158</f>
        <v>28902.61</v>
      </c>
      <c r="I157" s="145"/>
      <c r="J157" s="168">
        <f>J158</f>
        <v>0</v>
      </c>
      <c r="K157" s="145">
        <f t="shared" si="50"/>
        <v>58197.39</v>
      </c>
      <c r="L157" s="168">
        <f t="shared" si="51"/>
        <v>58197.39</v>
      </c>
      <c r="M157" s="171">
        <f t="shared" si="46"/>
        <v>33.183249138920779</v>
      </c>
      <c r="O157" s="135">
        <v>0</v>
      </c>
    </row>
    <row r="158" spans="1:17" ht="13.5" customHeight="1">
      <c r="A158" s="608">
        <v>494</v>
      </c>
      <c r="B158" s="166" t="s">
        <v>428</v>
      </c>
      <c r="C158" s="390"/>
      <c r="D158" s="372"/>
      <c r="E158" s="648">
        <v>87100</v>
      </c>
      <c r="F158" s="161">
        <v>87100</v>
      </c>
      <c r="G158" s="664">
        <v>28902.61</v>
      </c>
      <c r="H158" s="166">
        <v>28902.61</v>
      </c>
      <c r="I158" s="148"/>
      <c r="J158" s="166"/>
      <c r="K158" s="148">
        <f t="shared" si="50"/>
        <v>58197.39</v>
      </c>
      <c r="L158" s="166">
        <f t="shared" si="51"/>
        <v>58197.39</v>
      </c>
      <c r="M158" s="171">
        <f t="shared" si="46"/>
        <v>33.183249138920779</v>
      </c>
      <c r="O158" s="36"/>
    </row>
    <row r="159" spans="1:17" ht="15.75" customHeight="1">
      <c r="A159" s="620" t="s">
        <v>429</v>
      </c>
      <c r="B159" s="614" t="s">
        <v>430</v>
      </c>
      <c r="C159" s="615">
        <f>C160+C162+C169+C175+C179+C173</f>
        <v>1666238</v>
      </c>
      <c r="D159" s="616"/>
      <c r="E159" s="617">
        <f>+E160+E162+E169+E173+E175+E179</f>
        <v>1391688</v>
      </c>
      <c r="F159" s="618">
        <f>F160+F162+F169+F175+F179</f>
        <v>934706</v>
      </c>
      <c r="G159" s="618">
        <f>G160+G162+G169+G175+G179+G173</f>
        <v>54134.5</v>
      </c>
      <c r="H159" s="674">
        <f>H160+H162+H169+H175+H179</f>
        <v>57508.369999999995</v>
      </c>
      <c r="I159" s="618">
        <f>I160+I162+I169+I175+I179+I173</f>
        <v>8129.24</v>
      </c>
      <c r="J159" s="618">
        <f>J160+J162+J169+J175+J179+J173</f>
        <v>7229.24</v>
      </c>
      <c r="K159" s="622">
        <f t="shared" si="50"/>
        <v>877197.63</v>
      </c>
      <c r="L159" s="618">
        <f t="shared" si="51"/>
        <v>1334179.6299999999</v>
      </c>
      <c r="M159" s="621">
        <f t="shared" si="46"/>
        <v>6.1525624099984384</v>
      </c>
      <c r="O159" s="181">
        <v>3373.87</v>
      </c>
      <c r="P159" t="s">
        <v>12</v>
      </c>
      <c r="Q159" s="1" t="s">
        <v>12</v>
      </c>
    </row>
    <row r="160" spans="1:17">
      <c r="A160" s="607" t="s">
        <v>431</v>
      </c>
      <c r="B160" s="178" t="s">
        <v>432</v>
      </c>
      <c r="C160" s="391">
        <f>SUM(C161)</f>
        <v>118164</v>
      </c>
      <c r="D160" s="371"/>
      <c r="E160" s="385">
        <f>SUM(E161)</f>
        <v>118164</v>
      </c>
      <c r="F160" s="391">
        <f>F161</f>
        <v>19694</v>
      </c>
      <c r="G160" s="391">
        <f>G161</f>
        <v>3373.87</v>
      </c>
      <c r="H160" s="168">
        <f>SUM(H161)</f>
        <v>6747.74</v>
      </c>
      <c r="I160" s="168">
        <f>+I161</f>
        <v>6747.74</v>
      </c>
      <c r="J160" s="391">
        <f>+J161</f>
        <v>6747.74</v>
      </c>
      <c r="K160" s="35">
        <f t="shared" si="50"/>
        <v>12946.26</v>
      </c>
      <c r="L160" s="395">
        <f t="shared" si="51"/>
        <v>111416.26</v>
      </c>
      <c r="M160" s="180">
        <f t="shared" si="46"/>
        <v>34.262922717578959</v>
      </c>
      <c r="O160" s="135">
        <v>3373.87</v>
      </c>
    </row>
    <row r="161" spans="1:18" ht="13.5" customHeight="1">
      <c r="A161" s="608" t="s">
        <v>433</v>
      </c>
      <c r="B161" s="167" t="s">
        <v>434</v>
      </c>
      <c r="C161" s="390">
        <v>118164</v>
      </c>
      <c r="D161" s="372"/>
      <c r="E161" s="648">
        <v>118164</v>
      </c>
      <c r="F161" s="161">
        <v>19694</v>
      </c>
      <c r="G161" s="664">
        <v>3373.87</v>
      </c>
      <c r="H161" s="148">
        <f>O161+G161</f>
        <v>6747.74</v>
      </c>
      <c r="I161" s="148">
        <v>6747.74</v>
      </c>
      <c r="J161" s="166">
        <v>6747.74</v>
      </c>
      <c r="K161" s="148">
        <f t="shared" si="50"/>
        <v>12946.26</v>
      </c>
      <c r="L161" s="166">
        <f t="shared" si="51"/>
        <v>111416.26</v>
      </c>
      <c r="M161" s="171">
        <f t="shared" si="46"/>
        <v>34.262922717578959</v>
      </c>
      <c r="O161" s="36">
        <v>3373.87</v>
      </c>
      <c r="P161" t="s">
        <v>12</v>
      </c>
      <c r="Q161" t="s">
        <v>12</v>
      </c>
    </row>
    <row r="162" spans="1:18">
      <c r="A162" s="35" t="s">
        <v>435</v>
      </c>
      <c r="B162" s="168" t="s">
        <v>285</v>
      </c>
      <c r="C162" s="391">
        <f>SUM(C163:C168)</f>
        <v>846224</v>
      </c>
      <c r="D162" s="371"/>
      <c r="E162" s="385">
        <f>SUM(E163:E168)</f>
        <v>846224</v>
      </c>
      <c r="F162" s="385">
        <f>SUM(F163:F168)</f>
        <v>802678</v>
      </c>
      <c r="G162" s="35">
        <f>+G163+G164+G166+G168</f>
        <v>0</v>
      </c>
      <c r="H162" s="145">
        <f>+O162+G162</f>
        <v>0</v>
      </c>
      <c r="I162" s="145">
        <f>+P162+H162</f>
        <v>0</v>
      </c>
      <c r="J162" s="168"/>
      <c r="K162" s="145">
        <f t="shared" si="50"/>
        <v>802678</v>
      </c>
      <c r="L162" s="168">
        <f t="shared" si="51"/>
        <v>846224</v>
      </c>
      <c r="M162" s="171">
        <f t="shared" si="46"/>
        <v>0</v>
      </c>
      <c r="O162" s="135">
        <v>0</v>
      </c>
      <c r="R162" s="1" t="s">
        <v>12</v>
      </c>
    </row>
    <row r="163" spans="1:18" ht="14.25" customHeight="1">
      <c r="A163" s="608">
        <v>611</v>
      </c>
      <c r="B163" s="166" t="s">
        <v>436</v>
      </c>
      <c r="C163" s="390">
        <v>1800</v>
      </c>
      <c r="D163" s="372"/>
      <c r="E163" s="648">
        <v>1800</v>
      </c>
      <c r="F163" s="161">
        <v>1800</v>
      </c>
      <c r="G163" s="664"/>
      <c r="H163" s="148"/>
      <c r="I163" s="148"/>
      <c r="J163" s="166"/>
      <c r="K163" s="145">
        <f t="shared" ref="K163:K168" si="53">+F163-H163</f>
        <v>1800</v>
      </c>
      <c r="L163" s="166">
        <f t="shared" ref="L163:L168" si="54">+E163-H163</f>
        <v>1800</v>
      </c>
      <c r="M163" s="171">
        <f t="shared" si="46"/>
        <v>0</v>
      </c>
      <c r="O163" s="36"/>
    </row>
    <row r="164" spans="1:18" ht="0.75" customHeight="1">
      <c r="A164" s="608">
        <v>612</v>
      </c>
      <c r="B164" s="166" t="s">
        <v>437</v>
      </c>
      <c r="C164" s="390"/>
      <c r="D164" s="372"/>
      <c r="E164" s="648"/>
      <c r="F164" s="161"/>
      <c r="G164" s="664"/>
      <c r="H164" s="669"/>
      <c r="I164" s="148"/>
      <c r="J164" s="166"/>
      <c r="K164" s="145">
        <f t="shared" si="53"/>
        <v>0</v>
      </c>
      <c r="L164" s="168">
        <f t="shared" si="54"/>
        <v>0</v>
      </c>
      <c r="M164" s="171" t="e">
        <f t="shared" si="46"/>
        <v>#DIV/0!</v>
      </c>
      <c r="O164" s="36"/>
    </row>
    <row r="165" spans="1:18" ht="12" hidden="1" customHeight="1">
      <c r="A165" s="608">
        <v>613</v>
      </c>
      <c r="B165" s="166" t="s">
        <v>438</v>
      </c>
      <c r="C165" s="390"/>
      <c r="D165" s="372"/>
      <c r="E165" s="648"/>
      <c r="F165" s="161"/>
      <c r="G165" s="664"/>
      <c r="H165" s="148"/>
      <c r="I165" s="148"/>
      <c r="J165" s="166"/>
      <c r="K165" s="145">
        <f t="shared" si="53"/>
        <v>0</v>
      </c>
      <c r="L165" s="168">
        <f t="shared" si="54"/>
        <v>0</v>
      </c>
      <c r="M165" s="171" t="e">
        <f t="shared" si="46"/>
        <v>#DIV/0!</v>
      </c>
      <c r="O165" s="36"/>
    </row>
    <row r="166" spans="1:18" ht="12.75" customHeight="1">
      <c r="A166" s="608">
        <v>614</v>
      </c>
      <c r="B166" s="166" t="s">
        <v>439</v>
      </c>
      <c r="C166" s="390">
        <v>400439</v>
      </c>
      <c r="D166" s="372"/>
      <c r="E166" s="648">
        <v>400439</v>
      </c>
      <c r="F166" s="161">
        <v>400439</v>
      </c>
      <c r="G166" s="664"/>
      <c r="H166" s="148"/>
      <c r="I166" s="148"/>
      <c r="J166" s="166"/>
      <c r="K166" s="148">
        <f t="shared" si="53"/>
        <v>400439</v>
      </c>
      <c r="L166" s="166">
        <f t="shared" si="54"/>
        <v>400439</v>
      </c>
      <c r="M166" s="171">
        <f t="shared" si="46"/>
        <v>0</v>
      </c>
      <c r="O166" s="36"/>
    </row>
    <row r="167" spans="1:18" ht="12.75" customHeight="1">
      <c r="A167" s="608">
        <v>615</v>
      </c>
      <c r="B167" s="166" t="s">
        <v>615</v>
      </c>
      <c r="C167" s="390">
        <v>400439</v>
      </c>
      <c r="D167" s="372"/>
      <c r="E167" s="648">
        <v>400439</v>
      </c>
      <c r="F167" s="161">
        <v>400439</v>
      </c>
      <c r="G167" s="664"/>
      <c r="H167" s="148"/>
      <c r="I167" s="148"/>
      <c r="J167" s="166"/>
      <c r="K167" s="148">
        <f t="shared" si="53"/>
        <v>400439</v>
      </c>
      <c r="L167" s="166">
        <f t="shared" si="54"/>
        <v>400439</v>
      </c>
      <c r="M167" s="171">
        <f t="shared" si="46"/>
        <v>0</v>
      </c>
      <c r="O167" s="36"/>
    </row>
    <row r="168" spans="1:18" ht="13.5" customHeight="1">
      <c r="A168" s="608">
        <v>619</v>
      </c>
      <c r="B168" s="166" t="s">
        <v>440</v>
      </c>
      <c r="C168" s="390">
        <v>43546</v>
      </c>
      <c r="D168" s="372"/>
      <c r="E168" s="648">
        <v>43546</v>
      </c>
      <c r="F168" s="161"/>
      <c r="G168" s="664"/>
      <c r="H168" s="148"/>
      <c r="I168" s="148"/>
      <c r="J168" s="166"/>
      <c r="K168" s="148">
        <f t="shared" si="53"/>
        <v>0</v>
      </c>
      <c r="L168" s="166">
        <f t="shared" si="54"/>
        <v>43546</v>
      </c>
      <c r="M168" s="171"/>
      <c r="O168" s="36"/>
    </row>
    <row r="169" spans="1:18" ht="13.5" customHeight="1">
      <c r="A169" s="607">
        <v>620</v>
      </c>
      <c r="B169" s="168" t="s">
        <v>441</v>
      </c>
      <c r="C169" s="391">
        <f>C170+C172</f>
        <v>355584</v>
      </c>
      <c r="D169" s="371"/>
      <c r="E169" s="385">
        <f>+E170+E171+E172</f>
        <v>113734</v>
      </c>
      <c r="F169" s="395">
        <f>+F170+F171+F172</f>
        <v>60034</v>
      </c>
      <c r="G169" s="395">
        <f>+G170+G171+G172</f>
        <v>33972.5</v>
      </c>
      <c r="H169" s="168">
        <f>O169+G169</f>
        <v>33972.5</v>
      </c>
      <c r="I169" s="145">
        <f>I170</f>
        <v>481.5</v>
      </c>
      <c r="J169" s="168">
        <f>+J170+J171+J172</f>
        <v>481.5</v>
      </c>
      <c r="K169" s="145">
        <f t="shared" ref="K169:K175" si="55">+F169-H169</f>
        <v>26061.5</v>
      </c>
      <c r="L169" s="168">
        <f t="shared" ref="L169:L174" si="56">+E169-H169</f>
        <v>79761.5</v>
      </c>
      <c r="M169" s="171">
        <f t="shared" si="46"/>
        <v>56.588766365726087</v>
      </c>
      <c r="O169" s="135">
        <v>0</v>
      </c>
    </row>
    <row r="170" spans="1:18" ht="13.5" customHeight="1">
      <c r="A170" s="608">
        <v>624</v>
      </c>
      <c r="B170" s="166" t="s">
        <v>442</v>
      </c>
      <c r="C170" s="390">
        <v>350584</v>
      </c>
      <c r="D170" s="372"/>
      <c r="E170" s="648">
        <v>113734</v>
      </c>
      <c r="F170" s="656">
        <v>60034</v>
      </c>
      <c r="G170" s="664">
        <v>33972.5</v>
      </c>
      <c r="H170" s="148">
        <f>+O170+G170</f>
        <v>33972.5</v>
      </c>
      <c r="I170" s="148">
        <v>481.5</v>
      </c>
      <c r="J170" s="166">
        <v>481.5</v>
      </c>
      <c r="K170" s="148">
        <f t="shared" si="55"/>
        <v>26061.5</v>
      </c>
      <c r="L170" s="166">
        <f t="shared" si="56"/>
        <v>79761.5</v>
      </c>
      <c r="M170" s="171">
        <f t="shared" si="46"/>
        <v>56.588766365726087</v>
      </c>
      <c r="O170" s="36">
        <v>0</v>
      </c>
    </row>
    <row r="171" spans="1:18" ht="12" hidden="1" customHeight="1">
      <c r="A171" s="608">
        <v>624</v>
      </c>
      <c r="B171" s="166" t="s">
        <v>442</v>
      </c>
      <c r="C171" s="390">
        <v>350584</v>
      </c>
      <c r="D171" s="372"/>
      <c r="E171" s="648"/>
      <c r="F171" s="656"/>
      <c r="G171" s="664"/>
      <c r="H171" s="148"/>
      <c r="I171" s="148"/>
      <c r="J171" s="166"/>
      <c r="K171" s="148">
        <f t="shared" si="55"/>
        <v>0</v>
      </c>
      <c r="L171" s="166">
        <f t="shared" si="56"/>
        <v>0</v>
      </c>
      <c r="M171" s="171" t="e">
        <f t="shared" si="46"/>
        <v>#DIV/0!</v>
      </c>
      <c r="O171" s="36"/>
    </row>
    <row r="172" spans="1:18" ht="12" customHeight="1">
      <c r="A172" s="608">
        <v>629</v>
      </c>
      <c r="B172" s="166" t="s">
        <v>443</v>
      </c>
      <c r="C172" s="390">
        <v>5000</v>
      </c>
      <c r="D172" s="372"/>
      <c r="E172" s="648"/>
      <c r="F172" s="656"/>
      <c r="G172" s="664"/>
      <c r="H172" s="148"/>
      <c r="I172" s="148"/>
      <c r="J172" s="161"/>
      <c r="K172" s="148">
        <f t="shared" si="55"/>
        <v>0</v>
      </c>
      <c r="L172" s="166">
        <f t="shared" si="56"/>
        <v>0</v>
      </c>
      <c r="M172" s="171"/>
      <c r="O172" s="36"/>
    </row>
    <row r="173" spans="1:18" ht="12" customHeight="1">
      <c r="A173" s="607">
        <v>640</v>
      </c>
      <c r="B173" s="168" t="s">
        <v>444</v>
      </c>
      <c r="C173" s="391">
        <f>+C174</f>
        <v>159266</v>
      </c>
      <c r="D173" s="371"/>
      <c r="E173" s="385">
        <f t="shared" ref="E173:J173" si="57">+E174</f>
        <v>159266</v>
      </c>
      <c r="F173" s="395">
        <f t="shared" si="57"/>
        <v>0</v>
      </c>
      <c r="G173" s="168">
        <f t="shared" si="57"/>
        <v>0</v>
      </c>
      <c r="H173" s="168">
        <f t="shared" si="57"/>
        <v>0</v>
      </c>
      <c r="I173" s="168">
        <f t="shared" si="57"/>
        <v>0</v>
      </c>
      <c r="J173" s="168">
        <f t="shared" si="57"/>
        <v>0</v>
      </c>
      <c r="K173" s="148">
        <f t="shared" si="55"/>
        <v>0</v>
      </c>
      <c r="L173" s="166">
        <f t="shared" si="56"/>
        <v>159266</v>
      </c>
      <c r="M173" s="171"/>
      <c r="O173" s="36">
        <v>0</v>
      </c>
    </row>
    <row r="174" spans="1:18" ht="12" customHeight="1">
      <c r="A174" s="608">
        <v>641</v>
      </c>
      <c r="B174" s="166" t="s">
        <v>445</v>
      </c>
      <c r="C174" s="390">
        <v>159266</v>
      </c>
      <c r="D174" s="372"/>
      <c r="E174" s="648">
        <v>159266</v>
      </c>
      <c r="F174" s="656"/>
      <c r="G174" s="664"/>
      <c r="H174" s="148"/>
      <c r="I174" s="148"/>
      <c r="J174" s="161"/>
      <c r="K174" s="148">
        <f t="shared" si="55"/>
        <v>0</v>
      </c>
      <c r="L174" s="166">
        <f t="shared" si="56"/>
        <v>159266</v>
      </c>
      <c r="M174" s="171"/>
      <c r="O174" s="36"/>
    </row>
    <row r="175" spans="1:18">
      <c r="A175" s="607" t="s">
        <v>446</v>
      </c>
      <c r="B175" s="178" t="s">
        <v>447</v>
      </c>
      <c r="C175" s="391">
        <f>SUM(C176:C178)</f>
        <v>187000</v>
      </c>
      <c r="D175" s="371"/>
      <c r="E175" s="385">
        <f>SUM(E176:E178)</f>
        <v>144300</v>
      </c>
      <c r="F175" s="395">
        <f>SUM(F176:F178)</f>
        <v>42300</v>
      </c>
      <c r="G175" s="395">
        <f>SUM(G176:G178)</f>
        <v>16788.13</v>
      </c>
      <c r="H175" s="145">
        <f t="shared" ref="H175:H180" si="58">+O175+G175</f>
        <v>16788.13</v>
      </c>
      <c r="I175" s="145">
        <f>+I177+I178</f>
        <v>900</v>
      </c>
      <c r="J175" s="35">
        <f>SUM(J176:J178)</f>
        <v>0</v>
      </c>
      <c r="K175" s="145">
        <f t="shared" si="55"/>
        <v>25511.87</v>
      </c>
      <c r="L175" s="168">
        <f t="shared" ref="L175:L181" si="59">+E175-H175</f>
        <v>127511.87</v>
      </c>
      <c r="M175" s="171">
        <f t="shared" si="46"/>
        <v>39.688250591016548</v>
      </c>
      <c r="O175" s="135">
        <v>0</v>
      </c>
    </row>
    <row r="176" spans="1:18" ht="13.5" customHeight="1">
      <c r="A176" s="608">
        <v>662</v>
      </c>
      <c r="B176" s="167" t="s">
        <v>448</v>
      </c>
      <c r="C176" s="390">
        <v>116000</v>
      </c>
      <c r="D176" s="372"/>
      <c r="E176" s="648">
        <v>90600</v>
      </c>
      <c r="F176" s="656">
        <v>24600</v>
      </c>
      <c r="G176" s="664">
        <v>12500</v>
      </c>
      <c r="H176" s="148">
        <f>O176+G176</f>
        <v>12500</v>
      </c>
      <c r="I176" s="148"/>
      <c r="J176" s="166"/>
      <c r="K176" s="148">
        <f t="shared" ref="K176:K182" si="60">+F176-H176</f>
        <v>12100</v>
      </c>
      <c r="L176" s="166">
        <f>+E176-H176</f>
        <v>78100</v>
      </c>
      <c r="M176" s="171">
        <f t="shared" si="46"/>
        <v>50.8130081300813</v>
      </c>
      <c r="O176" s="36"/>
      <c r="P176" t="s">
        <v>137</v>
      </c>
    </row>
    <row r="177" spans="1:15" ht="11.25" customHeight="1">
      <c r="A177" s="608" t="s">
        <v>449</v>
      </c>
      <c r="B177" s="167" t="s">
        <v>450</v>
      </c>
      <c r="C177" s="390"/>
      <c r="D177" s="372"/>
      <c r="E177" s="648">
        <v>6000</v>
      </c>
      <c r="F177" s="656">
        <v>6000</v>
      </c>
      <c r="G177" s="664">
        <v>1000</v>
      </c>
      <c r="H177" s="148">
        <f t="shared" ref="H177:H178" si="61">O177+G177</f>
        <v>1000</v>
      </c>
      <c r="I177" s="148"/>
      <c r="J177" s="166"/>
      <c r="K177" s="148">
        <f t="shared" si="60"/>
        <v>5000</v>
      </c>
      <c r="L177" s="166">
        <f>+E177-H177</f>
        <v>5000</v>
      </c>
      <c r="M177" s="171">
        <f t="shared" si="46"/>
        <v>16.666666666666668</v>
      </c>
      <c r="O177" s="36"/>
    </row>
    <row r="178" spans="1:15" ht="12.75" customHeight="1">
      <c r="A178" s="608" t="s">
        <v>451</v>
      </c>
      <c r="B178" s="167" t="s">
        <v>452</v>
      </c>
      <c r="C178" s="390">
        <v>71000</v>
      </c>
      <c r="D178" s="372"/>
      <c r="E178" s="648">
        <v>47700</v>
      </c>
      <c r="F178" s="656">
        <v>11700</v>
      </c>
      <c r="G178" s="664">
        <v>3288.13</v>
      </c>
      <c r="H178" s="148">
        <f t="shared" si="61"/>
        <v>3288.13</v>
      </c>
      <c r="I178" s="148">
        <v>900</v>
      </c>
      <c r="J178" s="166"/>
      <c r="K178" s="148">
        <f t="shared" si="60"/>
        <v>8411.869999999999</v>
      </c>
      <c r="L178" s="166">
        <f>+E178-H178</f>
        <v>44411.87</v>
      </c>
      <c r="M178" s="171">
        <f t="shared" si="46"/>
        <v>28.103675213675213</v>
      </c>
      <c r="O178" s="36"/>
    </row>
    <row r="179" spans="1:15" ht="15.75" customHeight="1">
      <c r="A179" s="607">
        <v>690</v>
      </c>
      <c r="B179" s="168" t="s">
        <v>453</v>
      </c>
      <c r="C179" s="391">
        <f>+C180</f>
        <v>0</v>
      </c>
      <c r="D179" s="371"/>
      <c r="E179" s="385">
        <v>10000</v>
      </c>
      <c r="F179" s="35">
        <v>10000</v>
      </c>
      <c r="G179" s="665"/>
      <c r="H179" s="168">
        <f t="shared" si="58"/>
        <v>0</v>
      </c>
      <c r="I179" s="148"/>
      <c r="J179" s="168">
        <f>+J180</f>
        <v>0</v>
      </c>
      <c r="K179" s="145">
        <f t="shared" si="60"/>
        <v>10000</v>
      </c>
      <c r="L179" s="168">
        <f t="shared" si="59"/>
        <v>10000</v>
      </c>
      <c r="M179" s="171">
        <f t="shared" si="46"/>
        <v>0</v>
      </c>
      <c r="O179" s="135">
        <v>0</v>
      </c>
    </row>
    <row r="180" spans="1:15" ht="15.75" hidden="1" customHeight="1">
      <c r="A180" s="608">
        <v>692</v>
      </c>
      <c r="B180" s="167" t="s">
        <v>454</v>
      </c>
      <c r="C180" s="390"/>
      <c r="D180" s="372"/>
      <c r="E180" s="648"/>
      <c r="F180" s="656">
        <v>0</v>
      </c>
      <c r="G180" s="161">
        <v>0</v>
      </c>
      <c r="H180" s="166">
        <f t="shared" si="58"/>
        <v>0</v>
      </c>
      <c r="I180" s="148"/>
      <c r="J180" s="166">
        <v>0</v>
      </c>
      <c r="K180" s="148">
        <f t="shared" si="60"/>
        <v>0</v>
      </c>
      <c r="L180" s="168">
        <f t="shared" si="59"/>
        <v>0</v>
      </c>
      <c r="M180" s="171" t="e">
        <f t="shared" si="46"/>
        <v>#DIV/0!</v>
      </c>
      <c r="O180" s="36">
        <v>0</v>
      </c>
    </row>
    <row r="181" spans="1:15" ht="18" hidden="1" customHeight="1">
      <c r="A181" s="608">
        <v>693</v>
      </c>
      <c r="B181" s="167" t="s">
        <v>455</v>
      </c>
      <c r="C181" s="390"/>
      <c r="D181" s="372"/>
      <c r="E181" s="648"/>
      <c r="F181" s="656"/>
      <c r="G181" s="666"/>
      <c r="H181" s="161"/>
      <c r="I181" s="148"/>
      <c r="J181" s="166"/>
      <c r="K181" s="148">
        <f t="shared" si="60"/>
        <v>0</v>
      </c>
      <c r="L181" s="166">
        <f t="shared" si="59"/>
        <v>0</v>
      </c>
      <c r="M181" s="171" t="e">
        <f t="shared" si="46"/>
        <v>#DIV/0!</v>
      </c>
      <c r="O181" s="36"/>
    </row>
    <row r="182" spans="1:15" ht="15.75" customHeight="1">
      <c r="A182" s="624">
        <v>697</v>
      </c>
      <c r="B182" s="629" t="s">
        <v>456</v>
      </c>
      <c r="C182" s="630"/>
      <c r="D182" s="631"/>
      <c r="E182" s="652">
        <v>10000</v>
      </c>
      <c r="F182" s="658">
        <v>10000</v>
      </c>
      <c r="G182" s="667"/>
      <c r="H182" s="632"/>
      <c r="I182" s="632"/>
      <c r="J182" s="633"/>
      <c r="K182" s="632">
        <f t="shared" si="60"/>
        <v>10000</v>
      </c>
      <c r="L182" s="633"/>
      <c r="M182" s="634"/>
      <c r="O182" s="36"/>
    </row>
    <row r="183" spans="1:15" ht="28.9" customHeight="1">
      <c r="A183" s="624" t="s">
        <v>12</v>
      </c>
      <c r="B183" s="625" t="s">
        <v>457</v>
      </c>
      <c r="C183" s="626">
        <f>C11+C37+C94+C154+C159</f>
        <v>133140570</v>
      </c>
      <c r="D183" s="627">
        <f>D37+D94</f>
        <v>0</v>
      </c>
      <c r="E183" s="653">
        <f>+E159+E154+E94+E37+E11</f>
        <v>133140570</v>
      </c>
      <c r="F183" s="653">
        <f>+F159+F154+F94+F37+F11</f>
        <v>30439652</v>
      </c>
      <c r="G183" s="626">
        <f>G11+G37+G94+G154+G159</f>
        <v>11103813.349999998</v>
      </c>
      <c r="H183" s="675">
        <f>H11+H37+H94+H154+H159</f>
        <v>19164333.009999998</v>
      </c>
      <c r="I183" s="675">
        <f>I11+I37+I94+I154+I159</f>
        <v>16160472.339999998</v>
      </c>
      <c r="J183" s="675">
        <f>J11+J37+J94+J154+J159</f>
        <v>16781861.459999997</v>
      </c>
      <c r="K183" s="687">
        <f>+F183-H183</f>
        <v>11275318.990000002</v>
      </c>
      <c r="L183" s="688">
        <f>+E183-H183</f>
        <v>113976236.99000001</v>
      </c>
      <c r="M183" s="628">
        <f>+H183*100/F183</f>
        <v>62.958449754944631</v>
      </c>
      <c r="O183" s="320">
        <v>8075596.580000001</v>
      </c>
    </row>
    <row r="184" spans="1:15">
      <c r="I184" s="141" t="s">
        <v>12</v>
      </c>
      <c r="J184" s="141" t="s">
        <v>12</v>
      </c>
    </row>
    <row r="193" spans="2:15">
      <c r="E193" s="179"/>
      <c r="F193" s="367"/>
      <c r="I193" s="367"/>
      <c r="J193" s="367"/>
      <c r="O193" s="36"/>
    </row>
    <row r="194" spans="2:15">
      <c r="E194" s="367"/>
      <c r="J194" s="654"/>
    </row>
    <row r="195" spans="2:15">
      <c r="E195" s="654"/>
      <c r="F195" s="367"/>
      <c r="J195" s="367"/>
    </row>
    <row r="196" spans="2:15">
      <c r="E196" s="367"/>
    </row>
    <row r="197" spans="2:15">
      <c r="E197" s="179"/>
    </row>
    <row r="198" spans="2:15">
      <c r="B198" s="182"/>
      <c r="E198" s="179"/>
    </row>
    <row r="199" spans="2:15">
      <c r="C199" s="179"/>
      <c r="D199" s="179"/>
    </row>
    <row r="200" spans="2:15">
      <c r="C200" s="179"/>
      <c r="D200" s="179"/>
    </row>
    <row r="201" spans="2:15">
      <c r="C201" s="179"/>
      <c r="D201" s="179"/>
    </row>
    <row r="202" spans="2:15">
      <c r="C202" s="179"/>
      <c r="D202" s="179"/>
    </row>
  </sheetData>
  <mergeCells count="13">
    <mergeCell ref="O8:O10"/>
    <mergeCell ref="C8:F9"/>
    <mergeCell ref="G8:H9"/>
    <mergeCell ref="A2:M2"/>
    <mergeCell ref="A3:M3"/>
    <mergeCell ref="A4:M4"/>
    <mergeCell ref="A5:M5"/>
    <mergeCell ref="A8:A10"/>
    <mergeCell ref="B8:B10"/>
    <mergeCell ref="I8:I10"/>
    <mergeCell ref="J8:J10"/>
    <mergeCell ref="M8:M10"/>
    <mergeCell ref="K8:L8"/>
  </mergeCells>
  <pageMargins left="0.51181102362204722" right="0.11811023622047245" top="0.55118110236220474" bottom="0.55118110236220474" header="0.31496062992125984" footer="0.31496062992125984"/>
  <pageSetup scale="88" orientation="landscape" r:id="rId1"/>
  <ignoredErrors>
    <ignoredError sqref="A118:B118 A12:A117 A119:A143 P118:XFD118" numberStoredAsText="1"/>
    <ignoredError sqref="E16:G16 F22:G22 G29 I45:J45 I134:J134 E134:G134 E45:G45 J16 C16 C134 C45 E175:F175 F73" formulaRange="1"/>
    <ignoredError sqref="I16" formula="1" formulaRange="1"/>
    <ignoredError sqref="H98 H156:H157 H169 H134 H128 H120 H114 H76 H62 H45 H12 E11:E12 H104 H58 H110 H94 H37:H38 H144 D94 H16 I83 H55 H159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8">
    <tabColor theme="8" tint="0.39985351115451523"/>
  </sheetPr>
  <dimension ref="A1:T38"/>
  <sheetViews>
    <sheetView showGridLines="0" showZeros="0" zoomScale="106" zoomScaleNormal="106" workbookViewId="0">
      <selection activeCell="V10" sqref="V10"/>
    </sheetView>
  </sheetViews>
  <sheetFormatPr baseColWidth="10" defaultColWidth="11.42578125" defaultRowHeight="12.75"/>
  <cols>
    <col min="1" max="1" width="3.85546875" style="4" customWidth="1"/>
    <col min="2" max="2" width="29.85546875" style="4" customWidth="1"/>
    <col min="3" max="3" width="11.42578125" style="4" customWidth="1"/>
    <col min="4" max="4" width="12.85546875" style="4" customWidth="1"/>
    <col min="5" max="5" width="12.42578125" style="4" customWidth="1"/>
    <col min="6" max="6" width="13.28515625" style="4" customWidth="1"/>
    <col min="7" max="7" width="16" style="4" customWidth="1"/>
    <col min="8" max="8" width="12.140625" style="100" customWidth="1"/>
    <col min="9" max="9" width="12.5703125" style="4" customWidth="1"/>
    <col min="10" max="10" width="11.28515625" style="4" customWidth="1"/>
    <col min="11" max="11" width="12.140625" style="4" customWidth="1"/>
    <col min="12" max="12" width="12.5703125" style="199" customWidth="1"/>
    <col min="13" max="14" width="0.140625" customWidth="1"/>
    <col min="15" max="15" width="11.42578125" hidden="1" customWidth="1"/>
    <col min="16" max="16" width="22.28515625" hidden="1" customWidth="1"/>
    <col min="17" max="17" width="12.28515625" hidden="1" customWidth="1"/>
    <col min="20" max="20" width="13.28515625" customWidth="1"/>
  </cols>
  <sheetData>
    <row r="1" spans="1:18" ht="15.75">
      <c r="A1" s="6"/>
      <c r="B1" s="779" t="s">
        <v>61</v>
      </c>
      <c r="C1" s="779"/>
      <c r="D1" s="779"/>
      <c r="E1" s="779"/>
      <c r="F1" s="779"/>
      <c r="G1" s="779"/>
      <c r="H1" s="779"/>
      <c r="I1" s="779"/>
      <c r="J1" s="779"/>
      <c r="K1" s="779"/>
      <c r="L1" s="779"/>
    </row>
    <row r="2" spans="1:18" ht="15.75">
      <c r="A2" s="6"/>
      <c r="B2" s="779" t="s">
        <v>62</v>
      </c>
      <c r="C2" s="779"/>
      <c r="D2" s="779"/>
      <c r="E2" s="779"/>
      <c r="F2" s="779"/>
      <c r="G2" s="779"/>
      <c r="H2" s="779"/>
      <c r="I2" s="779"/>
      <c r="J2" s="779"/>
      <c r="K2" s="779"/>
      <c r="L2" s="779"/>
      <c r="M2" s="36"/>
    </row>
    <row r="3" spans="1:18" ht="16.5" customHeight="1">
      <c r="A3" s="780" t="s">
        <v>546</v>
      </c>
      <c r="B3" s="780"/>
      <c r="C3" s="780"/>
      <c r="D3" s="780"/>
      <c r="E3" s="780"/>
      <c r="F3" s="780"/>
      <c r="G3" s="780"/>
      <c r="H3" s="780"/>
      <c r="I3" s="780"/>
      <c r="J3" s="780"/>
      <c r="K3" s="780"/>
      <c r="L3" s="780"/>
    </row>
    <row r="4" spans="1:18" ht="16.5" customHeight="1">
      <c r="A4" s="780" t="s">
        <v>636</v>
      </c>
      <c r="B4" s="780"/>
      <c r="C4" s="780"/>
      <c r="D4" s="780"/>
      <c r="E4" s="780"/>
      <c r="F4" s="780"/>
      <c r="G4" s="780"/>
      <c r="H4" s="780"/>
      <c r="I4" s="780"/>
      <c r="J4" s="780"/>
      <c r="K4" s="780"/>
      <c r="L4" s="780"/>
    </row>
    <row r="5" spans="1:18" ht="10.5" customHeight="1">
      <c r="A5"/>
      <c r="B5"/>
      <c r="C5"/>
      <c r="D5"/>
      <c r="E5"/>
      <c r="F5"/>
      <c r="G5" t="s">
        <v>12</v>
      </c>
      <c r="H5" s="1"/>
      <c r="I5"/>
      <c r="J5"/>
      <c r="K5"/>
      <c r="L5" s="3"/>
    </row>
    <row r="6" spans="1:18" ht="24.95" customHeight="1">
      <c r="A6" s="850" t="s">
        <v>458</v>
      </c>
      <c r="B6" s="851" t="s">
        <v>0</v>
      </c>
      <c r="C6" s="847" t="s">
        <v>49</v>
      </c>
      <c r="D6" s="848"/>
      <c r="E6" s="848"/>
      <c r="F6" s="848"/>
      <c r="G6" s="848"/>
      <c r="H6" s="848"/>
      <c r="I6" s="849"/>
      <c r="J6" s="855" t="s">
        <v>617</v>
      </c>
      <c r="K6" s="856"/>
      <c r="L6" s="853" t="s">
        <v>55</v>
      </c>
    </row>
    <row r="7" spans="1:18" ht="24.95" customHeight="1">
      <c r="A7" s="820"/>
      <c r="B7" s="852"/>
      <c r="C7" s="591" t="s">
        <v>2</v>
      </c>
      <c r="D7" s="591" t="s">
        <v>3</v>
      </c>
      <c r="E7" s="591" t="s">
        <v>25</v>
      </c>
      <c r="F7" s="591" t="s">
        <v>67</v>
      </c>
      <c r="G7" s="406" t="s">
        <v>42</v>
      </c>
      <c r="H7" s="592" t="s">
        <v>47</v>
      </c>
      <c r="I7" s="593" t="s">
        <v>43</v>
      </c>
      <c r="J7" s="408" t="s">
        <v>51</v>
      </c>
      <c r="K7" s="450" t="s">
        <v>52</v>
      </c>
      <c r="L7" s="854"/>
    </row>
    <row r="8" spans="1:18" ht="15" customHeight="1">
      <c r="A8" s="101"/>
      <c r="B8" s="102"/>
      <c r="C8" s="103"/>
      <c r="D8" s="676"/>
      <c r="E8" s="680"/>
      <c r="F8" s="676"/>
      <c r="G8" s="105"/>
      <c r="H8" s="106"/>
      <c r="I8" s="104"/>
      <c r="J8" s="104"/>
      <c r="K8" s="104"/>
      <c r="L8" s="134"/>
    </row>
    <row r="9" spans="1:18" ht="24.95" customHeight="1">
      <c r="A9" s="107"/>
      <c r="B9" s="108" t="s">
        <v>459</v>
      </c>
      <c r="C9" s="109">
        <f>+C11+C21+C29</f>
        <v>133140570</v>
      </c>
      <c r="D9" s="109">
        <f>+D11+D21+D29</f>
        <v>133140570</v>
      </c>
      <c r="E9" s="681">
        <f>+E11+E21+E29</f>
        <v>30439652</v>
      </c>
      <c r="F9" s="681">
        <f>F11+F21+F29+1</f>
        <v>11103814.35</v>
      </c>
      <c r="G9" s="681">
        <f>G11+G21+G29</f>
        <v>19164332.699999996</v>
      </c>
      <c r="H9" s="681">
        <f>+H11+H21+H29</f>
        <v>16160472.240000002</v>
      </c>
      <c r="I9" s="681">
        <f>+I11+I21+I29</f>
        <v>16781861.460000001</v>
      </c>
      <c r="J9" s="681">
        <f>E9-G9</f>
        <v>11275319.300000004</v>
      </c>
      <c r="K9" s="681">
        <f>+D9-G9</f>
        <v>113976237.30000001</v>
      </c>
      <c r="L9" s="314">
        <f>+G9/E9*100</f>
        <v>62.958448736536134</v>
      </c>
      <c r="M9" s="36">
        <v>8075597.2700000005</v>
      </c>
      <c r="N9" s="135"/>
      <c r="P9" s="136"/>
      <c r="Q9" s="1"/>
      <c r="R9" s="1"/>
    </row>
    <row r="10" spans="1:18" ht="24.95" customHeight="1">
      <c r="A10" s="107"/>
      <c r="B10" s="111"/>
      <c r="C10" s="110"/>
      <c r="D10" s="109"/>
      <c r="E10" s="681"/>
      <c r="F10" s="109"/>
      <c r="G10" s="717"/>
      <c r="H10" s="318"/>
      <c r="I10" s="318"/>
      <c r="J10" s="110"/>
      <c r="K10" s="111"/>
      <c r="L10" s="315"/>
      <c r="M10" s="36"/>
      <c r="N10" s="36"/>
    </row>
    <row r="11" spans="1:18" ht="24.95" customHeight="1">
      <c r="A11" s="112">
        <v>1</v>
      </c>
      <c r="B11" s="113" t="s">
        <v>53</v>
      </c>
      <c r="C11" s="109">
        <f>SUM(C13:C20)</f>
        <v>46252935</v>
      </c>
      <c r="D11" s="109">
        <f>SUM(D13:D19)</f>
        <v>46896617</v>
      </c>
      <c r="E11" s="681">
        <f>SUM(E13:E19)</f>
        <v>13430518</v>
      </c>
      <c r="F11" s="109">
        <f>SUM(F13:F19)</f>
        <v>3472876.91</v>
      </c>
      <c r="G11" s="717">
        <f>SUM(G13:G19)</f>
        <v>5935728.7399999993</v>
      </c>
      <c r="H11" s="109">
        <f>SUM(H13:H19)</f>
        <v>4790621.62</v>
      </c>
      <c r="I11" s="109">
        <f>+I13+I15+I17+I19</f>
        <v>4671882.9400000004</v>
      </c>
      <c r="J11" s="109">
        <f>+E11-G11</f>
        <v>7494789.2600000007</v>
      </c>
      <c r="K11" s="120">
        <f>+D11-G11</f>
        <v>40960888.259999998</v>
      </c>
      <c r="L11" s="314">
        <f>+G11/E11*100</f>
        <v>44.195828783372306</v>
      </c>
      <c r="M11" s="135">
        <f>M13+M15+M17+M19</f>
        <v>2462851.83</v>
      </c>
      <c r="N11" s="135"/>
      <c r="O11" s="1" t="s">
        <v>12</v>
      </c>
      <c r="P11" s="92"/>
      <c r="Q11" s="1"/>
    </row>
    <row r="12" spans="1:18" ht="24.95" customHeight="1">
      <c r="A12" s="107"/>
      <c r="B12" s="114"/>
      <c r="C12" s="115"/>
      <c r="D12" s="115"/>
      <c r="E12" s="682"/>
      <c r="F12" s="115"/>
      <c r="G12" s="720"/>
      <c r="H12" s="115"/>
      <c r="I12" s="115"/>
      <c r="J12" s="116"/>
      <c r="K12" s="118"/>
      <c r="L12" s="316"/>
      <c r="M12" s="36"/>
      <c r="N12" s="36"/>
    </row>
    <row r="13" spans="1:18" ht="24.95" customHeight="1">
      <c r="A13" s="117" t="s">
        <v>12</v>
      </c>
      <c r="B13" s="114" t="s">
        <v>460</v>
      </c>
      <c r="C13" s="118">
        <v>11129624</v>
      </c>
      <c r="D13" s="348">
        <v>11017212</v>
      </c>
      <c r="E13" s="683">
        <v>2061514</v>
      </c>
      <c r="F13" s="115">
        <v>1004363.94</v>
      </c>
      <c r="G13" s="720">
        <f>M13+F13</f>
        <v>1744783.5099999998</v>
      </c>
      <c r="H13" s="115">
        <v>1498460.17</v>
      </c>
      <c r="I13" s="115">
        <v>1594107.19</v>
      </c>
      <c r="J13" s="118">
        <f>+E13-G13</f>
        <v>316730.49000000022</v>
      </c>
      <c r="K13" s="118">
        <f>+D13-G13</f>
        <v>9272428.4900000002</v>
      </c>
      <c r="L13" s="316">
        <f>+G13/E13*100</f>
        <v>84.636025270747609</v>
      </c>
      <c r="M13" s="36">
        <v>740419.57</v>
      </c>
      <c r="N13" s="36"/>
      <c r="P13" s="1"/>
      <c r="Q13" s="1"/>
    </row>
    <row r="14" spans="1:18" ht="24.95" customHeight="1">
      <c r="A14" s="117"/>
      <c r="B14" s="114"/>
      <c r="C14" s="118"/>
      <c r="D14" s="348"/>
      <c r="E14" s="683"/>
      <c r="F14" s="115"/>
      <c r="G14" s="720">
        <f t="shared" ref="G14:G19" si="0">M14+F14</f>
        <v>0</v>
      </c>
      <c r="H14" s="115"/>
      <c r="I14" s="115"/>
      <c r="J14" s="118"/>
      <c r="K14" s="118"/>
      <c r="L14" s="316"/>
      <c r="M14" s="36"/>
      <c r="N14" s="36"/>
    </row>
    <row r="15" spans="1:18" ht="24.95" customHeight="1">
      <c r="A15" s="117" t="s">
        <v>12</v>
      </c>
      <c r="B15" s="119" t="s">
        <v>461</v>
      </c>
      <c r="C15" s="118">
        <v>928019</v>
      </c>
      <c r="D15" s="348">
        <v>917569</v>
      </c>
      <c r="E15" s="683">
        <v>180647</v>
      </c>
      <c r="F15" s="115">
        <v>86054.07</v>
      </c>
      <c r="G15" s="720">
        <f t="shared" si="0"/>
        <v>148856.24</v>
      </c>
      <c r="H15" s="115">
        <v>126600.04</v>
      </c>
      <c r="I15" s="115">
        <v>136586.26999999999</v>
      </c>
      <c r="J15" s="118">
        <f>+E15-G15</f>
        <v>31790.760000000009</v>
      </c>
      <c r="K15" s="118">
        <f>+D15-G15</f>
        <v>768712.76</v>
      </c>
      <c r="L15" s="316">
        <f>+G15/E15*100</f>
        <v>82.401722696751108</v>
      </c>
      <c r="M15" s="36">
        <v>62802.17</v>
      </c>
      <c r="N15" s="36"/>
      <c r="P15" s="1"/>
      <c r="Q15" s="1"/>
    </row>
    <row r="16" spans="1:18" ht="24.95" customHeight="1">
      <c r="A16" s="117"/>
      <c r="B16" s="119"/>
      <c r="C16" s="118"/>
      <c r="D16" s="348"/>
      <c r="E16" s="683"/>
      <c r="F16" s="115"/>
      <c r="G16" s="720">
        <f t="shared" si="0"/>
        <v>0</v>
      </c>
      <c r="H16" s="115"/>
      <c r="I16" s="115"/>
      <c r="J16" s="118">
        <f>+E16-G16</f>
        <v>0</v>
      </c>
      <c r="K16" s="118" t="s">
        <v>12</v>
      </c>
      <c r="L16" s="316"/>
      <c r="M16" s="36">
        <v>0</v>
      </c>
      <c r="N16" s="36"/>
    </row>
    <row r="17" spans="1:20" ht="24.95" customHeight="1">
      <c r="A17" s="117" t="s">
        <v>12</v>
      </c>
      <c r="B17" s="114" t="s">
        <v>462</v>
      </c>
      <c r="C17" s="118">
        <v>31922116</v>
      </c>
      <c r="D17" s="348">
        <v>32698710</v>
      </c>
      <c r="E17" s="683">
        <v>10766163</v>
      </c>
      <c r="F17" s="115">
        <v>2262640.85</v>
      </c>
      <c r="G17" s="758">
        <f>M17+F17</f>
        <v>3837586.89</v>
      </c>
      <c r="H17" s="348">
        <v>2993769.87</v>
      </c>
      <c r="I17" s="348">
        <v>2757930.44</v>
      </c>
      <c r="J17" s="368">
        <f>+E17-G17</f>
        <v>6928576.1099999994</v>
      </c>
      <c r="K17" s="118">
        <f>+D17-G17</f>
        <v>28861123.109999999</v>
      </c>
      <c r="L17" s="316">
        <f>+G17/E17*100</f>
        <v>35.644889363090634</v>
      </c>
      <c r="M17" s="36">
        <f>1590022.96-15076.92</f>
        <v>1574946.04</v>
      </c>
      <c r="N17" s="36"/>
      <c r="P17" s="1"/>
      <c r="Q17" s="1"/>
      <c r="R17" s="36"/>
      <c r="T17" s="36"/>
    </row>
    <row r="18" spans="1:20" ht="24.95" customHeight="1">
      <c r="A18" s="117"/>
      <c r="B18" s="114"/>
      <c r="C18" s="118"/>
      <c r="D18" s="348"/>
      <c r="E18" s="683"/>
      <c r="F18" s="115"/>
      <c r="G18" s="720"/>
      <c r="H18" s="115"/>
      <c r="I18" s="115"/>
      <c r="J18" s="118" t="s">
        <v>12</v>
      </c>
      <c r="K18" s="118" t="s">
        <v>12</v>
      </c>
      <c r="L18" s="316"/>
      <c r="M18" s="36" t="s">
        <v>12</v>
      </c>
      <c r="N18" s="36"/>
      <c r="P18" s="36"/>
    </row>
    <row r="19" spans="1:20" ht="24.95" customHeight="1">
      <c r="A19" s="117" t="s">
        <v>12</v>
      </c>
      <c r="B19" s="119" t="s">
        <v>463</v>
      </c>
      <c r="C19" s="118">
        <v>2273176</v>
      </c>
      <c r="D19" s="348">
        <v>2263126</v>
      </c>
      <c r="E19" s="683">
        <v>422194</v>
      </c>
      <c r="F19" s="115">
        <v>119818.05</v>
      </c>
      <c r="G19" s="720">
        <f t="shared" si="0"/>
        <v>204502.1</v>
      </c>
      <c r="H19" s="115">
        <v>171791.54</v>
      </c>
      <c r="I19" s="115">
        <v>183259.04</v>
      </c>
      <c r="J19" s="118">
        <f>+E19-J2319</f>
        <v>422194</v>
      </c>
      <c r="K19" s="118">
        <f>+D19-G19</f>
        <v>2058623.9</v>
      </c>
      <c r="L19" s="316">
        <f>+G19/E19*100</f>
        <v>48.437945588994637</v>
      </c>
      <c r="M19" s="36">
        <v>84684.05</v>
      </c>
      <c r="N19" s="36"/>
      <c r="P19" s="1"/>
    </row>
    <row r="20" spans="1:20" ht="24.95" customHeight="1">
      <c r="A20" s="117"/>
      <c r="B20" s="114"/>
      <c r="C20" s="118"/>
      <c r="D20" s="348" t="s">
        <v>12</v>
      </c>
      <c r="E20" s="683"/>
      <c r="F20" s="115"/>
      <c r="G20" s="718">
        <f>F20</f>
        <v>0</v>
      </c>
      <c r="H20" s="115"/>
      <c r="I20" s="115"/>
      <c r="J20" s="118">
        <f>+E20-G20</f>
        <v>0</v>
      </c>
      <c r="K20" s="118" t="s">
        <v>12</v>
      </c>
      <c r="L20" s="316"/>
      <c r="M20" s="36">
        <v>0</v>
      </c>
      <c r="N20" s="36"/>
    </row>
    <row r="21" spans="1:20" ht="24.95" customHeight="1">
      <c r="A21" s="112">
        <v>2</v>
      </c>
      <c r="B21" s="113" t="s">
        <v>54</v>
      </c>
      <c r="C21" s="120">
        <f t="shared" ref="C21:I21" si="1">SUM(C23:C27)</f>
        <v>71448026</v>
      </c>
      <c r="D21" s="677">
        <f t="shared" si="1"/>
        <v>71503804</v>
      </c>
      <c r="E21" s="684">
        <f t="shared" si="1"/>
        <v>13344403</v>
      </c>
      <c r="F21" s="109">
        <f t="shared" si="1"/>
        <v>6420430.6099999994</v>
      </c>
      <c r="G21" s="717">
        <f t="shared" si="1"/>
        <v>11229788.599999998</v>
      </c>
      <c r="H21" s="109">
        <f t="shared" si="1"/>
        <v>9714558.8900000006</v>
      </c>
      <c r="I21" s="109">
        <f t="shared" si="1"/>
        <v>10362447.34</v>
      </c>
      <c r="J21" s="120">
        <f>+E21-G21</f>
        <v>2114614.4000000022</v>
      </c>
      <c r="K21" s="120">
        <f>+D21-G21</f>
        <v>60274015.400000006</v>
      </c>
      <c r="L21" s="314">
        <f>+G21/E21*100</f>
        <v>84.15354812051163</v>
      </c>
      <c r="M21" s="135">
        <f>M23+M25+M27</f>
        <v>4809357.99</v>
      </c>
      <c r="N21" s="135"/>
    </row>
    <row r="22" spans="1:20" ht="24.95" customHeight="1">
      <c r="A22" s="121"/>
      <c r="B22" s="114"/>
      <c r="C22" s="118"/>
      <c r="D22" s="348"/>
      <c r="E22" s="683"/>
      <c r="F22" s="115"/>
      <c r="G22" s="718">
        <f>F22</f>
        <v>0</v>
      </c>
      <c r="H22" s="115"/>
      <c r="I22" s="115"/>
      <c r="J22" s="118">
        <f>+E22-G22</f>
        <v>0</v>
      </c>
      <c r="K22" s="118" t="s">
        <v>12</v>
      </c>
      <c r="L22" s="316" t="s">
        <v>12</v>
      </c>
      <c r="M22" s="36">
        <v>0</v>
      </c>
      <c r="N22" s="36"/>
    </row>
    <row r="23" spans="1:20" ht="24.95" customHeight="1">
      <c r="A23" s="122" t="s">
        <v>12</v>
      </c>
      <c r="B23" s="114" t="s">
        <v>464</v>
      </c>
      <c r="C23" s="118">
        <v>2655915</v>
      </c>
      <c r="D23" s="348">
        <v>2658803</v>
      </c>
      <c r="E23" s="348">
        <v>514145</v>
      </c>
      <c r="F23" s="686">
        <v>204969.39</v>
      </c>
      <c r="G23" s="719">
        <f>M23+F23</f>
        <v>344417.43000000005</v>
      </c>
      <c r="H23" s="115">
        <v>284715.46999999997</v>
      </c>
      <c r="I23" s="115">
        <v>301579.01</v>
      </c>
      <c r="J23" s="118">
        <f>+E23-G23</f>
        <v>169727.56999999995</v>
      </c>
      <c r="K23" s="118">
        <f>+D23-G23</f>
        <v>2314385.5699999998</v>
      </c>
      <c r="L23" s="316">
        <f>+G23/E17*100</f>
        <v>3.199073151688304</v>
      </c>
      <c r="M23" s="36">
        <v>139448.04</v>
      </c>
      <c r="N23" s="36"/>
      <c r="P23" s="1"/>
      <c r="Q23" s="36"/>
    </row>
    <row r="24" spans="1:20" ht="24.95" customHeight="1">
      <c r="A24" s="122"/>
      <c r="B24" s="114"/>
      <c r="C24" s="118"/>
      <c r="D24" s="348" t="s">
        <v>12</v>
      </c>
      <c r="E24" s="348"/>
      <c r="F24" s="686"/>
      <c r="G24" s="719">
        <f t="shared" ref="G24:G27" si="2">M24+F24</f>
        <v>0</v>
      </c>
      <c r="H24" s="115"/>
      <c r="I24" s="115"/>
      <c r="J24" s="118" t="s">
        <v>12</v>
      </c>
      <c r="K24" s="118" t="s">
        <v>12</v>
      </c>
      <c r="L24" s="316"/>
      <c r="M24" s="36">
        <v>0</v>
      </c>
      <c r="N24" s="36"/>
      <c r="Q24" s="36"/>
    </row>
    <row r="25" spans="1:20" ht="24.95" customHeight="1">
      <c r="A25" s="122" t="s">
        <v>12</v>
      </c>
      <c r="B25" s="114" t="s">
        <v>465</v>
      </c>
      <c r="C25" s="118">
        <v>35663263</v>
      </c>
      <c r="D25" s="348">
        <v>35577263</v>
      </c>
      <c r="E25" s="348">
        <v>6573359</v>
      </c>
      <c r="F25" s="686">
        <v>3345414.71</v>
      </c>
      <c r="G25" s="719">
        <f t="shared" si="2"/>
        <v>5820001.1299999999</v>
      </c>
      <c r="H25" s="115">
        <v>5056274.0599999996</v>
      </c>
      <c r="I25" s="115">
        <v>5392584.5599999996</v>
      </c>
      <c r="J25" s="118">
        <f>+E25-G25</f>
        <v>753357.87000000011</v>
      </c>
      <c r="K25" s="118">
        <f>+D25-G25</f>
        <v>29757261.870000001</v>
      </c>
      <c r="L25" s="316">
        <f>+G25/E25*100</f>
        <v>88.539225227163158</v>
      </c>
      <c r="M25" s="36">
        <v>2474586.42</v>
      </c>
      <c r="N25" s="36"/>
      <c r="P25" s="36"/>
      <c r="Q25" s="36"/>
    </row>
    <row r="26" spans="1:20" ht="24.95" customHeight="1">
      <c r="A26" s="122"/>
      <c r="B26" s="114"/>
      <c r="C26" s="118"/>
      <c r="D26" s="348"/>
      <c r="E26" s="348"/>
      <c r="F26" s="686"/>
      <c r="G26" s="719">
        <f t="shared" si="2"/>
        <v>0</v>
      </c>
      <c r="H26" s="115"/>
      <c r="I26" s="115"/>
      <c r="J26" s="118" t="s">
        <v>12</v>
      </c>
      <c r="K26" s="118"/>
      <c r="L26" s="316"/>
      <c r="M26" s="36">
        <v>0</v>
      </c>
      <c r="N26" s="36"/>
      <c r="Q26" s="36"/>
    </row>
    <row r="27" spans="1:20" ht="24.95" customHeight="1">
      <c r="A27" s="122" t="s">
        <v>12</v>
      </c>
      <c r="B27" s="114" t="s">
        <v>466</v>
      </c>
      <c r="C27" s="118">
        <v>33128848</v>
      </c>
      <c r="D27" s="348">
        <v>33267738</v>
      </c>
      <c r="E27" s="348">
        <v>6256899</v>
      </c>
      <c r="F27" s="686">
        <v>2870046.51</v>
      </c>
      <c r="G27" s="719">
        <f t="shared" si="2"/>
        <v>5065370.0399999991</v>
      </c>
      <c r="H27" s="115">
        <v>4373569.3600000003</v>
      </c>
      <c r="I27" s="115">
        <v>4668283.7699999996</v>
      </c>
      <c r="J27" s="118">
        <f>+E27-G27</f>
        <v>1191528.9600000009</v>
      </c>
      <c r="K27" s="118">
        <f>+D27-G27</f>
        <v>28202367.960000001</v>
      </c>
      <c r="L27" s="316">
        <f>+G27/E27*100</f>
        <v>80.956557553510123</v>
      </c>
      <c r="M27" s="36">
        <v>2195323.5299999998</v>
      </c>
      <c r="N27" s="36"/>
      <c r="P27" s="1"/>
    </row>
    <row r="28" spans="1:20" ht="24.95" customHeight="1">
      <c r="A28" s="123"/>
      <c r="B28" s="114"/>
      <c r="C28" s="118"/>
      <c r="D28" s="115"/>
      <c r="E28" s="682"/>
      <c r="F28" s="115"/>
      <c r="G28" s="718">
        <f>F28+M28</f>
        <v>0</v>
      </c>
      <c r="H28" s="115"/>
      <c r="I28" s="115"/>
      <c r="J28" s="118">
        <f>+E28-G28</f>
        <v>0</v>
      </c>
      <c r="K28" s="118" t="s">
        <v>12</v>
      </c>
      <c r="L28" s="316" t="s">
        <v>12</v>
      </c>
      <c r="M28" s="36">
        <v>0</v>
      </c>
      <c r="N28" s="36"/>
    </row>
    <row r="29" spans="1:20" ht="24.95" customHeight="1">
      <c r="A29" s="124" t="s">
        <v>467</v>
      </c>
      <c r="B29" s="113" t="s">
        <v>468</v>
      </c>
      <c r="C29" s="120">
        <v>15439609</v>
      </c>
      <c r="D29" s="109">
        <v>14740149</v>
      </c>
      <c r="E29" s="681">
        <v>3664731</v>
      </c>
      <c r="F29" s="109">
        <v>1210505.83</v>
      </c>
      <c r="G29" s="717">
        <f>M29+F29</f>
        <v>1998815.36</v>
      </c>
      <c r="H29" s="109">
        <v>1655291.73</v>
      </c>
      <c r="I29" s="109">
        <v>1747531.18</v>
      </c>
      <c r="J29" s="120">
        <f>+E29-G29</f>
        <v>1665915.64</v>
      </c>
      <c r="K29" s="120">
        <f>+D29-G29</f>
        <v>12741333.640000001</v>
      </c>
      <c r="L29" s="314">
        <f>+G29/E29*100</f>
        <v>54.541939367446069</v>
      </c>
      <c r="M29" s="36">
        <v>788309.53</v>
      </c>
      <c r="N29" s="135"/>
      <c r="P29">
        <f>8654934.27-8654790.11</f>
        <v>144.16000000014901</v>
      </c>
    </row>
    <row r="30" spans="1:20" ht="24.95" customHeight="1">
      <c r="A30" s="125"/>
      <c r="B30" s="126"/>
      <c r="C30" s="127"/>
      <c r="D30" s="678" t="s">
        <v>12</v>
      </c>
      <c r="E30" s="685"/>
      <c r="F30" s="127"/>
      <c r="G30" s="127" t="s">
        <v>12</v>
      </c>
      <c r="H30" s="127"/>
      <c r="I30" s="127"/>
      <c r="J30" s="127"/>
      <c r="K30" s="127" t="s">
        <v>12</v>
      </c>
      <c r="L30" s="317" t="s">
        <v>12</v>
      </c>
      <c r="M30" s="36" t="s">
        <v>12</v>
      </c>
      <c r="N30" s="36" t="s">
        <v>12</v>
      </c>
    </row>
    <row r="31" spans="1:20" ht="16.5" customHeight="1">
      <c r="A31" s="128"/>
      <c r="B31" s="129"/>
      <c r="C31" s="130"/>
      <c r="D31" s="130"/>
      <c r="E31" s="130"/>
      <c r="F31" s="130"/>
      <c r="G31" s="130" t="s">
        <v>12</v>
      </c>
      <c r="H31" s="130"/>
      <c r="I31" s="130"/>
      <c r="J31" s="130"/>
      <c r="K31" s="130" t="s">
        <v>12</v>
      </c>
      <c r="L31" s="3"/>
    </row>
    <row r="32" spans="1:20" ht="16.5" customHeight="1">
      <c r="A32" s="131"/>
      <c r="B32" s="784" t="s">
        <v>40</v>
      </c>
      <c r="C32" s="784"/>
      <c r="D32" s="679"/>
      <c r="E32" s="679"/>
      <c r="F32" s="679"/>
      <c r="G32" s="132"/>
      <c r="H32" s="133"/>
      <c r="I32" s="132"/>
      <c r="J32" s="132"/>
      <c r="K32" s="137"/>
      <c r="L32" s="3"/>
    </row>
    <row r="35" spans="1:12">
      <c r="A35"/>
      <c r="B35"/>
      <c r="C35"/>
      <c r="D35" s="100" t="s">
        <v>12</v>
      </c>
    </row>
    <row r="38" spans="1:12">
      <c r="A38"/>
      <c r="B38"/>
      <c r="C38"/>
      <c r="L38" s="199" t="s">
        <v>12</v>
      </c>
    </row>
  </sheetData>
  <mergeCells count="10">
    <mergeCell ref="B32:C32"/>
    <mergeCell ref="A6:A7"/>
    <mergeCell ref="B6:B7"/>
    <mergeCell ref="L6:L7"/>
    <mergeCell ref="J6:K6"/>
    <mergeCell ref="B1:L1"/>
    <mergeCell ref="B2:L2"/>
    <mergeCell ref="A3:L3"/>
    <mergeCell ref="A4:L4"/>
    <mergeCell ref="C6:I6"/>
  </mergeCells>
  <pageMargins left="0" right="0" top="0.78740157480314965" bottom="0.35433070866141736" header="0.51181102362204722" footer="0.98425196850393704"/>
  <pageSetup scale="70" firstPageNumber="0" fitToWidth="0" fitToHeight="0" orientation="landscape" useFirstPageNumber="1" r:id="rId1"/>
  <headerFooter alignWithMargins="0">
    <oddFooter>&amp;R&amp;"Times New Roman,Normal"&amp;12</oddFooter>
  </headerFooter>
  <ignoredErrors>
    <ignoredError sqref="A29" numberStoredAsText="1"/>
    <ignoredError sqref="G28 G20 G21:G22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3">
    <tabColor theme="8" tint="0.59999389629810485"/>
  </sheetPr>
  <dimension ref="A1:P56"/>
  <sheetViews>
    <sheetView showGridLines="0" showZeros="0" zoomScale="80" zoomScaleNormal="80" workbookViewId="0">
      <selection activeCell="R9" sqref="R9"/>
    </sheetView>
  </sheetViews>
  <sheetFormatPr baseColWidth="10" defaultColWidth="11" defaultRowHeight="12.75"/>
  <cols>
    <col min="1" max="1" width="78.85546875" customWidth="1"/>
    <col min="2" max="2" width="13" customWidth="1"/>
    <col min="3" max="3" width="0.28515625" hidden="1" customWidth="1"/>
    <col min="4" max="4" width="14.140625" customWidth="1"/>
    <col min="5" max="5" width="12.5703125" customWidth="1"/>
    <col min="6" max="6" width="0.140625" hidden="1" customWidth="1"/>
    <col min="7" max="7" width="17.85546875" style="1" customWidth="1"/>
    <col min="8" max="8" width="14" customWidth="1"/>
    <col min="9" max="9" width="11.28515625" customWidth="1"/>
    <col min="10" max="10" width="14.140625" customWidth="1"/>
    <col min="11" max="11" width="15" customWidth="1"/>
    <col min="12" max="12" width="14.140625" style="361" customWidth="1"/>
    <col min="13" max="13" width="0.140625" style="36" hidden="1" customWidth="1"/>
    <col min="14" max="14" width="22.85546875" style="36" hidden="1" customWidth="1"/>
    <col min="15" max="15" width="8" customWidth="1"/>
    <col min="16" max="16" width="11.7109375" customWidth="1"/>
  </cols>
  <sheetData>
    <row r="1" spans="1:14" ht="20.100000000000001" customHeight="1">
      <c r="A1" s="779" t="s">
        <v>61</v>
      </c>
      <c r="B1" s="779"/>
      <c r="C1" s="779"/>
      <c r="D1" s="779"/>
      <c r="E1" s="779"/>
      <c r="F1" s="779"/>
      <c r="G1" s="779"/>
      <c r="H1" s="779"/>
      <c r="I1" s="779"/>
      <c r="J1" s="779"/>
      <c r="K1" s="779"/>
      <c r="L1" s="779"/>
    </row>
    <row r="2" spans="1:14" ht="20.100000000000001" customHeight="1">
      <c r="A2" s="779" t="s">
        <v>62</v>
      </c>
      <c r="B2" s="779"/>
      <c r="C2" s="779"/>
      <c r="D2" s="779"/>
      <c r="E2" s="779"/>
      <c r="F2" s="779"/>
      <c r="G2" s="779"/>
      <c r="H2" s="779"/>
      <c r="I2" s="779"/>
      <c r="J2" s="779"/>
      <c r="K2" s="779"/>
      <c r="L2" s="779"/>
    </row>
    <row r="3" spans="1:14" ht="20.100000000000001" customHeight="1">
      <c r="A3" s="780" t="s">
        <v>469</v>
      </c>
      <c r="B3" s="780"/>
      <c r="C3" s="780"/>
      <c r="D3" s="780"/>
      <c r="E3" s="780"/>
      <c r="F3" s="780"/>
      <c r="G3" s="780"/>
      <c r="H3" s="780"/>
      <c r="I3" s="780"/>
      <c r="J3" s="780"/>
      <c r="K3" s="780"/>
      <c r="L3" s="780"/>
    </row>
    <row r="4" spans="1:14" ht="20.100000000000001" customHeight="1">
      <c r="A4" s="780" t="s">
        <v>638</v>
      </c>
      <c r="B4" s="780"/>
      <c r="C4" s="780"/>
      <c r="D4" s="780"/>
      <c r="E4" s="780"/>
      <c r="F4" s="780"/>
      <c r="G4" s="780"/>
      <c r="H4" s="780"/>
      <c r="I4" s="780"/>
      <c r="J4" s="780"/>
      <c r="K4" s="780"/>
      <c r="L4" s="780"/>
    </row>
    <row r="5" spans="1:14" ht="10.5" customHeight="1">
      <c r="A5" s="8"/>
      <c r="B5" s="8"/>
      <c r="C5" s="8"/>
      <c r="D5" s="8"/>
      <c r="E5" s="8"/>
      <c r="F5" s="8"/>
      <c r="G5" s="95"/>
      <c r="H5" s="59"/>
      <c r="I5" s="59"/>
      <c r="J5" s="59"/>
      <c r="K5" s="59"/>
    </row>
    <row r="6" spans="1:14" ht="20.25" customHeight="1">
      <c r="A6" s="860" t="s">
        <v>470</v>
      </c>
      <c r="B6" s="857" t="s">
        <v>49</v>
      </c>
      <c r="C6" s="858"/>
      <c r="D6" s="858"/>
      <c r="E6" s="858"/>
      <c r="F6" s="858"/>
      <c r="G6" s="858"/>
      <c r="H6" s="858"/>
      <c r="I6" s="859"/>
      <c r="J6" s="864" t="s">
        <v>50</v>
      </c>
      <c r="K6" s="865"/>
      <c r="L6" s="862" t="s">
        <v>41</v>
      </c>
    </row>
    <row r="7" spans="1:14" ht="29.25" customHeight="1">
      <c r="A7" s="861"/>
      <c r="B7" s="475" t="s">
        <v>2</v>
      </c>
      <c r="C7" s="476" t="s">
        <v>610</v>
      </c>
      <c r="D7" s="476" t="s">
        <v>3</v>
      </c>
      <c r="E7" s="477" t="s">
        <v>25</v>
      </c>
      <c r="F7" s="477" t="s">
        <v>67</v>
      </c>
      <c r="G7" s="771" t="s">
        <v>42</v>
      </c>
      <c r="H7" s="477" t="s">
        <v>47</v>
      </c>
      <c r="I7" s="477" t="s">
        <v>43</v>
      </c>
      <c r="J7" s="477" t="s">
        <v>51</v>
      </c>
      <c r="K7" s="478" t="s">
        <v>52</v>
      </c>
      <c r="L7" s="863"/>
    </row>
    <row r="8" spans="1:14" ht="20.100000000000001" customHeight="1">
      <c r="A8" s="60" t="s">
        <v>471</v>
      </c>
      <c r="B8" s="61">
        <f>B9+B10+B11</f>
        <v>39203856</v>
      </c>
      <c r="C8" s="93">
        <f>C9+C12+C13+C14+C15+C16+C17</f>
        <v>13960272</v>
      </c>
      <c r="D8" s="62">
        <f>D9+D10+D11</f>
        <v>39434337</v>
      </c>
      <c r="E8" s="62">
        <f>E9+E10+E11</f>
        <v>8962363</v>
      </c>
      <c r="F8" s="730">
        <f>F9+F10+F11</f>
        <v>167464.20000000001</v>
      </c>
      <c r="G8" s="62">
        <f>G9+G10+G11</f>
        <v>247285.28000000003</v>
      </c>
      <c r="H8" s="62">
        <f>H9</f>
        <v>103896.76</v>
      </c>
      <c r="I8" s="62">
        <f>I9</f>
        <v>51426.84</v>
      </c>
      <c r="J8" s="62">
        <f>+E8-G8</f>
        <v>8715077.7200000007</v>
      </c>
      <c r="K8" s="93">
        <f>K9+K10+K11</f>
        <v>39187051.719999999</v>
      </c>
      <c r="L8" s="362">
        <f>+G8*100/E8</f>
        <v>2.7591526922085174</v>
      </c>
      <c r="M8" s="36">
        <f>M9+M12+M16+M17</f>
        <v>10552579.790000001</v>
      </c>
      <c r="N8" s="62">
        <f>N9+N10+N11</f>
        <v>79821.08</v>
      </c>
    </row>
    <row r="9" spans="1:14" ht="20.100000000000001" customHeight="1">
      <c r="A9" s="5" t="s">
        <v>472</v>
      </c>
      <c r="B9" s="63">
        <v>3322649</v>
      </c>
      <c r="C9" s="63">
        <v>5079707</v>
      </c>
      <c r="D9" s="63">
        <v>3553130</v>
      </c>
      <c r="E9" s="64">
        <v>1786121</v>
      </c>
      <c r="F9" s="65">
        <v>167464.20000000001</v>
      </c>
      <c r="G9" s="64">
        <f>N9+F9</f>
        <v>247285.28000000003</v>
      </c>
      <c r="H9" s="64">
        <v>103896.76</v>
      </c>
      <c r="I9" s="64">
        <v>51426.84</v>
      </c>
      <c r="J9" s="94">
        <f>+E9-G9</f>
        <v>1538835.72</v>
      </c>
      <c r="K9" s="95">
        <f>D9-G9</f>
        <v>3305844.7199999997</v>
      </c>
      <c r="L9" s="363">
        <f>+G9*100/E9</f>
        <v>13.844822383253993</v>
      </c>
      <c r="M9" s="36">
        <v>2916063.22</v>
      </c>
      <c r="N9" s="64">
        <v>79821.08</v>
      </c>
    </row>
    <row r="10" spans="1:14" ht="20.100000000000001" customHeight="1">
      <c r="A10" s="196" t="s">
        <v>609</v>
      </c>
      <c r="B10" s="63">
        <v>600000</v>
      </c>
      <c r="C10" s="63"/>
      <c r="D10" s="63">
        <v>600000</v>
      </c>
      <c r="E10" s="64">
        <v>120000</v>
      </c>
      <c r="F10" s="65"/>
      <c r="G10" s="64"/>
      <c r="H10" s="64"/>
      <c r="I10" s="64"/>
      <c r="J10" s="94">
        <f t="shared" ref="J10:J17" si="0">+E10-G10</f>
        <v>120000</v>
      </c>
      <c r="K10" s="95">
        <f>D10-G10</f>
        <v>600000</v>
      </c>
      <c r="L10" s="363">
        <f t="shared" ref="L10:L11" si="1">+G10*100/E10</f>
        <v>0</v>
      </c>
      <c r="N10" s="64"/>
    </row>
    <row r="11" spans="1:14" ht="18" customHeight="1">
      <c r="A11" s="196" t="s">
        <v>620</v>
      </c>
      <c r="B11" s="63">
        <v>35281207</v>
      </c>
      <c r="C11" s="63"/>
      <c r="D11" s="63">
        <v>35281207</v>
      </c>
      <c r="E11" s="64">
        <v>7056242</v>
      </c>
      <c r="F11" s="65"/>
      <c r="G11" s="64"/>
      <c r="H11" s="64"/>
      <c r="I11" s="64"/>
      <c r="J11" s="94">
        <f>+E11-G11</f>
        <v>7056242</v>
      </c>
      <c r="K11" s="95">
        <f>D11-G11</f>
        <v>35281207</v>
      </c>
      <c r="L11" s="363">
        <f t="shared" si="1"/>
        <v>0</v>
      </c>
      <c r="N11" s="64"/>
    </row>
    <row r="12" spans="1:14" ht="36.75" hidden="1" customHeight="1">
      <c r="A12" s="66" t="s">
        <v>473</v>
      </c>
      <c r="B12" s="67">
        <v>5000000</v>
      </c>
      <c r="C12" s="67">
        <v>2998588</v>
      </c>
      <c r="D12" s="67">
        <v>1089854</v>
      </c>
      <c r="E12" s="68">
        <v>1089854</v>
      </c>
      <c r="F12" s="731"/>
      <c r="G12" s="68">
        <v>1081862.27</v>
      </c>
      <c r="H12" s="68">
        <v>934338.16</v>
      </c>
      <c r="I12" s="68">
        <v>341076.31</v>
      </c>
      <c r="J12" s="98">
        <f>E12-G12</f>
        <v>7991.7299999999814</v>
      </c>
      <c r="K12" s="97">
        <f>D12-G12</f>
        <v>7991.7299999999814</v>
      </c>
      <c r="L12" s="364">
        <f>+G12*100/E12</f>
        <v>99.26671554171476</v>
      </c>
      <c r="M12" s="36">
        <v>1340260.42</v>
      </c>
      <c r="N12" s="68">
        <v>1081862.27</v>
      </c>
    </row>
    <row r="13" spans="1:14" ht="26.25" hidden="1" customHeight="1">
      <c r="A13" s="69" t="s">
        <v>474</v>
      </c>
      <c r="B13" s="63">
        <v>382798</v>
      </c>
      <c r="C13" s="63">
        <v>231399</v>
      </c>
      <c r="D13" s="63"/>
      <c r="E13" s="64" t="s">
        <v>137</v>
      </c>
      <c r="F13" s="65"/>
      <c r="G13" s="64"/>
      <c r="H13" s="64"/>
      <c r="I13" s="64"/>
      <c r="J13" s="94"/>
      <c r="K13" s="97">
        <f t="shared" ref="K13:K18" si="2">+D13-G13</f>
        <v>0</v>
      </c>
      <c r="L13" s="363"/>
      <c r="N13" s="64"/>
    </row>
    <row r="14" spans="1:14" ht="21" hidden="1" customHeight="1">
      <c r="A14" s="69" t="s">
        <v>475</v>
      </c>
      <c r="B14" s="63">
        <v>2000000</v>
      </c>
      <c r="C14" s="63">
        <v>987809</v>
      </c>
      <c r="D14" s="63">
        <v>14204</v>
      </c>
      <c r="E14" s="64">
        <v>14204</v>
      </c>
      <c r="F14" s="65"/>
      <c r="G14" s="64"/>
      <c r="H14" s="64"/>
      <c r="I14" s="64"/>
      <c r="J14" s="94">
        <f t="shared" si="0"/>
        <v>14204</v>
      </c>
      <c r="K14" s="97">
        <f t="shared" si="2"/>
        <v>14204</v>
      </c>
      <c r="L14" s="363"/>
      <c r="N14" s="64"/>
    </row>
    <row r="15" spans="1:14" ht="27" hidden="1" customHeight="1">
      <c r="A15" s="69" t="s">
        <v>476</v>
      </c>
      <c r="B15" s="67">
        <v>1135854</v>
      </c>
      <c r="C15" s="67">
        <v>760673</v>
      </c>
      <c r="D15" s="67">
        <v>56816</v>
      </c>
      <c r="E15" s="68">
        <v>56816</v>
      </c>
      <c r="F15" s="731"/>
      <c r="G15" s="68"/>
      <c r="H15" s="68"/>
      <c r="I15" s="68"/>
      <c r="J15" s="94">
        <f t="shared" si="0"/>
        <v>56816</v>
      </c>
      <c r="K15" s="97">
        <f t="shared" si="2"/>
        <v>56816</v>
      </c>
      <c r="L15" s="364"/>
      <c r="N15" s="68"/>
    </row>
    <row r="16" spans="1:14" ht="21" hidden="1" customHeight="1">
      <c r="A16" s="69" t="s">
        <v>477</v>
      </c>
      <c r="B16" s="67">
        <v>283423</v>
      </c>
      <c r="C16" s="67">
        <v>141711</v>
      </c>
      <c r="D16" s="67">
        <v>431536</v>
      </c>
      <c r="E16" s="68">
        <v>431536</v>
      </c>
      <c r="F16" s="731"/>
      <c r="G16" s="68">
        <f>+F16+N16</f>
        <v>481536</v>
      </c>
      <c r="H16" s="68">
        <v>46371.35</v>
      </c>
      <c r="I16" s="68">
        <v>133760</v>
      </c>
      <c r="J16" s="94">
        <f t="shared" si="0"/>
        <v>-50000</v>
      </c>
      <c r="K16" s="97">
        <f t="shared" si="2"/>
        <v>-50000</v>
      </c>
      <c r="L16" s="364"/>
      <c r="M16" s="36">
        <v>481536</v>
      </c>
      <c r="N16" s="68">
        <f>+M16+U16</f>
        <v>481536</v>
      </c>
    </row>
    <row r="17" spans="1:16" ht="19.5" hidden="1" customHeight="1">
      <c r="A17" s="5" t="s">
        <v>478</v>
      </c>
      <c r="B17" s="63">
        <v>9162631</v>
      </c>
      <c r="C17" s="63">
        <v>3760385</v>
      </c>
      <c r="D17" s="63">
        <v>5446903</v>
      </c>
      <c r="E17" s="64">
        <v>5446903</v>
      </c>
      <c r="F17" s="65">
        <v>10739.2</v>
      </c>
      <c r="G17" s="64">
        <f>N17+F17</f>
        <v>5825459.3500000006</v>
      </c>
      <c r="H17" s="64">
        <v>171336.63</v>
      </c>
      <c r="I17" s="64">
        <v>212248.63</v>
      </c>
      <c r="J17" s="94">
        <f t="shared" si="0"/>
        <v>-378556.35000000056</v>
      </c>
      <c r="K17" s="95">
        <f t="shared" si="2"/>
        <v>-378556.35000000056</v>
      </c>
      <c r="L17" s="363">
        <f>+G17*100/E17</f>
        <v>106.94993742315587</v>
      </c>
      <c r="M17" s="36">
        <v>5814720.1500000004</v>
      </c>
      <c r="N17" s="64">
        <f>U17+M17</f>
        <v>5814720.1500000004</v>
      </c>
    </row>
    <row r="18" spans="1:16" ht="20.100000000000001" customHeight="1">
      <c r="A18" s="70" t="s">
        <v>479</v>
      </c>
      <c r="B18" s="71">
        <f t="shared" ref="B18:H18" si="3">B20+B27</f>
        <v>1955170</v>
      </c>
      <c r="C18" s="71">
        <f t="shared" si="3"/>
        <v>1461464.25</v>
      </c>
      <c r="D18" s="71">
        <f t="shared" si="3"/>
        <v>1857765</v>
      </c>
      <c r="E18" s="62">
        <f t="shared" si="3"/>
        <v>293629</v>
      </c>
      <c r="F18" s="730">
        <f t="shared" si="3"/>
        <v>7651.21</v>
      </c>
      <c r="G18" s="62">
        <f t="shared" si="3"/>
        <v>15437.599999999999</v>
      </c>
      <c r="H18" s="62">
        <f t="shared" si="3"/>
        <v>7569.91</v>
      </c>
      <c r="I18" s="62"/>
      <c r="J18" s="62">
        <f>E18-G18</f>
        <v>278191.40000000002</v>
      </c>
      <c r="K18" s="93">
        <f t="shared" si="2"/>
        <v>1842327.4</v>
      </c>
      <c r="L18" s="362">
        <f>+G18*100/E18</f>
        <v>5.2575188418037717</v>
      </c>
      <c r="M18" s="36">
        <f>M19+M20+M21+M22+M23+M24+M26+M27+M28+M29+M30+M31+M32</f>
        <v>7929759.870000001</v>
      </c>
      <c r="N18" s="62">
        <f t="shared" ref="N18" si="4">N20+N27</f>
        <v>7786.39</v>
      </c>
    </row>
    <row r="19" spans="1:16" ht="0.75" customHeight="1">
      <c r="A19" s="72" t="s">
        <v>480</v>
      </c>
      <c r="B19" s="345">
        <v>2896997</v>
      </c>
      <c r="C19" s="347">
        <v>2084500</v>
      </c>
      <c r="D19" s="64">
        <v>5219665</v>
      </c>
      <c r="E19" s="74">
        <v>5219665</v>
      </c>
      <c r="F19" s="65">
        <v>243465.84</v>
      </c>
      <c r="G19" s="75">
        <f>N19+F19</f>
        <v>4604255.7799999993</v>
      </c>
      <c r="H19" s="64">
        <v>3777570.07</v>
      </c>
      <c r="I19" s="64">
        <v>2606310.0299999998</v>
      </c>
      <c r="J19" s="64">
        <f>+D19-G19</f>
        <v>615409.22000000067</v>
      </c>
      <c r="K19" s="95">
        <f>D19-G19</f>
        <v>615409.22000000067</v>
      </c>
      <c r="L19" s="363">
        <f>+G19*100/E19</f>
        <v>88.209794689889094</v>
      </c>
      <c r="M19" s="36">
        <f>4379964.34-19174.4</f>
        <v>4360789.9399999995</v>
      </c>
      <c r="N19" s="75">
        <f>U19+M19</f>
        <v>4360789.9399999995</v>
      </c>
      <c r="P19" s="36"/>
    </row>
    <row r="20" spans="1:16" ht="21" customHeight="1">
      <c r="A20" s="66" t="s">
        <v>481</v>
      </c>
      <c r="B20" s="345">
        <v>1249570</v>
      </c>
      <c r="C20" s="346">
        <v>706109.25</v>
      </c>
      <c r="D20" s="64">
        <v>1223463</v>
      </c>
      <c r="E20" s="74">
        <v>223807</v>
      </c>
      <c r="F20" s="65">
        <v>5029</v>
      </c>
      <c r="G20" s="64">
        <f>N20+F20</f>
        <v>12815.39</v>
      </c>
      <c r="H20" s="64">
        <v>7569.91</v>
      </c>
      <c r="I20" s="64"/>
      <c r="J20" s="96">
        <f>+E20-G20</f>
        <v>210991.61</v>
      </c>
      <c r="K20" s="96">
        <f>D20-G20</f>
        <v>1210647.6100000001</v>
      </c>
      <c r="L20" s="363"/>
      <c r="M20" s="36">
        <v>430390.75</v>
      </c>
      <c r="N20" s="64">
        <v>7786.39</v>
      </c>
    </row>
    <row r="21" spans="1:16" ht="3" hidden="1" customHeight="1">
      <c r="A21" s="66" t="s">
        <v>482</v>
      </c>
      <c r="B21" s="345">
        <v>4628400</v>
      </c>
      <c r="C21" s="346">
        <v>2385818</v>
      </c>
      <c r="D21" s="64">
        <v>95571</v>
      </c>
      <c r="E21" s="74">
        <v>95571</v>
      </c>
      <c r="F21" s="65"/>
      <c r="G21" s="64">
        <f t="shared" ref="G21:G27" si="5">N21+F21</f>
        <v>95444.94</v>
      </c>
      <c r="H21" s="64">
        <v>95444.94</v>
      </c>
      <c r="I21" s="64">
        <v>40970.1</v>
      </c>
      <c r="J21" s="96">
        <f t="shared" ref="J21:J27" si="6">+E21-G21</f>
        <v>126.05999999999767</v>
      </c>
      <c r="K21" s="96">
        <f t="shared" ref="K21:K27" si="7">D21-G21</f>
        <v>126.05999999999767</v>
      </c>
      <c r="L21" s="363">
        <f>+G21*100/E21</f>
        <v>99.868098063220017</v>
      </c>
      <c r="M21" s="36">
        <v>95444.94</v>
      </c>
      <c r="N21" s="64">
        <f t="shared" ref="N21:N32" si="8">T21+M21</f>
        <v>95444.94</v>
      </c>
    </row>
    <row r="22" spans="1:16" ht="19.5" hidden="1" customHeight="1">
      <c r="A22" s="66" t="s">
        <v>483</v>
      </c>
      <c r="B22" s="345">
        <v>2000000</v>
      </c>
      <c r="C22" s="346">
        <v>1583358</v>
      </c>
      <c r="D22" s="64">
        <v>2153825</v>
      </c>
      <c r="E22" s="74">
        <v>2153825</v>
      </c>
      <c r="F22" s="65">
        <v>44909.79</v>
      </c>
      <c r="G22" s="64">
        <f t="shared" si="5"/>
        <v>1776362.75</v>
      </c>
      <c r="H22" s="64">
        <v>1127803.47</v>
      </c>
      <c r="I22" s="64">
        <v>1048788.1399999999</v>
      </c>
      <c r="J22" s="96">
        <f t="shared" si="6"/>
        <v>377462.25</v>
      </c>
      <c r="K22" s="96">
        <f t="shared" si="7"/>
        <v>377462.25</v>
      </c>
      <c r="L22" s="363">
        <f>+G22*100/E22</f>
        <v>82.474794841735047</v>
      </c>
      <c r="M22" s="36">
        <v>1731452.96</v>
      </c>
      <c r="N22" s="64">
        <f>U22+M22</f>
        <v>1731452.96</v>
      </c>
    </row>
    <row r="23" spans="1:16" ht="19.5" hidden="1" customHeight="1">
      <c r="A23" s="66" t="s">
        <v>484</v>
      </c>
      <c r="B23" s="345">
        <v>1000000</v>
      </c>
      <c r="C23" s="346">
        <v>454424</v>
      </c>
      <c r="D23" s="64">
        <v>529723</v>
      </c>
      <c r="E23" s="74">
        <v>529723</v>
      </c>
      <c r="F23" s="65">
        <v>-611.79</v>
      </c>
      <c r="G23" s="64">
        <f t="shared" si="5"/>
        <v>511244.28</v>
      </c>
      <c r="H23" s="64">
        <v>234013.25</v>
      </c>
      <c r="I23" s="64">
        <v>92974.23</v>
      </c>
      <c r="J23" s="96">
        <f t="shared" si="6"/>
        <v>18478.719999999972</v>
      </c>
      <c r="K23" s="96">
        <f t="shared" si="7"/>
        <v>18478.719999999972</v>
      </c>
      <c r="L23" s="363">
        <f t="shared" ref="L23:L32" si="9">+G23*100/E23</f>
        <v>96.511625887492144</v>
      </c>
      <c r="M23" s="36">
        <v>511856.07</v>
      </c>
      <c r="N23" s="64">
        <f t="shared" si="8"/>
        <v>511856.07</v>
      </c>
    </row>
    <row r="24" spans="1:16" ht="19.5" hidden="1" customHeight="1">
      <c r="A24" s="72" t="s">
        <v>485</v>
      </c>
      <c r="B24" s="345">
        <v>1270000</v>
      </c>
      <c r="C24" s="346">
        <v>1015903</v>
      </c>
      <c r="D24" s="64">
        <v>199885</v>
      </c>
      <c r="E24" s="74">
        <v>199885</v>
      </c>
      <c r="F24" s="65"/>
      <c r="G24" s="64">
        <f t="shared" si="5"/>
        <v>196884.57</v>
      </c>
      <c r="H24" s="64">
        <v>38781.19</v>
      </c>
      <c r="I24" s="64">
        <v>30055.17</v>
      </c>
      <c r="J24" s="96">
        <f t="shared" si="6"/>
        <v>3000.429999999993</v>
      </c>
      <c r="K24" s="96">
        <f t="shared" si="7"/>
        <v>3000.429999999993</v>
      </c>
      <c r="L24" s="363">
        <f t="shared" si="9"/>
        <v>98.498921880081042</v>
      </c>
      <c r="M24" s="36">
        <v>196884.57</v>
      </c>
      <c r="N24" s="64">
        <f t="shared" si="8"/>
        <v>196884.57</v>
      </c>
    </row>
    <row r="25" spans="1:16" ht="19.5" hidden="1" customHeight="1">
      <c r="A25" s="66" t="s">
        <v>486</v>
      </c>
      <c r="B25" s="345">
        <v>106000</v>
      </c>
      <c r="C25" s="346">
        <v>53000</v>
      </c>
      <c r="D25" s="64">
        <v>0</v>
      </c>
      <c r="E25" s="74">
        <v>0</v>
      </c>
      <c r="F25" s="65"/>
      <c r="G25" s="64">
        <f t="shared" si="5"/>
        <v>0</v>
      </c>
      <c r="H25" s="64"/>
      <c r="I25" s="64"/>
      <c r="J25" s="96">
        <f t="shared" si="6"/>
        <v>0</v>
      </c>
      <c r="K25" s="96">
        <f t="shared" si="7"/>
        <v>0</v>
      </c>
      <c r="L25" s="363" t="s">
        <v>12</v>
      </c>
      <c r="N25" s="64">
        <f t="shared" si="8"/>
        <v>0</v>
      </c>
    </row>
    <row r="26" spans="1:16" ht="23.25" hidden="1" customHeight="1">
      <c r="A26" s="66" t="s">
        <v>487</v>
      </c>
      <c r="B26" s="345">
        <v>149583</v>
      </c>
      <c r="C26" s="346">
        <v>79059.41</v>
      </c>
      <c r="D26" s="64">
        <v>65815.59</v>
      </c>
      <c r="E26" s="74">
        <v>65815.59</v>
      </c>
      <c r="F26" s="65">
        <v>-1319.77</v>
      </c>
      <c r="G26" s="64">
        <f t="shared" si="5"/>
        <v>64495.82</v>
      </c>
      <c r="H26" s="64">
        <v>64495.82</v>
      </c>
      <c r="I26" s="64">
        <v>64495.82</v>
      </c>
      <c r="J26" s="96">
        <f t="shared" si="6"/>
        <v>1319.7699999999968</v>
      </c>
      <c r="K26" s="96">
        <f t="shared" si="7"/>
        <v>1319.7699999999968</v>
      </c>
      <c r="L26" s="363">
        <f t="shared" si="9"/>
        <v>97.994745621820002</v>
      </c>
      <c r="M26" s="36">
        <v>65815.59</v>
      </c>
      <c r="N26" s="75">
        <f t="shared" si="8"/>
        <v>65815.59</v>
      </c>
    </row>
    <row r="27" spans="1:16" ht="23.25" customHeight="1">
      <c r="A27" s="66" t="s">
        <v>488</v>
      </c>
      <c r="B27" s="345">
        <v>705600</v>
      </c>
      <c r="C27" s="346">
        <v>755355</v>
      </c>
      <c r="D27" s="64">
        <v>634302</v>
      </c>
      <c r="E27" s="74">
        <v>69822</v>
      </c>
      <c r="F27" s="65">
        <v>2622.21</v>
      </c>
      <c r="G27" s="64">
        <f t="shared" si="5"/>
        <v>2622.21</v>
      </c>
      <c r="H27" s="64"/>
      <c r="I27" s="64"/>
      <c r="J27" s="96">
        <f t="shared" si="6"/>
        <v>67199.789999999994</v>
      </c>
      <c r="K27" s="96">
        <f t="shared" si="7"/>
        <v>631679.79</v>
      </c>
      <c r="L27" s="363">
        <f t="shared" si="9"/>
        <v>3.7555641488356106</v>
      </c>
      <c r="M27" s="99">
        <v>50468.69</v>
      </c>
      <c r="N27" s="64"/>
    </row>
    <row r="28" spans="1:16" ht="23.25" hidden="1" customHeight="1">
      <c r="A28" s="66" t="s">
        <v>489</v>
      </c>
      <c r="B28" s="345">
        <v>519956</v>
      </c>
      <c r="C28" s="346">
        <v>291331</v>
      </c>
      <c r="D28" s="64">
        <v>123714</v>
      </c>
      <c r="E28" s="74">
        <v>123714</v>
      </c>
      <c r="F28" s="65">
        <v>1973.99</v>
      </c>
      <c r="G28" s="64">
        <f>N28+F28</f>
        <v>90624.41</v>
      </c>
      <c r="H28" s="64">
        <v>89908.94</v>
      </c>
      <c r="I28" s="64">
        <v>74651.929999999993</v>
      </c>
      <c r="J28" s="64">
        <f t="shared" ref="J28:J32" si="10">+E28-G28</f>
        <v>33089.589999999997</v>
      </c>
      <c r="K28" s="95">
        <f t="shared" ref="K28:K32" si="11">+D28-G28</f>
        <v>33089.589999999997</v>
      </c>
      <c r="L28" s="363">
        <f t="shared" si="9"/>
        <v>73.253156473802477</v>
      </c>
      <c r="M28" s="36">
        <v>88650.42</v>
      </c>
      <c r="N28" s="64">
        <f>U28+M28</f>
        <v>88650.42</v>
      </c>
    </row>
    <row r="29" spans="1:16" ht="23.25" hidden="1" customHeight="1">
      <c r="A29" s="66" t="s">
        <v>490</v>
      </c>
      <c r="B29" s="76">
        <v>271625</v>
      </c>
      <c r="C29" s="346">
        <v>135812</v>
      </c>
      <c r="D29" s="64">
        <v>59422</v>
      </c>
      <c r="E29" s="74">
        <v>59422</v>
      </c>
      <c r="F29" s="65">
        <v>0</v>
      </c>
      <c r="G29" s="64">
        <f t="shared" ref="G29:G32" si="12">M29+F29</f>
        <v>59422</v>
      </c>
      <c r="H29" s="64">
        <v>59422</v>
      </c>
      <c r="I29" s="64">
        <v>6496</v>
      </c>
      <c r="J29" s="64">
        <f t="shared" si="10"/>
        <v>0</v>
      </c>
      <c r="K29" s="95">
        <f t="shared" si="11"/>
        <v>0</v>
      </c>
      <c r="L29" s="363">
        <f t="shared" si="9"/>
        <v>100</v>
      </c>
      <c r="M29" s="36">
        <v>59422</v>
      </c>
      <c r="N29" s="64">
        <f t="shared" si="8"/>
        <v>59422</v>
      </c>
    </row>
    <row r="30" spans="1:16" ht="23.25" hidden="1" customHeight="1">
      <c r="A30" s="66" t="s">
        <v>491</v>
      </c>
      <c r="B30" s="76">
        <v>394105</v>
      </c>
      <c r="C30" s="346">
        <v>247814</v>
      </c>
      <c r="D30" s="64">
        <v>150942</v>
      </c>
      <c r="E30" s="74">
        <v>150942</v>
      </c>
      <c r="F30" s="65">
        <v>-321</v>
      </c>
      <c r="G30" s="64">
        <f t="shared" si="12"/>
        <v>150620.16</v>
      </c>
      <c r="H30" s="64">
        <v>65102.28</v>
      </c>
      <c r="I30" s="64">
        <v>37543.82</v>
      </c>
      <c r="J30" s="64">
        <f t="shared" si="10"/>
        <v>321.83999999999651</v>
      </c>
      <c r="K30" s="95">
        <f t="shared" si="11"/>
        <v>321.83999999999651</v>
      </c>
      <c r="L30" s="363">
        <f t="shared" si="9"/>
        <v>99.786779027706004</v>
      </c>
      <c r="M30" s="36">
        <v>150941.16</v>
      </c>
      <c r="N30" s="64">
        <f t="shared" si="8"/>
        <v>150941.16</v>
      </c>
    </row>
    <row r="31" spans="1:16" ht="23.25" hidden="1" customHeight="1">
      <c r="A31" s="66" t="s">
        <v>492</v>
      </c>
      <c r="B31" s="76">
        <v>437560</v>
      </c>
      <c r="C31" s="346">
        <v>291464</v>
      </c>
      <c r="D31" s="64">
        <v>126412</v>
      </c>
      <c r="E31" s="74">
        <v>126412</v>
      </c>
      <c r="F31" s="65"/>
      <c r="G31" s="64">
        <f t="shared" si="12"/>
        <v>126411.66</v>
      </c>
      <c r="H31" s="64">
        <v>126411.66</v>
      </c>
      <c r="I31" s="64">
        <v>123426.36</v>
      </c>
      <c r="J31" s="64">
        <f t="shared" si="10"/>
        <v>0.33999999999650754</v>
      </c>
      <c r="K31" s="95">
        <f t="shared" si="11"/>
        <v>0.33999999999650754</v>
      </c>
      <c r="L31" s="363">
        <f t="shared" si="9"/>
        <v>99.999731038192579</v>
      </c>
      <c r="M31" s="36">
        <v>126411.66</v>
      </c>
      <c r="N31" s="64">
        <f t="shared" si="8"/>
        <v>126411.66</v>
      </c>
    </row>
    <row r="32" spans="1:16" ht="23.25" hidden="1" customHeight="1">
      <c r="A32" s="66" t="s">
        <v>493</v>
      </c>
      <c r="B32" s="76">
        <v>137348</v>
      </c>
      <c r="C32" s="346">
        <v>177787</v>
      </c>
      <c r="D32" s="64">
        <v>102784</v>
      </c>
      <c r="E32" s="74">
        <v>102784</v>
      </c>
      <c r="F32" s="65"/>
      <c r="G32" s="64">
        <f t="shared" si="12"/>
        <v>61231.12</v>
      </c>
      <c r="H32" s="64">
        <v>50548.54</v>
      </c>
      <c r="I32" s="64">
        <v>11275.68</v>
      </c>
      <c r="J32" s="64">
        <f t="shared" si="10"/>
        <v>41552.879999999997</v>
      </c>
      <c r="K32" s="95">
        <f t="shared" si="11"/>
        <v>41552.879999999997</v>
      </c>
      <c r="L32" s="363">
        <f t="shared" si="9"/>
        <v>59.572618306351181</v>
      </c>
      <c r="M32" s="36">
        <v>61231.12</v>
      </c>
      <c r="N32" s="64">
        <f t="shared" si="8"/>
        <v>61231.12</v>
      </c>
    </row>
    <row r="33" spans="1:15" ht="23.25" hidden="1" customHeight="1">
      <c r="A33" s="77"/>
      <c r="B33" s="79"/>
      <c r="C33" s="79"/>
      <c r="D33" s="79"/>
      <c r="E33" s="78"/>
      <c r="F33" s="732"/>
      <c r="G33" s="80"/>
      <c r="H33" s="369"/>
      <c r="I33" s="80"/>
      <c r="J33" s="80"/>
      <c r="K33" s="77"/>
      <c r="L33" s="365"/>
      <c r="N33" s="80"/>
    </row>
    <row r="34" spans="1:15" ht="5.25" hidden="1" customHeight="1">
      <c r="A34" s="81"/>
      <c r="B34" s="82"/>
      <c r="C34" s="81"/>
      <c r="D34" s="81"/>
      <c r="E34" s="82"/>
      <c r="F34" s="733"/>
      <c r="G34" s="83"/>
      <c r="H34" s="84"/>
      <c r="I34" s="83"/>
      <c r="J34" s="84"/>
      <c r="K34" s="81"/>
      <c r="L34" s="366"/>
      <c r="N34" s="83"/>
    </row>
    <row r="35" spans="1:15" ht="18" customHeight="1">
      <c r="A35" s="434" t="s">
        <v>494</v>
      </c>
      <c r="B35" s="436">
        <f>B40</f>
        <v>3949520</v>
      </c>
      <c r="C35" s="435">
        <f>C36+C37+C38+C39+C40+C41+C42+C43</f>
        <v>5850358.8499999996</v>
      </c>
      <c r="D35" s="436">
        <f t="shared" ref="D35:I35" si="13">D40</f>
        <v>3882225</v>
      </c>
      <c r="E35" s="437">
        <f t="shared" si="13"/>
        <v>752609</v>
      </c>
      <c r="F35" s="734">
        <f t="shared" si="13"/>
        <v>231817.32</v>
      </c>
      <c r="G35" s="437">
        <f t="shared" si="13"/>
        <v>658440.03</v>
      </c>
      <c r="H35" s="437">
        <f t="shared" si="13"/>
        <v>179021.94</v>
      </c>
      <c r="I35" s="437">
        <f t="shared" si="13"/>
        <v>259998.36</v>
      </c>
      <c r="J35" s="436">
        <f>E35-G35</f>
        <v>94168.969999999972</v>
      </c>
      <c r="K35" s="436">
        <f>D35-G35</f>
        <v>3223784.9699999997</v>
      </c>
      <c r="L35" s="479">
        <f>+G35*100/E35</f>
        <v>87.487663580956379</v>
      </c>
      <c r="M35" s="36">
        <f>M36+M37+M38+M39+M40+M41+M42+M43</f>
        <v>7142966.3700000001</v>
      </c>
      <c r="N35" s="437">
        <f>N40</f>
        <v>426622.71</v>
      </c>
      <c r="O35" s="1" t="s">
        <v>12</v>
      </c>
    </row>
    <row r="36" spans="1:15" ht="0.75" hidden="1" customHeight="1">
      <c r="A36" s="322" t="s">
        <v>545</v>
      </c>
      <c r="B36" s="63">
        <v>350999</v>
      </c>
      <c r="C36" s="95">
        <v>138696.59</v>
      </c>
      <c r="D36" s="85">
        <v>115513</v>
      </c>
      <c r="E36" s="89">
        <v>115513</v>
      </c>
      <c r="F36" s="735">
        <v>-59385</v>
      </c>
      <c r="G36" s="438">
        <f>F36+M36</f>
        <v>106460.41</v>
      </c>
      <c r="H36" s="64">
        <v>106460.41</v>
      </c>
      <c r="I36" s="75">
        <v>16417.009999999998</v>
      </c>
      <c r="J36" s="96">
        <f>E36-G36</f>
        <v>9052.5899999999965</v>
      </c>
      <c r="K36" s="96">
        <f>D36-G36</f>
        <v>9052.5899999999965</v>
      </c>
      <c r="L36" s="363">
        <f t="shared" ref="L36:L47" si="14">+G36*100/E36</f>
        <v>92.163141810878429</v>
      </c>
      <c r="M36" s="36">
        <v>165845.41</v>
      </c>
      <c r="N36" s="438">
        <f>M36+T36</f>
        <v>165845.41</v>
      </c>
    </row>
    <row r="37" spans="1:15" ht="19.5" hidden="1" customHeight="1">
      <c r="A37" s="86" t="s">
        <v>495</v>
      </c>
      <c r="B37" s="73">
        <v>779586</v>
      </c>
      <c r="C37" s="345">
        <v>389793</v>
      </c>
      <c r="D37" s="383">
        <v>100000</v>
      </c>
      <c r="E37" s="344">
        <v>100000</v>
      </c>
      <c r="F37" s="736"/>
      <c r="G37" s="64">
        <f t="shared" ref="G37:G43" si="15">F37+M37</f>
        <v>99999.29</v>
      </c>
      <c r="H37" s="64">
        <v>99999.29</v>
      </c>
      <c r="I37" s="75">
        <v>99999.29</v>
      </c>
      <c r="J37" s="64">
        <f>E37-G37</f>
        <v>0.71000000000640284</v>
      </c>
      <c r="K37" s="95">
        <f t="shared" ref="K37:K40" si="16">D37-G37</f>
        <v>0.71000000000640284</v>
      </c>
      <c r="L37" s="363">
        <f t="shared" si="14"/>
        <v>99.999290000000002</v>
      </c>
      <c r="M37" s="36">
        <v>99999.29</v>
      </c>
      <c r="N37" s="64">
        <f t="shared" ref="N37:N43" si="17">M37+T37</f>
        <v>99999.29</v>
      </c>
    </row>
    <row r="38" spans="1:15" ht="31.5" hidden="1" customHeight="1">
      <c r="A38" s="88" t="s">
        <v>496</v>
      </c>
      <c r="B38" s="87">
        <v>1000000</v>
      </c>
      <c r="C38" s="346">
        <v>500000</v>
      </c>
      <c r="D38" s="384">
        <v>1000000</v>
      </c>
      <c r="E38" s="344">
        <v>1000000</v>
      </c>
      <c r="F38" s="736"/>
      <c r="G38" s="64">
        <f t="shared" si="15"/>
        <v>1000000</v>
      </c>
      <c r="H38" s="64">
        <v>1000000</v>
      </c>
      <c r="I38" s="75"/>
      <c r="J38" s="64">
        <f>E38-G38</f>
        <v>0</v>
      </c>
      <c r="K38" s="95">
        <f t="shared" si="16"/>
        <v>0</v>
      </c>
      <c r="L38" s="363" t="s">
        <v>12</v>
      </c>
      <c r="M38" s="36">
        <v>1000000</v>
      </c>
      <c r="N38" s="64">
        <f t="shared" si="17"/>
        <v>1000000</v>
      </c>
    </row>
    <row r="39" spans="1:15" ht="3.75" hidden="1" customHeight="1">
      <c r="A39" s="88" t="s">
        <v>497</v>
      </c>
      <c r="B39" s="87">
        <v>1845166</v>
      </c>
      <c r="C39" s="87">
        <v>909683</v>
      </c>
      <c r="D39" s="89">
        <v>576307</v>
      </c>
      <c r="E39" s="344">
        <v>576307</v>
      </c>
      <c r="F39" s="737"/>
      <c r="G39" s="64">
        <f t="shared" si="15"/>
        <v>576306.87</v>
      </c>
      <c r="H39" s="64">
        <v>512859.68</v>
      </c>
      <c r="I39" s="75">
        <v>431911</v>
      </c>
      <c r="J39" s="64">
        <f t="shared" ref="J39:J47" si="18">E39-G39</f>
        <v>0.13000000000465661</v>
      </c>
      <c r="K39" s="95">
        <f t="shared" si="16"/>
        <v>0.13000000000465661</v>
      </c>
      <c r="L39" s="363">
        <f t="shared" si="14"/>
        <v>99.999977442578341</v>
      </c>
      <c r="M39" s="36">
        <v>576306.87</v>
      </c>
      <c r="N39" s="64">
        <f t="shared" si="17"/>
        <v>576306.87</v>
      </c>
    </row>
    <row r="40" spans="1:15" ht="32.25" customHeight="1">
      <c r="A40" s="422" t="s">
        <v>498</v>
      </c>
      <c r="B40" s="423">
        <v>3949520</v>
      </c>
      <c r="C40" s="423">
        <v>2937611.26</v>
      </c>
      <c r="D40" s="424">
        <v>3882225</v>
      </c>
      <c r="E40" s="427">
        <v>752609</v>
      </c>
      <c r="F40" s="738">
        <v>231817.32</v>
      </c>
      <c r="G40" s="428">
        <f>N40+F40</f>
        <v>658440.03</v>
      </c>
      <c r="H40" s="428">
        <v>179021.94</v>
      </c>
      <c r="I40" s="429">
        <v>259998.36</v>
      </c>
      <c r="J40" s="425">
        <f t="shared" si="18"/>
        <v>94168.969999999972</v>
      </c>
      <c r="K40" s="425">
        <f t="shared" si="16"/>
        <v>3223784.9699999997</v>
      </c>
      <c r="L40" s="426">
        <f t="shared" si="14"/>
        <v>87.487663580956379</v>
      </c>
      <c r="M40" s="36">
        <v>2471740.61</v>
      </c>
      <c r="N40" s="428">
        <v>426622.71</v>
      </c>
    </row>
    <row r="41" spans="1:15" ht="1.5" hidden="1" customHeight="1">
      <c r="A41" s="88" t="s">
        <v>499</v>
      </c>
      <c r="B41" s="87">
        <v>500000</v>
      </c>
      <c r="C41" s="87"/>
      <c r="D41" s="89">
        <v>799000</v>
      </c>
      <c r="E41" s="344">
        <v>799000</v>
      </c>
      <c r="F41" s="737"/>
      <c r="G41" s="64">
        <f t="shared" si="15"/>
        <v>787922.29</v>
      </c>
      <c r="H41" s="64">
        <v>2247</v>
      </c>
      <c r="I41" s="75">
        <v>2247</v>
      </c>
      <c r="J41" s="425">
        <f t="shared" ref="J41:J45" si="19">E41-G41</f>
        <v>11077.709999999963</v>
      </c>
      <c r="K41" s="425">
        <f t="shared" ref="K41:K45" si="20">D41-G41</f>
        <v>11077.709999999963</v>
      </c>
      <c r="L41" s="426">
        <f t="shared" si="14"/>
        <v>98.613553191489359</v>
      </c>
      <c r="M41" s="36">
        <v>787922.29</v>
      </c>
      <c r="N41" s="64">
        <f t="shared" si="17"/>
        <v>787922.29</v>
      </c>
    </row>
    <row r="42" spans="1:15" ht="36" hidden="1" customHeight="1">
      <c r="A42" s="88" t="s">
        <v>500</v>
      </c>
      <c r="B42" s="87">
        <v>2067604</v>
      </c>
      <c r="C42" s="87">
        <v>974575</v>
      </c>
      <c r="D42" s="89">
        <v>1806881</v>
      </c>
      <c r="E42" s="344">
        <v>1806881</v>
      </c>
      <c r="F42" s="737">
        <v>4872.1499999999996</v>
      </c>
      <c r="G42" s="64">
        <f>N42+F42</f>
        <v>1747024.0599999998</v>
      </c>
      <c r="H42" s="64">
        <v>1748594.29</v>
      </c>
      <c r="I42" s="75">
        <v>51481.84</v>
      </c>
      <c r="J42" s="425">
        <f t="shared" si="19"/>
        <v>59856.940000000177</v>
      </c>
      <c r="K42" s="425">
        <f t="shared" si="20"/>
        <v>59856.940000000177</v>
      </c>
      <c r="L42" s="426">
        <f t="shared" si="14"/>
        <v>96.687278243558907</v>
      </c>
      <c r="M42" s="36">
        <v>1742151.91</v>
      </c>
      <c r="N42" s="64">
        <f>U42+M42</f>
        <v>1742151.91</v>
      </c>
    </row>
    <row r="43" spans="1:15" ht="12.75" hidden="1" customHeight="1">
      <c r="A43" s="88" t="s">
        <v>501</v>
      </c>
      <c r="B43" s="87">
        <v>2100000</v>
      </c>
      <c r="C43" s="87"/>
      <c r="D43" s="89">
        <v>751000</v>
      </c>
      <c r="E43" s="344">
        <v>751000</v>
      </c>
      <c r="F43" s="739">
        <v>159000</v>
      </c>
      <c r="G43" s="64">
        <f t="shared" si="15"/>
        <v>457999.99</v>
      </c>
      <c r="H43" s="370">
        <v>457999.99</v>
      </c>
      <c r="I43" s="75">
        <v>457999.99</v>
      </c>
      <c r="J43" s="425">
        <f t="shared" si="19"/>
        <v>293000.01</v>
      </c>
      <c r="K43" s="425">
        <f t="shared" si="20"/>
        <v>293000.01</v>
      </c>
      <c r="L43" s="426">
        <f t="shared" si="14"/>
        <v>60.985351531291613</v>
      </c>
      <c r="M43" s="36">
        <v>298999.99</v>
      </c>
      <c r="N43" s="64">
        <f t="shared" si="17"/>
        <v>298999.99</v>
      </c>
    </row>
    <row r="44" spans="1:15" ht="25.5" customHeight="1">
      <c r="A44" s="430" t="s">
        <v>621</v>
      </c>
      <c r="B44" s="431">
        <f>B45</f>
        <v>1100000</v>
      </c>
      <c r="C44" s="432"/>
      <c r="D44" s="433">
        <f t="shared" ref="D44:I44" si="21">D45</f>
        <v>1034219</v>
      </c>
      <c r="E44" s="441">
        <f t="shared" si="21"/>
        <v>184219</v>
      </c>
      <c r="F44" s="740">
        <f t="shared" si="21"/>
        <v>97255.85</v>
      </c>
      <c r="G44" s="442">
        <f t="shared" si="21"/>
        <v>109680.91</v>
      </c>
      <c r="H44" s="442">
        <f t="shared" si="21"/>
        <v>7345.55</v>
      </c>
      <c r="I44" s="442">
        <f t="shared" si="21"/>
        <v>0</v>
      </c>
      <c r="J44" s="458">
        <f t="shared" si="19"/>
        <v>74538.09</v>
      </c>
      <c r="K44" s="458">
        <f t="shared" si="20"/>
        <v>924538.09</v>
      </c>
      <c r="L44" s="426">
        <f t="shared" si="14"/>
        <v>59.538326665544815</v>
      </c>
      <c r="N44" s="442">
        <f>N45</f>
        <v>12425.06</v>
      </c>
    </row>
    <row r="45" spans="1:15" ht="25.5" customHeight="1">
      <c r="A45" s="421" t="s">
        <v>622</v>
      </c>
      <c r="B45" s="87">
        <v>1100000</v>
      </c>
      <c r="C45" s="76"/>
      <c r="D45" s="85">
        <v>1034219</v>
      </c>
      <c r="E45" s="439">
        <v>184219</v>
      </c>
      <c r="F45" s="741">
        <v>97255.85</v>
      </c>
      <c r="G45" s="440">
        <f>N45+F45</f>
        <v>109680.91</v>
      </c>
      <c r="H45" s="95">
        <v>7345.55</v>
      </c>
      <c r="I45" s="443"/>
      <c r="J45" s="425">
        <f t="shared" si="19"/>
        <v>74538.09</v>
      </c>
      <c r="K45" s="425">
        <f t="shared" si="20"/>
        <v>924538.09</v>
      </c>
      <c r="L45" s="426">
        <f t="shared" si="14"/>
        <v>59.538326665544815</v>
      </c>
      <c r="N45" s="440">
        <v>12425.06</v>
      </c>
    </row>
    <row r="46" spans="1:15" ht="27.75" hidden="1" customHeight="1">
      <c r="A46" s="88"/>
      <c r="B46" s="87"/>
      <c r="C46" s="76"/>
      <c r="D46" s="85"/>
      <c r="E46" s="420"/>
      <c r="F46" s="739"/>
      <c r="G46" s="370"/>
      <c r="H46" s="95"/>
      <c r="I46" s="85"/>
      <c r="J46" s="64"/>
      <c r="K46" s="95"/>
      <c r="L46" s="363"/>
      <c r="N46" s="370"/>
    </row>
    <row r="47" spans="1:15" ht="20.100000000000001" customHeight="1">
      <c r="A47" s="60" t="s">
        <v>21</v>
      </c>
      <c r="B47" s="61">
        <f>B8+B18+B35+B44</f>
        <v>46208546</v>
      </c>
      <c r="C47" s="61">
        <f t="shared" ref="C47:G47" si="22">C8+C18+C35+C44</f>
        <v>21272095.100000001</v>
      </c>
      <c r="D47" s="61">
        <f t="shared" si="22"/>
        <v>46208546</v>
      </c>
      <c r="E47" s="61">
        <f t="shared" si="22"/>
        <v>10192820</v>
      </c>
      <c r="F47" s="742">
        <f t="shared" si="22"/>
        <v>504188.57999999996</v>
      </c>
      <c r="G47" s="61">
        <f t="shared" si="22"/>
        <v>1030843.8200000001</v>
      </c>
      <c r="H47" s="61">
        <f>H8+H18+H35+H44</f>
        <v>297834.15999999997</v>
      </c>
      <c r="I47" s="61">
        <f>I8+I18+I35</f>
        <v>311425.19999999995</v>
      </c>
      <c r="J47" s="62">
        <f t="shared" si="18"/>
        <v>9161976.1799999997</v>
      </c>
      <c r="K47" s="93">
        <f>D47-G47</f>
        <v>45177702.18</v>
      </c>
      <c r="L47" s="362">
        <f t="shared" si="14"/>
        <v>10.11343102301424</v>
      </c>
      <c r="M47" s="36">
        <v>25647260.289999999</v>
      </c>
      <c r="N47" s="61">
        <f t="shared" ref="N47" si="23">N8+N18+N35+N44</f>
        <v>526655.24000000011</v>
      </c>
    </row>
    <row r="48" spans="1:15" ht="9" customHeight="1">
      <c r="A48" s="90"/>
      <c r="M48" s="36" t="s">
        <v>12</v>
      </c>
    </row>
    <row r="49" spans="1:5">
      <c r="A49" s="91" t="s">
        <v>40</v>
      </c>
      <c r="D49" s="1" t="s">
        <v>12</v>
      </c>
    </row>
    <row r="56" spans="1:5">
      <c r="D56" s="1"/>
      <c r="E56" s="1" t="s">
        <v>12</v>
      </c>
    </row>
  </sheetData>
  <mergeCells count="8">
    <mergeCell ref="A1:L1"/>
    <mergeCell ref="A2:L2"/>
    <mergeCell ref="A3:L3"/>
    <mergeCell ref="A4:L4"/>
    <mergeCell ref="B6:I6"/>
    <mergeCell ref="A6:A7"/>
    <mergeCell ref="L6:L7"/>
    <mergeCell ref="J6:K6"/>
  </mergeCells>
  <pageMargins left="0.9" right="0" top="0.39370078740157483" bottom="0.39370078740157483" header="0.31496062992125984" footer="0.31496062992125984"/>
  <pageSetup scale="55" orientation="landscape" r:id="rId1"/>
  <ignoredErrors>
    <ignoredError sqref="J18 G28 G40:G41 G42 G1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17</vt:i4>
      </vt:variant>
    </vt:vector>
  </HeadingPairs>
  <TitlesOfParts>
    <vt:vector size="27" baseType="lpstr">
      <vt:lpstr>RESUMAN</vt:lpstr>
      <vt:lpstr>RECAUDACION</vt:lpstr>
      <vt:lpstr>INGRESOS</vt:lpstr>
      <vt:lpstr>FINANCIAMIENTO</vt:lpstr>
      <vt:lpstr>FLUJO</vt:lpstr>
      <vt:lpstr>BALANCE GASTOS</vt:lpstr>
      <vt:lpstr>EJECUCION FUNC</vt:lpstr>
      <vt:lpstr>ESTRUCTURA PROG</vt:lpstr>
      <vt:lpstr>PROYECTOS</vt:lpstr>
      <vt:lpstr>INVERSIONES</vt:lpstr>
      <vt:lpstr>'BALANCE GASTOS'!Área_de_impresión</vt:lpstr>
      <vt:lpstr>'ESTRUCTURA PROG'!Área_de_impresión</vt:lpstr>
      <vt:lpstr>FINANCIAMIENTO!Área_de_impresión</vt:lpstr>
      <vt:lpstr>FLUJO!Área_de_impresión</vt:lpstr>
      <vt:lpstr>INGRESOS!Área_de_impresión</vt:lpstr>
      <vt:lpstr>INVERSIONES!Área_de_impresión</vt:lpstr>
      <vt:lpstr>PROYECTOS!Área_de_impresión</vt:lpstr>
      <vt:lpstr>Excel_BuiltIn_Print_Area_7</vt:lpstr>
      <vt:lpstr>Excel_BuiltIn_Print_Area_7_1</vt:lpstr>
      <vt:lpstr>Excel_BuiltIn_Print_Area_7_1_1</vt:lpstr>
      <vt:lpstr>Excel_BuiltIn_Print_Area_9_1</vt:lpstr>
      <vt:lpstr>Excel_BuiltIn_Print_Titles_11</vt:lpstr>
      <vt:lpstr>Excel_BuiltIn_Print_Titles_7</vt:lpstr>
      <vt:lpstr>'BALANCE GASTOS'!Títulos_a_imprimir</vt:lpstr>
      <vt:lpstr>'EJECUCION FUNC'!Títulos_a_imprimir</vt:lpstr>
      <vt:lpstr>PROYECTOS!Títulos_a_imprimir</vt:lpstr>
      <vt:lpstr>RECAUDACION!Títulos_a_imprimir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 CASTILLO</dc:creator>
  <cp:lastModifiedBy>Jaime Young</cp:lastModifiedBy>
  <cp:lastPrinted>2026-03-12T18:26:18Z</cp:lastPrinted>
  <dcterms:created xsi:type="dcterms:W3CDTF">2010-01-07T20:52:00Z</dcterms:created>
  <dcterms:modified xsi:type="dcterms:W3CDTF">2026-03-12T18:40:20Z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8E3A71A146F34AD491BABD7658574AC4_12</vt:lpwstr>
  </property>
  <property fmtid="{D5CDD505-2E9C-101B-9397-08002B2CF9AE}" pid="3" name="KSOProductBuildVer">
    <vt:lpwstr>2058-12.2.0.22549</vt:lpwstr>
  </property>
</Properties>
</file>