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Z:\PRESUPUESTO_SERVIDOR\4. EJECUCIÓN PRESUPUESTARIA POR AÑO\INFORMES DE EJECUCION POR AÑO\2026\marzo\"/>
    </mc:Choice>
  </mc:AlternateContent>
  <xr:revisionPtr revIDLastSave="0" documentId="8_{C0DFCC92-57FE-4086-A5E6-D6E60159B858}" xr6:coauthVersionLast="47" xr6:coauthVersionMax="47" xr10:uidLastSave="{00000000-0000-0000-0000-000000000000}"/>
  <bookViews>
    <workbookView xWindow="-120" yWindow="-120" windowWidth="29040" windowHeight="15720" tabRatio="875" xr2:uid="{00000000-000D-0000-FFFF-FFFF00000000}"/>
  </bookViews>
  <sheets>
    <sheet name="RESUMEN" sheetId="18" r:id="rId1"/>
    <sheet name="RECAUDACION ING" sheetId="8" r:id="rId2"/>
    <sheet name="INGRESOS" sheetId="9" r:id="rId3"/>
    <sheet name="FINANCIAMIENTO" sheetId="63" r:id="rId4"/>
    <sheet name="FLUJO" sheetId="11" r:id="rId5"/>
    <sheet name="BALANCE GASTOS" sheetId="12" r:id="rId6"/>
    <sheet name="FUNCIONAMIENTO" sheetId="24" r:id="rId7"/>
    <sheet name="ESTRUCTURA PROG" sheetId="15" r:id="rId8"/>
    <sheet name="PROYECTROS INV" sheetId="60" r:id="rId9"/>
    <sheet name="GASTOS INV" sheetId="65" r:id="rId10"/>
  </sheets>
  <externalReferences>
    <externalReference r:id="rId11"/>
    <externalReference r:id="rId12"/>
  </externalReferences>
  <definedNames>
    <definedName name="a">"$#REF!.$CP$1"</definedName>
    <definedName name="_xlnm.Print_Area" localSheetId="5">'BALANCE GASTOS'!$A$6:$K$53</definedName>
    <definedName name="_xlnm.Print_Area" localSheetId="7">'ESTRUCTURA PROG'!$A$3:$L$32</definedName>
    <definedName name="_xlnm.Print_Area" localSheetId="3">FINANCIAMIENTO!$A$1:$H$35</definedName>
    <definedName name="_xlnm.Print_Area" localSheetId="4">FLUJO!$A$3:$H$54</definedName>
    <definedName name="_xlnm.Print_Area" localSheetId="9">'GASTOS INV'!$A$1:$O$119</definedName>
    <definedName name="_xlnm.Print_Area" localSheetId="2">INGRESOS!$A$1:$J$33</definedName>
    <definedName name="_xlnm.Print_Area" localSheetId="8">'PROYECTROS INV'!$A$8:$L$51</definedName>
    <definedName name="Excel_BuiltIn_Print_Area_12_1">"$#REF!.$A$1:$L$197"</definedName>
    <definedName name="Excel_BuiltIn_Print_Area_12_1_1">"$#REF!.$B$10:$L$205"</definedName>
    <definedName name="Excel_BuiltIn_Print_Area_12_1_1_1">"$#REF!.$B$10:$L$206"</definedName>
    <definedName name="Excel_BuiltIn_Print_Area_7">'RECAUDACION ING'!$B$3:$I$49</definedName>
    <definedName name="Excel_BuiltIn_Print_Area_7_1">'RECAUDACION ING'!$B$3:$I$43</definedName>
    <definedName name="Excel_BuiltIn_Print_Area_7_1_1">'RECAUDACION ING'!$B$3:$I$49</definedName>
    <definedName name="Excel_BuiltIn_Print_Area_8_1">[1]INGRESOS!$A$6:$I$39</definedName>
    <definedName name="Excel_BuiltIn_Print_Area_8_1_1">[1]INGRESOS!$A$6:$I$40</definedName>
    <definedName name="Excel_BuiltIn_Print_Area_9_1">FINANCIAMIENTO!$A$4:$H$36</definedName>
    <definedName name="Excel_BuiltIn_Print_Titles_11">'BALANCE GASTOS'!$4:$5</definedName>
    <definedName name="Excel_BuiltIn_Print_Titles_12_1">"$#REF!.$A$1:$B$65535;$#REF!.$A$1:$IV$7"</definedName>
    <definedName name="Excel_BuiltIn_Print_Titles_7">'RECAUDACION ING'!$3:$4</definedName>
    <definedName name="Excel_BuiltIn_Print_Titles_7_1">"$cuadro_A_1.$#REF!$#REF!:$#REF!$#REF!"</definedName>
    <definedName name="Excel_BuiltIn_Print_Titles_8_1">[1]INGRESOS!$A$1:$IV$5</definedName>
    <definedName name="_xlnm.Print_Titles" localSheetId="5">'BALANCE GASTOS'!$1:$5</definedName>
    <definedName name="_xlnm.Print_Titles" localSheetId="6">FUNCIONAMIENTO!$4:$10</definedName>
    <definedName name="_xlnm.Print_Titles" localSheetId="8">'PROYECTROS INV'!$1:$7</definedName>
    <definedName name="_xlnm.Print_Titles" localSheetId="1">'RECAUDACION ING'!$1:$4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0" i="60" l="1"/>
  <c r="H167" i="24"/>
  <c r="H35" i="8" l="1"/>
  <c r="G34" i="8"/>
  <c r="I35" i="8" l="1"/>
  <c r="O51" i="65" l="1"/>
  <c r="E37" i="60" l="1"/>
  <c r="D44" i="12"/>
  <c r="C44" i="12"/>
  <c r="F35" i="65"/>
  <c r="E35" i="65"/>
  <c r="K42" i="65"/>
  <c r="L17" i="60" l="1"/>
  <c r="J17" i="60"/>
  <c r="K17" i="60"/>
  <c r="G33" i="8" l="1"/>
  <c r="J9" i="8"/>
  <c r="J21" i="8"/>
  <c r="J17" i="8"/>
  <c r="J15" i="8" s="1"/>
  <c r="J11" i="8"/>
  <c r="F30" i="9"/>
  <c r="F28" i="9"/>
  <c r="F27" i="9"/>
  <c r="F26" i="9"/>
  <c r="E41" i="8"/>
  <c r="I41" i="8" s="1"/>
  <c r="E32" i="8"/>
  <c r="E29" i="8"/>
  <c r="E28" i="8"/>
  <c r="E27" i="8"/>
  <c r="E25" i="8"/>
  <c r="E19" i="8"/>
  <c r="E18" i="8"/>
  <c r="L12" i="60"/>
  <c r="L13" i="60"/>
  <c r="L14" i="60"/>
  <c r="L15" i="60"/>
  <c r="G22" i="60"/>
  <c r="L22" i="60" s="1"/>
  <c r="G11" i="60"/>
  <c r="L11" i="60" s="1"/>
  <c r="F37" i="60"/>
  <c r="F20" i="60"/>
  <c r="F8" i="60"/>
  <c r="E20" i="60"/>
  <c r="D20" i="60"/>
  <c r="E8" i="60"/>
  <c r="D8" i="60"/>
  <c r="O38" i="65"/>
  <c r="O55" i="65"/>
  <c r="O56" i="65"/>
  <c r="O58" i="65"/>
  <c r="O61" i="65"/>
  <c r="O65" i="65"/>
  <c r="O66" i="65"/>
  <c r="O68" i="65"/>
  <c r="O88" i="65"/>
  <c r="O104" i="65"/>
  <c r="O108" i="65"/>
  <c r="O110" i="65"/>
  <c r="O111" i="65"/>
  <c r="O112" i="65"/>
  <c r="O113" i="65"/>
  <c r="I105" i="65"/>
  <c r="H115" i="65"/>
  <c r="O115" i="65" s="1"/>
  <c r="H102" i="65"/>
  <c r="O102" i="65" s="1"/>
  <c r="H97" i="65"/>
  <c r="H98" i="65"/>
  <c r="H99" i="65"/>
  <c r="O99" i="65" s="1"/>
  <c r="H95" i="65"/>
  <c r="H91" i="65"/>
  <c r="H90" i="65"/>
  <c r="H89" i="65"/>
  <c r="O89" i="65" s="1"/>
  <c r="H86" i="65"/>
  <c r="O86" i="65" s="1"/>
  <c r="H85" i="65"/>
  <c r="H82" i="65"/>
  <c r="H80" i="65"/>
  <c r="O80" i="65" s="1"/>
  <c r="H73" i="65"/>
  <c r="O73" i="65" s="1"/>
  <c r="H74" i="65"/>
  <c r="O74" i="65" s="1"/>
  <c r="H76" i="65"/>
  <c r="O76" i="65" s="1"/>
  <c r="H77" i="65"/>
  <c r="O77" i="65" s="1"/>
  <c r="H78" i="65"/>
  <c r="O78" i="65" s="1"/>
  <c r="H79" i="65"/>
  <c r="O79" i="65" s="1"/>
  <c r="H75" i="65"/>
  <c r="O75" i="65" s="1"/>
  <c r="H60" i="65"/>
  <c r="O60" i="65" s="1"/>
  <c r="H57" i="65"/>
  <c r="O57" i="65" s="1"/>
  <c r="H36" i="65"/>
  <c r="H32" i="65"/>
  <c r="H30" i="65" s="1"/>
  <c r="G105" i="65"/>
  <c r="G71" i="65"/>
  <c r="G83" i="65"/>
  <c r="G59" i="65"/>
  <c r="G54" i="65"/>
  <c r="G30" i="65"/>
  <c r="G35" i="65"/>
  <c r="F105" i="65"/>
  <c r="F83" i="65"/>
  <c r="F30" i="65"/>
  <c r="F21" i="65"/>
  <c r="E105" i="65"/>
  <c r="E21" i="65"/>
  <c r="E30" i="65"/>
  <c r="E83" i="65"/>
  <c r="D62" i="65"/>
  <c r="E62" i="65"/>
  <c r="F20" i="65" l="1"/>
  <c r="E20" i="65"/>
  <c r="E43" i="12"/>
  <c r="E44" i="12"/>
  <c r="H105" i="65"/>
  <c r="O105" i="65" s="1"/>
  <c r="O36" i="65"/>
  <c r="M27" i="15"/>
  <c r="M21" i="15" s="1"/>
  <c r="M17" i="15"/>
  <c r="M11" i="15" s="1"/>
  <c r="O157" i="24"/>
  <c r="O156" i="24" s="1"/>
  <c r="O89" i="24"/>
  <c r="O128" i="24"/>
  <c r="O126" i="24"/>
  <c r="H126" i="24" s="1"/>
  <c r="O88" i="24"/>
  <c r="O63" i="24"/>
  <c r="O62" i="24" s="1"/>
  <c r="O59" i="24"/>
  <c r="O58" i="24" s="1"/>
  <c r="O56" i="24"/>
  <c r="O14" i="24"/>
  <c r="H14" i="24" s="1"/>
  <c r="O161" i="24"/>
  <c r="O170" i="24"/>
  <c r="O145" i="24"/>
  <c r="O114" i="24"/>
  <c r="O110" i="24"/>
  <c r="O104" i="24"/>
  <c r="O98" i="24"/>
  <c r="O95" i="24"/>
  <c r="O38" i="24"/>
  <c r="O29" i="24"/>
  <c r="O11" i="24" s="1"/>
  <c r="O176" i="24"/>
  <c r="O158" i="24"/>
  <c r="H159" i="24"/>
  <c r="O129" i="24"/>
  <c r="O135" i="24"/>
  <c r="J145" i="24"/>
  <c r="J55" i="24"/>
  <c r="I120" i="24"/>
  <c r="H168" i="24"/>
  <c r="I158" i="24"/>
  <c r="H123" i="24"/>
  <c r="H122" i="24"/>
  <c r="H111" i="24"/>
  <c r="I55" i="24"/>
  <c r="H50" i="24"/>
  <c r="H41" i="24"/>
  <c r="O37" i="24" l="1"/>
  <c r="O160" i="24"/>
  <c r="O120" i="24"/>
  <c r="O155" i="24"/>
  <c r="G17" i="15"/>
  <c r="H157" i="24"/>
  <c r="H128" i="24"/>
  <c r="G163" i="24"/>
  <c r="H109" i="24"/>
  <c r="H40" i="24"/>
  <c r="F76" i="24"/>
  <c r="F120" i="24"/>
  <c r="F145" i="24"/>
  <c r="F180" i="24"/>
  <c r="E120" i="24"/>
  <c r="E180" i="24"/>
  <c r="H156" i="24" l="1"/>
  <c r="G19" i="11" l="1"/>
  <c r="B19" i="11" l="1"/>
  <c r="I50" i="8"/>
  <c r="E44" i="8"/>
  <c r="G19" i="8" l="1"/>
  <c r="G18" i="8"/>
  <c r="F17" i="8"/>
  <c r="G17" i="8" s="1"/>
  <c r="H13" i="9" l="1"/>
  <c r="I37" i="60" l="1"/>
  <c r="I46" i="60"/>
  <c r="H44" i="12" s="1"/>
  <c r="H37" i="60"/>
  <c r="H46" i="60"/>
  <c r="G44" i="12" s="1"/>
  <c r="G47" i="60"/>
  <c r="L47" i="60" s="1"/>
  <c r="G42" i="60"/>
  <c r="G29" i="60"/>
  <c r="J22" i="60"/>
  <c r="J11" i="60"/>
  <c r="H20" i="60"/>
  <c r="G9" i="60"/>
  <c r="G28" i="60"/>
  <c r="G27" i="60"/>
  <c r="G26" i="60"/>
  <c r="G25" i="60"/>
  <c r="L25" i="60" s="1"/>
  <c r="G24" i="60"/>
  <c r="L24" i="60" s="1"/>
  <c r="G23" i="60"/>
  <c r="O85" i="65"/>
  <c r="J92" i="65"/>
  <c r="I92" i="65"/>
  <c r="H81" i="65"/>
  <c r="H72" i="65"/>
  <c r="H67" i="65"/>
  <c r="G49" i="65"/>
  <c r="H39" i="65"/>
  <c r="O39" i="65" s="1"/>
  <c r="H37" i="65"/>
  <c r="H96" i="65"/>
  <c r="H71" i="65" l="1"/>
  <c r="O72" i="65"/>
  <c r="O37" i="65"/>
  <c r="H35" i="65"/>
  <c r="H64" i="65"/>
  <c r="O67" i="65"/>
  <c r="J28" i="60"/>
  <c r="L28" i="60"/>
  <c r="J29" i="60"/>
  <c r="L29" i="60"/>
  <c r="L9" i="60"/>
  <c r="G8" i="60"/>
  <c r="K23" i="60"/>
  <c r="L23" i="60"/>
  <c r="J26" i="60"/>
  <c r="L26" i="60"/>
  <c r="J27" i="60"/>
  <c r="L27" i="60"/>
  <c r="K29" i="60"/>
  <c r="H92" i="65"/>
  <c r="K24" i="60"/>
  <c r="J24" i="60"/>
  <c r="K25" i="60"/>
  <c r="J25" i="60"/>
  <c r="N49" i="60"/>
  <c r="J23" i="60"/>
  <c r="K27" i="60"/>
  <c r="K26" i="60"/>
  <c r="K28" i="60"/>
  <c r="H15" i="65"/>
  <c r="H16" i="65"/>
  <c r="H17" i="65"/>
  <c r="H14" i="65"/>
  <c r="H12" i="65"/>
  <c r="O12" i="65" s="1"/>
  <c r="H11" i="65"/>
  <c r="G101" i="65"/>
  <c r="M109" i="24"/>
  <c r="M77" i="24"/>
  <c r="M50" i="24"/>
  <c r="M41" i="24"/>
  <c r="M42" i="24"/>
  <c r="M39" i="24"/>
  <c r="M165" i="24"/>
  <c r="M166" i="24"/>
  <c r="M168" i="24"/>
  <c r="M172" i="24"/>
  <c r="M182" i="24"/>
  <c r="G156" i="24"/>
  <c r="D83" i="65"/>
  <c r="H101" i="65" l="1"/>
  <c r="G100" i="65"/>
  <c r="G24" i="15"/>
  <c r="G25" i="15"/>
  <c r="G26" i="15"/>
  <c r="G27" i="15"/>
  <c r="G23" i="15"/>
  <c r="G14" i="15"/>
  <c r="G15" i="15"/>
  <c r="G16" i="15"/>
  <c r="G19" i="15"/>
  <c r="G13" i="15"/>
  <c r="K169" i="24"/>
  <c r="L172" i="24"/>
  <c r="L173" i="24"/>
  <c r="K172" i="24"/>
  <c r="K173" i="24"/>
  <c r="K175" i="24"/>
  <c r="J12" i="24"/>
  <c r="I170" i="24"/>
  <c r="H106" i="24"/>
  <c r="H107" i="24"/>
  <c r="H108" i="24"/>
  <c r="H149" i="24"/>
  <c r="H150" i="24"/>
  <c r="M150" i="24" s="1"/>
  <c r="H151" i="24"/>
  <c r="H152" i="24"/>
  <c r="H153" i="24"/>
  <c r="H154" i="24"/>
  <c r="H148" i="24"/>
  <c r="H147" i="24"/>
  <c r="H146" i="24"/>
  <c r="H137" i="24"/>
  <c r="H138" i="24"/>
  <c r="H139" i="24"/>
  <c r="H140" i="24"/>
  <c r="H141" i="24"/>
  <c r="M141" i="24" s="1"/>
  <c r="M142" i="24"/>
  <c r="H143" i="24"/>
  <c r="H136" i="24"/>
  <c r="H132" i="24"/>
  <c r="H133" i="24"/>
  <c r="H134" i="24"/>
  <c r="H131" i="24"/>
  <c r="H127" i="24"/>
  <c r="H125" i="24"/>
  <c r="H124" i="24"/>
  <c r="H117" i="24"/>
  <c r="H118" i="24"/>
  <c r="M118" i="24" s="1"/>
  <c r="H119" i="24"/>
  <c r="H116" i="24"/>
  <c r="H113" i="24"/>
  <c r="H112" i="24"/>
  <c r="H105" i="24"/>
  <c r="H100" i="24"/>
  <c r="H101" i="24"/>
  <c r="M101" i="24" s="1"/>
  <c r="H102" i="24"/>
  <c r="M102" i="24" s="1"/>
  <c r="H103" i="24"/>
  <c r="M103" i="24" s="1"/>
  <c r="H99" i="24"/>
  <c r="H97" i="24"/>
  <c r="H96" i="24"/>
  <c r="H86" i="24"/>
  <c r="M86" i="24" s="1"/>
  <c r="H87" i="24"/>
  <c r="M87" i="24" s="1"/>
  <c r="H88" i="24"/>
  <c r="H89" i="24"/>
  <c r="H90" i="24"/>
  <c r="H91" i="24"/>
  <c r="H92" i="24"/>
  <c r="H85" i="24"/>
  <c r="H79" i="24"/>
  <c r="M79" i="24" s="1"/>
  <c r="H80" i="24"/>
  <c r="M80" i="24" s="1"/>
  <c r="H81" i="24"/>
  <c r="H82" i="24"/>
  <c r="H78" i="24"/>
  <c r="M78" i="24" s="1"/>
  <c r="H75" i="24"/>
  <c r="H71" i="24"/>
  <c r="H72" i="24"/>
  <c r="H64" i="24"/>
  <c r="H65" i="24"/>
  <c r="H66" i="24"/>
  <c r="H63" i="24"/>
  <c r="H61" i="24"/>
  <c r="H60" i="24"/>
  <c r="H59" i="24"/>
  <c r="H57" i="24"/>
  <c r="H56" i="24"/>
  <c r="H55" i="24" s="1"/>
  <c r="H54" i="24"/>
  <c r="H51" i="24"/>
  <c r="H49" i="24"/>
  <c r="H44" i="24"/>
  <c r="H47" i="24"/>
  <c r="H46" i="24"/>
  <c r="H162" i="24"/>
  <c r="H178" i="24"/>
  <c r="M178" i="24" s="1"/>
  <c r="H179" i="24"/>
  <c r="M179" i="24" s="1"/>
  <c r="H177" i="24"/>
  <c r="M177" i="24" s="1"/>
  <c r="G176" i="24"/>
  <c r="G170" i="24"/>
  <c r="G158" i="24"/>
  <c r="G110" i="24"/>
  <c r="H110" i="24" s="1"/>
  <c r="G38" i="24"/>
  <c r="H15" i="24"/>
  <c r="L15" i="24" s="1"/>
  <c r="H17" i="24"/>
  <c r="H18" i="24"/>
  <c r="H19" i="24"/>
  <c r="H20" i="24"/>
  <c r="H21" i="24"/>
  <c r="M21" i="24" s="1"/>
  <c r="H23" i="24"/>
  <c r="H24" i="24"/>
  <c r="H25" i="24"/>
  <c r="H26" i="24"/>
  <c r="H27" i="24"/>
  <c r="H28" i="24"/>
  <c r="H30" i="24"/>
  <c r="M30" i="24" s="1"/>
  <c r="H31" i="24"/>
  <c r="H32" i="24"/>
  <c r="H33" i="24"/>
  <c r="H34" i="24"/>
  <c r="H35" i="24"/>
  <c r="H13" i="24"/>
  <c r="H22" i="24" l="1"/>
  <c r="K15" i="24"/>
  <c r="K21" i="24"/>
  <c r="L21" i="24"/>
  <c r="F44" i="8" l="1"/>
  <c r="F43" i="8" s="1"/>
  <c r="F42" i="8" s="1"/>
  <c r="F34" i="8"/>
  <c r="F33" i="8" s="1"/>
  <c r="E20" i="11" s="1"/>
  <c r="E19" i="11" s="1"/>
  <c r="D34" i="8"/>
  <c r="D33" i="8" s="1"/>
  <c r="C20" i="11" s="1"/>
  <c r="E34" i="8"/>
  <c r="C34" i="8"/>
  <c r="C33" i="8" s="1"/>
  <c r="E32" i="18"/>
  <c r="D32" i="18"/>
  <c r="B32" i="18"/>
  <c r="H34" i="8" l="1"/>
  <c r="I34" i="8"/>
  <c r="F20" i="11"/>
  <c r="F19" i="11" s="1"/>
  <c r="C19" i="11"/>
  <c r="E33" i="8"/>
  <c r="G20" i="9"/>
  <c r="E23" i="11"/>
  <c r="D20" i="11" l="1"/>
  <c r="D19" i="11" s="1"/>
  <c r="H33" i="8"/>
  <c r="I33" i="8"/>
  <c r="K11" i="60"/>
  <c r="J47" i="60"/>
  <c r="K47" i="60"/>
  <c r="M159" i="24" l="1"/>
  <c r="K179" i="24"/>
  <c r="K182" i="24"/>
  <c r="K183" i="24"/>
  <c r="K177" i="24"/>
  <c r="L177" i="24"/>
  <c r="K178" i="24"/>
  <c r="L178" i="24"/>
  <c r="L179" i="24"/>
  <c r="L175" i="24"/>
  <c r="K164" i="24"/>
  <c r="L164" i="24"/>
  <c r="K165" i="24"/>
  <c r="L165" i="24"/>
  <c r="K166" i="24"/>
  <c r="L166" i="24"/>
  <c r="K168" i="24"/>
  <c r="L168" i="24"/>
  <c r="L169" i="24"/>
  <c r="K162" i="24"/>
  <c r="L162" i="24"/>
  <c r="G161" i="24"/>
  <c r="C170" i="24"/>
  <c r="K159" i="24"/>
  <c r="L159" i="24"/>
  <c r="K157" i="24"/>
  <c r="L157" i="24"/>
  <c r="K146" i="24"/>
  <c r="L146" i="24"/>
  <c r="K147" i="24"/>
  <c r="L147" i="24"/>
  <c r="K148" i="24"/>
  <c r="L148" i="24"/>
  <c r="K149" i="24"/>
  <c r="L149" i="24"/>
  <c r="K150" i="24"/>
  <c r="L150" i="24"/>
  <c r="K151" i="24"/>
  <c r="L151" i="24"/>
  <c r="K152" i="24"/>
  <c r="L152" i="24"/>
  <c r="K153" i="24"/>
  <c r="L153" i="24"/>
  <c r="K136" i="24"/>
  <c r="L136" i="24"/>
  <c r="K137" i="24"/>
  <c r="L137" i="24"/>
  <c r="K138" i="24"/>
  <c r="L138" i="24"/>
  <c r="K139" i="24"/>
  <c r="L139" i="24"/>
  <c r="K140" i="24"/>
  <c r="L140" i="24"/>
  <c r="K141" i="24"/>
  <c r="L141" i="24"/>
  <c r="K142" i="24"/>
  <c r="L142" i="24"/>
  <c r="K143" i="24"/>
  <c r="L143" i="24"/>
  <c r="K144" i="24"/>
  <c r="L144" i="24"/>
  <c r="K132" i="24"/>
  <c r="L132" i="24"/>
  <c r="K133" i="24"/>
  <c r="L133" i="24"/>
  <c r="K134" i="24"/>
  <c r="L134" i="24"/>
  <c r="K131" i="24"/>
  <c r="L131" i="24"/>
  <c r="K130" i="24"/>
  <c r="K122" i="24"/>
  <c r="L122" i="24"/>
  <c r="K123" i="24"/>
  <c r="L123" i="24"/>
  <c r="K124" i="24"/>
  <c r="L124" i="24"/>
  <c r="K125" i="24"/>
  <c r="L125" i="24"/>
  <c r="K126" i="24"/>
  <c r="L126" i="24"/>
  <c r="K127" i="24"/>
  <c r="L127" i="24"/>
  <c r="K128" i="24"/>
  <c r="L128" i="24"/>
  <c r="L130" i="24"/>
  <c r="K115" i="24"/>
  <c r="L115" i="24"/>
  <c r="K116" i="24"/>
  <c r="L116" i="24"/>
  <c r="K117" i="24"/>
  <c r="L117" i="24"/>
  <c r="K118" i="24"/>
  <c r="L118" i="24"/>
  <c r="K119" i="24"/>
  <c r="L119" i="24"/>
  <c r="K113" i="24"/>
  <c r="L113" i="24"/>
  <c r="K111" i="24"/>
  <c r="L111" i="24"/>
  <c r="K112" i="24"/>
  <c r="L112" i="24"/>
  <c r="K105" i="24"/>
  <c r="L105" i="24"/>
  <c r="K106" i="24"/>
  <c r="L106" i="24"/>
  <c r="K107" i="24"/>
  <c r="L107" i="24"/>
  <c r="K108" i="24"/>
  <c r="L108" i="24"/>
  <c r="K109" i="24"/>
  <c r="L109" i="24"/>
  <c r="K99" i="24"/>
  <c r="L99" i="24"/>
  <c r="K100" i="24"/>
  <c r="L100" i="24"/>
  <c r="K101" i="24"/>
  <c r="L101" i="24"/>
  <c r="K102" i="24"/>
  <c r="L102" i="24"/>
  <c r="K103" i="24"/>
  <c r="L103" i="24"/>
  <c r="K96" i="24"/>
  <c r="L96" i="24"/>
  <c r="K97" i="24"/>
  <c r="L97" i="24"/>
  <c r="K85" i="24"/>
  <c r="L85" i="24"/>
  <c r="K86" i="24"/>
  <c r="L86" i="24"/>
  <c r="K87" i="24"/>
  <c r="L87" i="24"/>
  <c r="K88" i="24"/>
  <c r="L88" i="24"/>
  <c r="K89" i="24"/>
  <c r="L89" i="24"/>
  <c r="K90" i="24"/>
  <c r="L90" i="24"/>
  <c r="K91" i="24"/>
  <c r="L91" i="24"/>
  <c r="K92" i="24"/>
  <c r="L92" i="24"/>
  <c r="K93" i="24"/>
  <c r="L93" i="24"/>
  <c r="K77" i="24"/>
  <c r="L77" i="24"/>
  <c r="K78" i="24"/>
  <c r="L78" i="24"/>
  <c r="K79" i="24"/>
  <c r="L79" i="24"/>
  <c r="K80" i="24"/>
  <c r="L80" i="24"/>
  <c r="K81" i="24"/>
  <c r="L81" i="24"/>
  <c r="K82" i="24"/>
  <c r="L82" i="24"/>
  <c r="K74" i="24"/>
  <c r="L74" i="24"/>
  <c r="K75" i="24"/>
  <c r="L75" i="24"/>
  <c r="G83" i="24"/>
  <c r="C76" i="24"/>
  <c r="L68" i="24"/>
  <c r="L71" i="24"/>
  <c r="L72" i="24"/>
  <c r="K68" i="24"/>
  <c r="K71" i="24"/>
  <c r="K72" i="24"/>
  <c r="L63" i="24"/>
  <c r="L64" i="24"/>
  <c r="L65" i="24"/>
  <c r="L66" i="24"/>
  <c r="L61" i="24"/>
  <c r="K61" i="24"/>
  <c r="K52" i="24"/>
  <c r="L52" i="24"/>
  <c r="L53" i="24"/>
  <c r="L54" i="24"/>
  <c r="L56" i="24"/>
  <c r="L57" i="24"/>
  <c r="K56" i="24"/>
  <c r="K57" i="24"/>
  <c r="K63" i="24"/>
  <c r="K64" i="24"/>
  <c r="K65" i="24"/>
  <c r="K66" i="24"/>
  <c r="L59" i="24"/>
  <c r="L60" i="24"/>
  <c r="K59" i="24"/>
  <c r="K60" i="24"/>
  <c r="F55" i="24"/>
  <c r="E55" i="24"/>
  <c r="L46" i="24"/>
  <c r="L47" i="24"/>
  <c r="L48" i="24"/>
  <c r="L49" i="24"/>
  <c r="L50" i="24"/>
  <c r="L51" i="24"/>
  <c r="K46" i="24"/>
  <c r="K47" i="24"/>
  <c r="K48" i="24"/>
  <c r="K49" i="24"/>
  <c r="K50" i="24"/>
  <c r="K51" i="24"/>
  <c r="K53" i="24"/>
  <c r="K54" i="24"/>
  <c r="L39" i="24"/>
  <c r="L40" i="24"/>
  <c r="L41" i="24"/>
  <c r="L42" i="24"/>
  <c r="L43" i="24"/>
  <c r="L44" i="24"/>
  <c r="K39" i="24"/>
  <c r="K40" i="24"/>
  <c r="K41" i="24"/>
  <c r="K42" i="24"/>
  <c r="K43" i="24"/>
  <c r="K44" i="24"/>
  <c r="L34" i="24"/>
  <c r="L35" i="24"/>
  <c r="K34" i="24"/>
  <c r="K35" i="24"/>
  <c r="L23" i="24"/>
  <c r="L24" i="24"/>
  <c r="L25" i="24"/>
  <c r="L26" i="24"/>
  <c r="L17" i="24"/>
  <c r="L18" i="24"/>
  <c r="L19" i="24"/>
  <c r="L20" i="24"/>
  <c r="L13" i="24"/>
  <c r="L14" i="24"/>
  <c r="K23" i="24"/>
  <c r="K24" i="24"/>
  <c r="K25" i="24"/>
  <c r="K26" i="24"/>
  <c r="K20" i="24"/>
  <c r="K17" i="24"/>
  <c r="K18" i="24"/>
  <c r="K19" i="24"/>
  <c r="K13" i="24"/>
  <c r="K14" i="24"/>
  <c r="E29" i="24"/>
  <c r="D22" i="24"/>
  <c r="E22" i="24"/>
  <c r="C12" i="24" l="1"/>
  <c r="E12" i="24"/>
  <c r="F12" i="24"/>
  <c r="G12" i="24"/>
  <c r="I12" i="24"/>
  <c r="C16" i="24"/>
  <c r="E16" i="24"/>
  <c r="F16" i="24"/>
  <c r="G16" i="24"/>
  <c r="H16" i="24" s="1"/>
  <c r="I16" i="24"/>
  <c r="J16" i="24"/>
  <c r="C22" i="24"/>
  <c r="F22" i="24"/>
  <c r="G22" i="24"/>
  <c r="J22" i="24"/>
  <c r="C27" i="24"/>
  <c r="K27" i="24"/>
  <c r="J27" i="24"/>
  <c r="E28" i="24"/>
  <c r="E27" i="24" s="1"/>
  <c r="K28" i="24"/>
  <c r="F29" i="24"/>
  <c r="G29" i="24"/>
  <c r="I29" i="24"/>
  <c r="J29" i="24"/>
  <c r="D37" i="24"/>
  <c r="C38" i="24"/>
  <c r="E38" i="24"/>
  <c r="F38" i="24"/>
  <c r="H38" i="24"/>
  <c r="I38" i="24"/>
  <c r="J38" i="24"/>
  <c r="C45" i="24"/>
  <c r="E45" i="24"/>
  <c r="F45" i="24"/>
  <c r="G45" i="24"/>
  <c r="H45" i="24" s="1"/>
  <c r="I45" i="24"/>
  <c r="J45" i="24"/>
  <c r="C55" i="24"/>
  <c r="G55" i="24"/>
  <c r="L55" i="24" s="1"/>
  <c r="C58" i="24"/>
  <c r="E58" i="24"/>
  <c r="F58" i="24"/>
  <c r="G58" i="24"/>
  <c r="H58" i="24" s="1"/>
  <c r="I58" i="24"/>
  <c r="J58" i="24"/>
  <c r="C62" i="24"/>
  <c r="E62" i="24"/>
  <c r="F62" i="24"/>
  <c r="G62" i="24"/>
  <c r="H62" i="24" s="1"/>
  <c r="I62" i="24"/>
  <c r="J62" i="24"/>
  <c r="C67" i="24"/>
  <c r="E67" i="24"/>
  <c r="F67" i="24"/>
  <c r="G67" i="24"/>
  <c r="H67" i="24" s="1"/>
  <c r="I67" i="24"/>
  <c r="J67" i="24"/>
  <c r="H69" i="24"/>
  <c r="H70" i="24"/>
  <c r="C73" i="24"/>
  <c r="E73" i="24"/>
  <c r="F73" i="24"/>
  <c r="G73" i="24"/>
  <c r="H73" i="24" s="1"/>
  <c r="I73" i="24"/>
  <c r="J73" i="24"/>
  <c r="E76" i="24"/>
  <c r="G76" i="24"/>
  <c r="H76" i="24" s="1"/>
  <c r="J76" i="24"/>
  <c r="C83" i="24"/>
  <c r="F83" i="24"/>
  <c r="I83" i="24"/>
  <c r="J83" i="24"/>
  <c r="H84" i="24"/>
  <c r="M84" i="24" s="1"/>
  <c r="D94" i="24"/>
  <c r="C95" i="24"/>
  <c r="E95" i="24"/>
  <c r="F95" i="24"/>
  <c r="G95" i="24"/>
  <c r="H95" i="24" s="1"/>
  <c r="I95" i="24"/>
  <c r="J95" i="24"/>
  <c r="C98" i="24"/>
  <c r="E98" i="24"/>
  <c r="F98" i="24"/>
  <c r="G98" i="24"/>
  <c r="I98" i="24"/>
  <c r="J98" i="24"/>
  <c r="C104" i="24"/>
  <c r="E104" i="24"/>
  <c r="F104" i="24"/>
  <c r="G104" i="24"/>
  <c r="H104" i="24" s="1"/>
  <c r="I104" i="24"/>
  <c r="J104" i="24"/>
  <c r="C110" i="24"/>
  <c r="E110" i="24"/>
  <c r="F110" i="24"/>
  <c r="I110" i="24"/>
  <c r="J110" i="24"/>
  <c r="C114" i="24"/>
  <c r="E114" i="24"/>
  <c r="F114" i="24"/>
  <c r="G114" i="24"/>
  <c r="H114" i="24" s="1"/>
  <c r="I114" i="24"/>
  <c r="J114" i="24"/>
  <c r="C120" i="24"/>
  <c r="G120" i="24"/>
  <c r="H120" i="24" s="1"/>
  <c r="J120" i="24"/>
  <c r="C129" i="24"/>
  <c r="E129" i="24"/>
  <c r="F129" i="24"/>
  <c r="G129" i="24"/>
  <c r="H129" i="24" s="1"/>
  <c r="I129" i="24"/>
  <c r="J129" i="24"/>
  <c r="C135" i="24"/>
  <c r="E135" i="24"/>
  <c r="F135" i="24"/>
  <c r="G135" i="24"/>
  <c r="H135" i="24" s="1"/>
  <c r="I135" i="24"/>
  <c r="J135" i="24"/>
  <c r="C145" i="24"/>
  <c r="E145" i="24"/>
  <c r="G145" i="24"/>
  <c r="I145" i="24"/>
  <c r="K154" i="24"/>
  <c r="C156" i="24"/>
  <c r="C155" i="24" s="1"/>
  <c r="E156" i="24"/>
  <c r="F156" i="24"/>
  <c r="G155" i="24"/>
  <c r="I156" i="24"/>
  <c r="I155" i="24" s="1"/>
  <c r="J156" i="24"/>
  <c r="C158" i="24"/>
  <c r="E158" i="24"/>
  <c r="F158" i="24"/>
  <c r="J158" i="24"/>
  <c r="H158" i="24"/>
  <c r="H155" i="24" s="1"/>
  <c r="C161" i="24"/>
  <c r="E161" i="24"/>
  <c r="F161" i="24"/>
  <c r="H161" i="24"/>
  <c r="I161" i="24"/>
  <c r="J161" i="24"/>
  <c r="C163" i="24"/>
  <c r="E163" i="24"/>
  <c r="F163" i="24"/>
  <c r="H163" i="24"/>
  <c r="M163" i="24" s="1"/>
  <c r="E170" i="24"/>
  <c r="F170" i="24"/>
  <c r="J170" i="24"/>
  <c r="H171" i="24"/>
  <c r="H170" i="24" s="1"/>
  <c r="C174" i="24"/>
  <c r="E174" i="24"/>
  <c r="F174" i="24"/>
  <c r="G174" i="24"/>
  <c r="H174" i="24"/>
  <c r="I174" i="24"/>
  <c r="J174" i="24"/>
  <c r="C176" i="24"/>
  <c r="E176" i="24"/>
  <c r="F176" i="24"/>
  <c r="H176" i="24"/>
  <c r="I176" i="24"/>
  <c r="J176" i="24"/>
  <c r="C180" i="24"/>
  <c r="H180" i="24"/>
  <c r="M180" i="24" s="1"/>
  <c r="J180" i="24"/>
  <c r="H181" i="24"/>
  <c r="L182" i="24"/>
  <c r="I11" i="24" l="1"/>
  <c r="E160" i="24"/>
  <c r="M176" i="24"/>
  <c r="H160" i="24"/>
  <c r="F28" i="12"/>
  <c r="F160" i="24"/>
  <c r="D20" i="12" s="1"/>
  <c r="D28" i="12"/>
  <c r="K174" i="24"/>
  <c r="K181" i="24"/>
  <c r="M181" i="24"/>
  <c r="K171" i="24"/>
  <c r="M171" i="24"/>
  <c r="M170" i="24"/>
  <c r="H29" i="24"/>
  <c r="L29" i="24" s="1"/>
  <c r="K161" i="24"/>
  <c r="M158" i="24"/>
  <c r="F37" i="24"/>
  <c r="L171" i="24"/>
  <c r="L154" i="24"/>
  <c r="L31" i="24"/>
  <c r="K31" i="24"/>
  <c r="C28" i="12"/>
  <c r="L174" i="24"/>
  <c r="K32" i="24"/>
  <c r="L32" i="24"/>
  <c r="L30" i="24"/>
  <c r="K30" i="24"/>
  <c r="J11" i="24"/>
  <c r="L110" i="24"/>
  <c r="D184" i="24"/>
  <c r="H83" i="24"/>
  <c r="K83" i="24" s="1"/>
  <c r="K84" i="24"/>
  <c r="C160" i="24"/>
  <c r="B20" i="12" s="1"/>
  <c r="B28" i="12"/>
  <c r="L33" i="24"/>
  <c r="K33" i="24"/>
  <c r="L70" i="24"/>
  <c r="K70" i="24"/>
  <c r="L69" i="24"/>
  <c r="K69" i="24"/>
  <c r="K180" i="24"/>
  <c r="L170" i="24"/>
  <c r="E83" i="24"/>
  <c r="E37" i="24" s="1"/>
  <c r="L84" i="24"/>
  <c r="G11" i="24"/>
  <c r="K67" i="24"/>
  <c r="K176" i="24"/>
  <c r="L176" i="24"/>
  <c r="K170" i="24"/>
  <c r="L135" i="24"/>
  <c r="K129" i="24"/>
  <c r="L129" i="24"/>
  <c r="L120" i="24"/>
  <c r="L114" i="24"/>
  <c r="K104" i="24"/>
  <c r="L95" i="24"/>
  <c r="K73" i="24"/>
  <c r="L58" i="24"/>
  <c r="K62" i="24"/>
  <c r="K58" i="24"/>
  <c r="K38" i="24"/>
  <c r="L45" i="24"/>
  <c r="K163" i="24"/>
  <c r="L161" i="24"/>
  <c r="F20" i="12"/>
  <c r="L158" i="24"/>
  <c r="J155" i="24"/>
  <c r="E155" i="24"/>
  <c r="L155" i="24" s="1"/>
  <c r="L156" i="24"/>
  <c r="K135" i="24"/>
  <c r="E94" i="24"/>
  <c r="K120" i="24"/>
  <c r="K110" i="24"/>
  <c r="L104" i="24"/>
  <c r="G94" i="24"/>
  <c r="I94" i="24"/>
  <c r="L76" i="24"/>
  <c r="K76" i="24"/>
  <c r="L67" i="24"/>
  <c r="L62" i="24"/>
  <c r="K55" i="24"/>
  <c r="K45" i="24"/>
  <c r="J37" i="24"/>
  <c r="C37" i="24"/>
  <c r="E11" i="24"/>
  <c r="I37" i="24"/>
  <c r="K22" i="24"/>
  <c r="L22" i="24"/>
  <c r="L180" i="24"/>
  <c r="I163" i="24"/>
  <c r="L163" i="24"/>
  <c r="F155" i="24"/>
  <c r="K155" i="24" s="1"/>
  <c r="J94" i="24"/>
  <c r="F94" i="24"/>
  <c r="L73" i="24"/>
  <c r="C11" i="24"/>
  <c r="G160" i="24"/>
  <c r="K114" i="24"/>
  <c r="H145" i="24"/>
  <c r="L145" i="24" s="1"/>
  <c r="L181" i="24"/>
  <c r="K158" i="24"/>
  <c r="C94" i="24"/>
  <c r="G37" i="24"/>
  <c r="L38" i="24"/>
  <c r="F11" i="24"/>
  <c r="H98" i="24"/>
  <c r="K98" i="24" s="1"/>
  <c r="K95" i="24"/>
  <c r="H12" i="24"/>
  <c r="L28" i="24"/>
  <c r="L27" i="24" s="1"/>
  <c r="H37" i="24" l="1"/>
  <c r="H94" i="24"/>
  <c r="L94" i="24" s="1"/>
  <c r="I160" i="24"/>
  <c r="J163" i="24"/>
  <c r="K29" i="24"/>
  <c r="G28" i="12"/>
  <c r="G22" i="12" s="1"/>
  <c r="G184" i="24"/>
  <c r="I184" i="24"/>
  <c r="L83" i="24"/>
  <c r="L37" i="24" s="1"/>
  <c r="K156" i="24"/>
  <c r="H11" i="24"/>
  <c r="K11" i="24" s="1"/>
  <c r="K37" i="24"/>
  <c r="K94" i="24"/>
  <c r="L12" i="24"/>
  <c r="K12" i="24"/>
  <c r="K16" i="24"/>
  <c r="L16" i="24"/>
  <c r="L160" i="24"/>
  <c r="E184" i="24"/>
  <c r="K160" i="24"/>
  <c r="F184" i="24"/>
  <c r="L98" i="24"/>
  <c r="K145" i="24"/>
  <c r="C184" i="24"/>
  <c r="E40" i="65"/>
  <c r="M116" i="65"/>
  <c r="L116" i="65"/>
  <c r="L114" i="65" s="1"/>
  <c r="L109" i="65" s="1"/>
  <c r="L108" i="65" s="1"/>
  <c r="L107" i="65" s="1"/>
  <c r="L101" i="65" s="1"/>
  <c r="L100" i="65" s="1"/>
  <c r="L92" i="65" s="1"/>
  <c r="K115" i="65"/>
  <c r="M114" i="65"/>
  <c r="H114" i="65"/>
  <c r="K111" i="65"/>
  <c r="K110" i="65"/>
  <c r="M109" i="65"/>
  <c r="H109" i="65"/>
  <c r="F109" i="65"/>
  <c r="E109" i="65"/>
  <c r="M108" i="65"/>
  <c r="E108" i="65"/>
  <c r="N108" i="65" s="1"/>
  <c r="M107" i="65"/>
  <c r="J107" i="65"/>
  <c r="I107" i="65"/>
  <c r="G107" i="65"/>
  <c r="D107" i="65"/>
  <c r="C107" i="65"/>
  <c r="H106" i="65"/>
  <c r="N104" i="65"/>
  <c r="N103" i="65" s="1"/>
  <c r="K104" i="65"/>
  <c r="K103" i="65" s="1"/>
  <c r="H103" i="65"/>
  <c r="F103" i="65"/>
  <c r="E103" i="65"/>
  <c r="C103" i="65"/>
  <c r="N102" i="65"/>
  <c r="N101" i="65" s="1"/>
  <c r="K102" i="65"/>
  <c r="K101" i="65" s="1"/>
  <c r="M101" i="65"/>
  <c r="J101" i="65"/>
  <c r="I101" i="65"/>
  <c r="F101" i="65"/>
  <c r="E101" i="65"/>
  <c r="C101" i="65"/>
  <c r="M100" i="65"/>
  <c r="D100" i="65"/>
  <c r="N99" i="65"/>
  <c r="K99" i="65"/>
  <c r="O98" i="65"/>
  <c r="N98" i="65"/>
  <c r="K98" i="65"/>
  <c r="O97" i="65"/>
  <c r="N97" i="65"/>
  <c r="K97" i="65"/>
  <c r="O96" i="65"/>
  <c r="N96" i="65"/>
  <c r="K96" i="65"/>
  <c r="O95" i="65"/>
  <c r="N95" i="65"/>
  <c r="K95" i="65"/>
  <c r="O94" i="65"/>
  <c r="N94" i="65"/>
  <c r="K94" i="65"/>
  <c r="O93" i="65"/>
  <c r="N93" i="65"/>
  <c r="K93" i="65"/>
  <c r="M92" i="65"/>
  <c r="G92" i="65"/>
  <c r="F92" i="65"/>
  <c r="E92" i="65"/>
  <c r="O91" i="65"/>
  <c r="N91" i="65"/>
  <c r="M91" i="65"/>
  <c r="L91" i="65"/>
  <c r="L90" i="65" s="1"/>
  <c r="L89" i="65" s="1"/>
  <c r="L87" i="65" s="1"/>
  <c r="L83" i="65" s="1"/>
  <c r="L82" i="65" s="1"/>
  <c r="L80" i="65" s="1"/>
  <c r="L71" i="65" s="1"/>
  <c r="L70" i="65" s="1"/>
  <c r="L64" i="65" s="1"/>
  <c r="L62" i="65" s="1"/>
  <c r="L59" i="65" s="1"/>
  <c r="L54" i="65" s="1"/>
  <c r="L49" i="65" s="1"/>
  <c r="L48" i="65" s="1"/>
  <c r="L47" i="65" s="1"/>
  <c r="L46" i="65" s="1"/>
  <c r="L44" i="65" s="1"/>
  <c r="L43" i="65" s="1"/>
  <c r="L35" i="65" s="1"/>
  <c r="K91" i="65"/>
  <c r="O90" i="65"/>
  <c r="N90" i="65"/>
  <c r="M90" i="65"/>
  <c r="K90" i="65"/>
  <c r="N89" i="65"/>
  <c r="M89" i="65"/>
  <c r="K89" i="65"/>
  <c r="K88" i="65"/>
  <c r="M87" i="65"/>
  <c r="J87" i="65"/>
  <c r="I87" i="65"/>
  <c r="H87" i="65"/>
  <c r="O87" i="65" s="1"/>
  <c r="N85" i="65"/>
  <c r="K85" i="65"/>
  <c r="O84" i="65"/>
  <c r="N84" i="65"/>
  <c r="K84" i="65"/>
  <c r="M83" i="65"/>
  <c r="J83" i="65"/>
  <c r="I83" i="65"/>
  <c r="H83" i="65"/>
  <c r="C83" i="65"/>
  <c r="O82" i="65"/>
  <c r="N82" i="65"/>
  <c r="M82" i="65"/>
  <c r="K82" i="65"/>
  <c r="M80" i="65"/>
  <c r="J80" i="65"/>
  <c r="N79" i="65"/>
  <c r="K79" i="65"/>
  <c r="N78" i="65"/>
  <c r="K78" i="65"/>
  <c r="N77" i="65"/>
  <c r="K77" i="65"/>
  <c r="N76" i="65"/>
  <c r="K76" i="65"/>
  <c r="N75" i="65"/>
  <c r="K75" i="65"/>
  <c r="N73" i="65"/>
  <c r="K73" i="65"/>
  <c r="N72" i="65"/>
  <c r="K72" i="65"/>
  <c r="M71" i="65"/>
  <c r="J71" i="65"/>
  <c r="I71" i="65"/>
  <c r="F71" i="65"/>
  <c r="E71" i="65"/>
  <c r="C71" i="65"/>
  <c r="M70" i="65"/>
  <c r="D70" i="65"/>
  <c r="N69" i="65"/>
  <c r="N68" i="65"/>
  <c r="N67" i="65"/>
  <c r="N66" i="65"/>
  <c r="N65" i="65"/>
  <c r="M64" i="65"/>
  <c r="I64" i="65"/>
  <c r="F64" i="65"/>
  <c r="E64" i="65"/>
  <c r="N63" i="65"/>
  <c r="M62" i="65"/>
  <c r="J62" i="65"/>
  <c r="I62" i="65"/>
  <c r="H62" i="65"/>
  <c r="C62" i="65"/>
  <c r="N61" i="65"/>
  <c r="N60" i="65"/>
  <c r="M59" i="65"/>
  <c r="J59" i="65"/>
  <c r="I59" i="65"/>
  <c r="H59" i="65"/>
  <c r="F59" i="65"/>
  <c r="E59" i="65"/>
  <c r="C59" i="65"/>
  <c r="N58" i="65"/>
  <c r="N57" i="65"/>
  <c r="N56" i="65"/>
  <c r="N55" i="65"/>
  <c r="M54" i="65"/>
  <c r="J54" i="65"/>
  <c r="I54" i="65"/>
  <c r="H54" i="65"/>
  <c r="G43" i="65"/>
  <c r="F54" i="65"/>
  <c r="E54" i="65"/>
  <c r="C54" i="65"/>
  <c r="N52" i="65"/>
  <c r="N51" i="65"/>
  <c r="K51" i="65"/>
  <c r="N50" i="65"/>
  <c r="K50" i="65"/>
  <c r="M49" i="65"/>
  <c r="J49" i="65"/>
  <c r="I49" i="65"/>
  <c r="H49" i="65"/>
  <c r="F49" i="65"/>
  <c r="E49" i="65"/>
  <c r="C49" i="65"/>
  <c r="M48" i="65"/>
  <c r="E48" i="65"/>
  <c r="N48" i="65" s="1"/>
  <c r="N47" i="65"/>
  <c r="M47" i="65"/>
  <c r="K47" i="65"/>
  <c r="N46" i="65"/>
  <c r="M46" i="65"/>
  <c r="K46" i="65"/>
  <c r="N44" i="65"/>
  <c r="M44" i="65"/>
  <c r="K44" i="65"/>
  <c r="M43" i="65"/>
  <c r="D43" i="65"/>
  <c r="K41" i="65"/>
  <c r="H41" i="65"/>
  <c r="J40" i="65"/>
  <c r="I40" i="65"/>
  <c r="F40" i="65"/>
  <c r="K40" i="65" s="1"/>
  <c r="N39" i="65"/>
  <c r="K39" i="65"/>
  <c r="N38" i="65"/>
  <c r="K38" i="65"/>
  <c r="N37" i="65"/>
  <c r="K37" i="65"/>
  <c r="N36" i="65"/>
  <c r="K36" i="65"/>
  <c r="M35" i="65"/>
  <c r="J35" i="65"/>
  <c r="I35" i="65"/>
  <c r="C35" i="65"/>
  <c r="N34" i="65"/>
  <c r="N33" i="65"/>
  <c r="K33" i="65"/>
  <c r="O32" i="65"/>
  <c r="N32" i="65"/>
  <c r="K32" i="65"/>
  <c r="O31" i="65"/>
  <c r="N31" i="65"/>
  <c r="K31" i="65"/>
  <c r="M30" i="65"/>
  <c r="J30" i="65"/>
  <c r="I30" i="65"/>
  <c r="H20" i="65"/>
  <c r="C30" i="65"/>
  <c r="N29" i="65"/>
  <c r="N28" i="65"/>
  <c r="K28" i="65"/>
  <c r="N27" i="65"/>
  <c r="N26" i="65"/>
  <c r="N25" i="65"/>
  <c r="M25" i="65"/>
  <c r="K25" i="65"/>
  <c r="N24" i="65"/>
  <c r="N23" i="65"/>
  <c r="K23" i="65"/>
  <c r="M20" i="65"/>
  <c r="D20" i="65"/>
  <c r="O19" i="65"/>
  <c r="N19" i="65"/>
  <c r="K19" i="65"/>
  <c r="I18" i="65"/>
  <c r="H18" i="65"/>
  <c r="G18" i="65"/>
  <c r="F18" i="65"/>
  <c r="E18" i="65"/>
  <c r="O17" i="65"/>
  <c r="N17" i="65"/>
  <c r="K17" i="65"/>
  <c r="O16" i="65"/>
  <c r="N16" i="65"/>
  <c r="K16" i="65"/>
  <c r="O15" i="65"/>
  <c r="N15" i="65"/>
  <c r="K15" i="65"/>
  <c r="O14" i="65"/>
  <c r="N14" i="65"/>
  <c r="K14" i="65"/>
  <c r="M13" i="65"/>
  <c r="J13" i="65"/>
  <c r="H13" i="65"/>
  <c r="G13" i="65"/>
  <c r="F13" i="65"/>
  <c r="E13" i="65"/>
  <c r="C13" i="65"/>
  <c r="M12" i="65"/>
  <c r="K12" i="65"/>
  <c r="O11" i="65"/>
  <c r="N11" i="65"/>
  <c r="M11" i="65"/>
  <c r="K11" i="65"/>
  <c r="M10" i="65"/>
  <c r="J10" i="65"/>
  <c r="I10" i="65"/>
  <c r="I9" i="65" s="1"/>
  <c r="G10" i="65"/>
  <c r="H10" i="65" s="1"/>
  <c r="F10" i="65"/>
  <c r="E10" i="65"/>
  <c r="D10" i="65"/>
  <c r="D9" i="65" s="1"/>
  <c r="C10" i="65"/>
  <c r="M9" i="65"/>
  <c r="G46" i="60"/>
  <c r="F44" i="12" s="1"/>
  <c r="F46" i="60"/>
  <c r="E46" i="60"/>
  <c r="D46" i="60"/>
  <c r="B46" i="60"/>
  <c r="G45" i="60"/>
  <c r="L45" i="60" s="1"/>
  <c r="G44" i="60"/>
  <c r="L44" i="60" s="1"/>
  <c r="G43" i="60"/>
  <c r="L43" i="60" s="1"/>
  <c r="L42" i="60"/>
  <c r="K42" i="60"/>
  <c r="J42" i="60"/>
  <c r="G41" i="60"/>
  <c r="G40" i="60"/>
  <c r="J40" i="60" s="1"/>
  <c r="G39" i="60"/>
  <c r="J39" i="60" s="1"/>
  <c r="G38" i="60"/>
  <c r="M37" i="60"/>
  <c r="G37" i="60"/>
  <c r="F43" i="12" s="1"/>
  <c r="D43" i="12"/>
  <c r="D37" i="60"/>
  <c r="D30" i="18" s="1"/>
  <c r="C37" i="60"/>
  <c r="B37" i="60"/>
  <c r="B30" i="18" s="1"/>
  <c r="G34" i="60"/>
  <c r="J34" i="60" s="1"/>
  <c r="G33" i="60"/>
  <c r="G32" i="60"/>
  <c r="L32" i="60" s="1"/>
  <c r="G31" i="60"/>
  <c r="L31" i="60" s="1"/>
  <c r="G30" i="60"/>
  <c r="K22" i="60"/>
  <c r="M21" i="60"/>
  <c r="C42" i="12"/>
  <c r="C20" i="60"/>
  <c r="B20" i="60"/>
  <c r="B42" i="12" s="1"/>
  <c r="G16" i="60"/>
  <c r="K15" i="60"/>
  <c r="J15" i="60"/>
  <c r="K14" i="60"/>
  <c r="J14" i="60"/>
  <c r="K13" i="60"/>
  <c r="K12" i="60"/>
  <c r="J12" i="60"/>
  <c r="K10" i="60"/>
  <c r="J10" i="60"/>
  <c r="K9" i="60"/>
  <c r="J9" i="60"/>
  <c r="M8" i="60"/>
  <c r="I8" i="60"/>
  <c r="H8" i="60"/>
  <c r="F41" i="12"/>
  <c r="E41" i="12"/>
  <c r="D41" i="12"/>
  <c r="C41" i="12"/>
  <c r="C8" i="60"/>
  <c r="B8" i="60"/>
  <c r="B26" i="18" s="1"/>
  <c r="L29" i="15"/>
  <c r="K29" i="15"/>
  <c r="J29" i="15"/>
  <c r="G28" i="15"/>
  <c r="J28" i="15" s="1"/>
  <c r="L27" i="15"/>
  <c r="K27" i="15"/>
  <c r="J27" i="15"/>
  <c r="L25" i="15"/>
  <c r="K25" i="15"/>
  <c r="J25" i="15"/>
  <c r="G21" i="15"/>
  <c r="L23" i="15"/>
  <c r="K23" i="15"/>
  <c r="J23" i="15"/>
  <c r="G22" i="15"/>
  <c r="J22" i="15" s="1"/>
  <c r="I21" i="15"/>
  <c r="H21" i="15"/>
  <c r="F21" i="15"/>
  <c r="E21" i="15"/>
  <c r="D21" i="15"/>
  <c r="D21" i="18" s="1"/>
  <c r="C21" i="15"/>
  <c r="B21" i="18" s="1"/>
  <c r="G20" i="15"/>
  <c r="J20" i="15" s="1"/>
  <c r="L19" i="15"/>
  <c r="K19" i="15"/>
  <c r="J19" i="15"/>
  <c r="L17" i="15"/>
  <c r="K17" i="15"/>
  <c r="J17" i="15"/>
  <c r="J16" i="15"/>
  <c r="L15" i="15"/>
  <c r="K15" i="15"/>
  <c r="J15" i="15"/>
  <c r="L13" i="15"/>
  <c r="K13" i="15"/>
  <c r="J13" i="15"/>
  <c r="I11" i="15"/>
  <c r="H11" i="15"/>
  <c r="F11" i="15"/>
  <c r="E11" i="15"/>
  <c r="D11" i="15"/>
  <c r="C11" i="15"/>
  <c r="B19" i="18" s="1"/>
  <c r="M162" i="24"/>
  <c r="M149" i="24"/>
  <c r="M148" i="24"/>
  <c r="M147" i="24"/>
  <c r="M146" i="24"/>
  <c r="M140" i="24"/>
  <c r="M138" i="24"/>
  <c r="M136" i="24"/>
  <c r="M134" i="24"/>
  <c r="M133" i="24"/>
  <c r="M132" i="24"/>
  <c r="M131" i="24"/>
  <c r="M130" i="24"/>
  <c r="M127" i="24"/>
  <c r="M125" i="24"/>
  <c r="M123" i="24"/>
  <c r="M119" i="24"/>
  <c r="M117" i="24"/>
  <c r="M116" i="24"/>
  <c r="M115" i="24"/>
  <c r="M112" i="24"/>
  <c r="M110" i="24"/>
  <c r="M104" i="24"/>
  <c r="M100" i="24"/>
  <c r="M99" i="24"/>
  <c r="M92" i="24"/>
  <c r="M91" i="24"/>
  <c r="M90" i="24"/>
  <c r="M88" i="24"/>
  <c r="M85" i="24"/>
  <c r="M82" i="24"/>
  <c r="M81" i="24"/>
  <c r="M75" i="24"/>
  <c r="M73" i="24"/>
  <c r="M72" i="24"/>
  <c r="M71" i="24"/>
  <c r="M70" i="24"/>
  <c r="M64" i="24"/>
  <c r="M62" i="24"/>
  <c r="M61" i="24"/>
  <c r="M60" i="24"/>
  <c r="M59" i="24"/>
  <c r="M56" i="24"/>
  <c r="M55" i="24"/>
  <c r="M51" i="24"/>
  <c r="M49" i="24"/>
  <c r="M48" i="24"/>
  <c r="M47" i="24"/>
  <c r="M46" i="24"/>
  <c r="M44" i="24"/>
  <c r="M34" i="24"/>
  <c r="M33" i="24"/>
  <c r="M32" i="24"/>
  <c r="M31" i="24"/>
  <c r="M15" i="24"/>
  <c r="M14" i="24"/>
  <c r="M13" i="24"/>
  <c r="G15" i="12"/>
  <c r="H15" i="12"/>
  <c r="D15" i="12"/>
  <c r="A54" i="12" a="1"/>
  <c r="A54" i="12" s="1"/>
  <c r="H43" i="12"/>
  <c r="G43" i="12"/>
  <c r="H42" i="12"/>
  <c r="G42" i="12"/>
  <c r="F35" i="12"/>
  <c r="G32" i="12"/>
  <c r="F32" i="12"/>
  <c r="E32" i="12"/>
  <c r="D32" i="12"/>
  <c r="C32" i="12"/>
  <c r="B32" i="12"/>
  <c r="F30" i="12"/>
  <c r="E28" i="12"/>
  <c r="E22" i="12" s="1"/>
  <c r="B22" i="12"/>
  <c r="G26" i="12"/>
  <c r="G25" i="12"/>
  <c r="G24" i="12"/>
  <c r="G23" i="12"/>
  <c r="G18" i="12"/>
  <c r="C18" i="12"/>
  <c r="B18" i="12"/>
  <c r="B15" i="12"/>
  <c r="C47" i="11"/>
  <c r="C46" i="11"/>
  <c r="E45" i="11"/>
  <c r="E43" i="11" s="1"/>
  <c r="B39" i="11"/>
  <c r="F36" i="11"/>
  <c r="B36" i="11"/>
  <c r="F26" i="11"/>
  <c r="F25" i="11" s="1"/>
  <c r="D26" i="11"/>
  <c r="D25" i="11" s="1"/>
  <c r="D18" i="11"/>
  <c r="D17" i="11"/>
  <c r="D15" i="11"/>
  <c r="D14" i="11" s="1"/>
  <c r="D11" i="11" s="1"/>
  <c r="D30" i="63"/>
  <c r="D15" i="63"/>
  <c r="D14" i="63"/>
  <c r="D13" i="63"/>
  <c r="D12" i="63"/>
  <c r="D11" i="63"/>
  <c r="D10" i="63"/>
  <c r="H30" i="9"/>
  <c r="H28" i="9"/>
  <c r="H27" i="9"/>
  <c r="J27" i="9" s="1"/>
  <c r="H26" i="9"/>
  <c r="G24" i="9"/>
  <c r="G22" i="9" s="1"/>
  <c r="H22" i="9" s="1"/>
  <c r="F24" i="9"/>
  <c r="F22" i="9" s="1"/>
  <c r="E24" i="9"/>
  <c r="E22" i="9" s="1"/>
  <c r="D24" i="9"/>
  <c r="D22" i="9" s="1"/>
  <c r="C24" i="9"/>
  <c r="H23" i="9"/>
  <c r="H21" i="9"/>
  <c r="F20" i="9"/>
  <c r="E20" i="9"/>
  <c r="D20" i="9"/>
  <c r="C20" i="9"/>
  <c r="G18" i="9"/>
  <c r="F18" i="9"/>
  <c r="E18" i="9"/>
  <c r="D18" i="9"/>
  <c r="C18" i="9"/>
  <c r="G17" i="9"/>
  <c r="F17" i="9"/>
  <c r="E17" i="9"/>
  <c r="D17" i="9"/>
  <c r="C17" i="9"/>
  <c r="G16" i="9"/>
  <c r="F16" i="9"/>
  <c r="E16" i="9"/>
  <c r="D16" i="9"/>
  <c r="C16" i="9"/>
  <c r="G15" i="9"/>
  <c r="F15" i="9"/>
  <c r="E15" i="9"/>
  <c r="D15" i="9"/>
  <c r="C15" i="9"/>
  <c r="G14" i="9"/>
  <c r="F14" i="9"/>
  <c r="E14" i="9"/>
  <c r="D14" i="9"/>
  <c r="C14" i="9"/>
  <c r="G13" i="9"/>
  <c r="F13" i="9"/>
  <c r="E13" i="9"/>
  <c r="E11" i="9" s="1"/>
  <c r="D13" i="9"/>
  <c r="C13" i="9"/>
  <c r="F49" i="8"/>
  <c r="G48" i="8"/>
  <c r="I48" i="8" s="1"/>
  <c r="E47" i="8"/>
  <c r="D47" i="8"/>
  <c r="E26" i="11" s="1"/>
  <c r="E25" i="11" s="1"/>
  <c r="I45" i="8"/>
  <c r="D44" i="8"/>
  <c r="D43" i="8" s="1"/>
  <c r="D42" i="8" s="1"/>
  <c r="C44" i="8"/>
  <c r="C43" i="8" s="1"/>
  <c r="C42" i="8" s="1"/>
  <c r="E43" i="8"/>
  <c r="E42" i="8" s="1"/>
  <c r="D23" i="11" s="1"/>
  <c r="F40" i="8"/>
  <c r="D40" i="8"/>
  <c r="C26" i="11" s="1"/>
  <c r="C25" i="11" s="1"/>
  <c r="C40" i="8"/>
  <c r="B26" i="11" s="1"/>
  <c r="B25" i="11" s="1"/>
  <c r="E39" i="8"/>
  <c r="E38" i="8" s="1"/>
  <c r="F38" i="8"/>
  <c r="G32" i="8"/>
  <c r="F31" i="8"/>
  <c r="G31" i="8" s="1"/>
  <c r="E31" i="8"/>
  <c r="F18" i="11" s="1"/>
  <c r="D31" i="8"/>
  <c r="E18" i="11" s="1"/>
  <c r="C31" i="8"/>
  <c r="B18" i="11" s="1"/>
  <c r="G30" i="8"/>
  <c r="H30" i="8" s="1"/>
  <c r="G29" i="8"/>
  <c r="I29" i="8" s="1"/>
  <c r="G28" i="8"/>
  <c r="G27" i="8"/>
  <c r="F26" i="8"/>
  <c r="E26" i="8"/>
  <c r="F17" i="11" s="1"/>
  <c r="D26" i="8"/>
  <c r="E17" i="11" s="1"/>
  <c r="C26" i="8"/>
  <c r="B17" i="11" s="1"/>
  <c r="G25" i="8"/>
  <c r="G23" i="8" s="1"/>
  <c r="G24" i="8"/>
  <c r="H24" i="8" s="1"/>
  <c r="F23" i="8"/>
  <c r="F21" i="8" s="1"/>
  <c r="E23" i="8"/>
  <c r="E21" i="8" s="1"/>
  <c r="D23" i="8"/>
  <c r="D21" i="8" s="1"/>
  <c r="E16" i="11" s="1"/>
  <c r="C23" i="8"/>
  <c r="C21" i="8" s="1"/>
  <c r="G22" i="8"/>
  <c r="H22" i="8" s="1"/>
  <c r="E17" i="8"/>
  <c r="E15" i="8" s="1"/>
  <c r="D17" i="8"/>
  <c r="C17" i="8"/>
  <c r="C15" i="8" s="1"/>
  <c r="F15" i="8"/>
  <c r="D15" i="8"/>
  <c r="C25" i="18"/>
  <c r="E23" i="18"/>
  <c r="D23" i="18"/>
  <c r="B23" i="18"/>
  <c r="E22" i="18"/>
  <c r="B22" i="18"/>
  <c r="E20" i="18"/>
  <c r="B20" i="18"/>
  <c r="C18" i="18"/>
  <c r="C9" i="18"/>
  <c r="F9" i="15" l="1"/>
  <c r="F70" i="65"/>
  <c r="K44" i="12"/>
  <c r="I44" i="12"/>
  <c r="J44" i="12"/>
  <c r="O49" i="65"/>
  <c r="F13" i="8"/>
  <c r="G13" i="8" s="1"/>
  <c r="G15" i="8"/>
  <c r="G15" i="11" s="1"/>
  <c r="K114" i="65"/>
  <c r="O114" i="65"/>
  <c r="O62" i="65"/>
  <c r="H43" i="65"/>
  <c r="G70" i="65"/>
  <c r="O103" i="65"/>
  <c r="H100" i="65"/>
  <c r="E100" i="65"/>
  <c r="O109" i="65"/>
  <c r="F100" i="65"/>
  <c r="K106" i="65"/>
  <c r="O106" i="65"/>
  <c r="I100" i="65"/>
  <c r="H40" i="65"/>
  <c r="O40" i="65" s="1"/>
  <c r="O41" i="65"/>
  <c r="K16" i="60"/>
  <c r="L16" i="60"/>
  <c r="I49" i="60"/>
  <c r="I27" i="8"/>
  <c r="G26" i="8"/>
  <c r="I26" i="8" s="1"/>
  <c r="I20" i="65"/>
  <c r="K83" i="65"/>
  <c r="C9" i="65"/>
  <c r="L46" i="60"/>
  <c r="D19" i="18"/>
  <c r="D18" i="18" s="1"/>
  <c r="H28" i="12"/>
  <c r="H22" i="12" s="1"/>
  <c r="J160" i="24"/>
  <c r="J184" i="24" s="1"/>
  <c r="D22" i="11"/>
  <c r="D29" i="11" s="1"/>
  <c r="K18" i="65"/>
  <c r="J46" i="60"/>
  <c r="G20" i="65"/>
  <c r="N64" i="65"/>
  <c r="N83" i="65"/>
  <c r="J100" i="65"/>
  <c r="K59" i="65"/>
  <c r="N62" i="65"/>
  <c r="F9" i="65"/>
  <c r="H41" i="8"/>
  <c r="H40" i="8" s="1"/>
  <c r="H39" i="8" s="1"/>
  <c r="H38" i="8" s="1"/>
  <c r="C16" i="18"/>
  <c r="E13" i="8"/>
  <c r="H49" i="60"/>
  <c r="M20" i="60"/>
  <c r="G21" i="60"/>
  <c r="H9" i="65"/>
  <c r="O18" i="65"/>
  <c r="O20" i="65"/>
  <c r="C43" i="65"/>
  <c r="H14" i="9"/>
  <c r="I41" i="12"/>
  <c r="J9" i="65"/>
  <c r="G9" i="65"/>
  <c r="K71" i="65"/>
  <c r="N13" i="65"/>
  <c r="H184" i="24"/>
  <c r="H24" i="9"/>
  <c r="I24" i="9" s="1"/>
  <c r="J41" i="12"/>
  <c r="O101" i="65"/>
  <c r="L11" i="24"/>
  <c r="E15" i="11"/>
  <c r="E14" i="11" s="1"/>
  <c r="E11" i="11" s="1"/>
  <c r="D13" i="8"/>
  <c r="D11" i="8" s="1"/>
  <c r="N18" i="65"/>
  <c r="J43" i="65"/>
  <c r="O64" i="65"/>
  <c r="C13" i="8"/>
  <c r="C11" i="8" s="1"/>
  <c r="B10" i="63" s="1"/>
  <c r="E11" i="8"/>
  <c r="C70" i="65"/>
  <c r="N114" i="65"/>
  <c r="K35" i="65"/>
  <c r="O54" i="65"/>
  <c r="C100" i="65"/>
  <c r="J22" i="9"/>
  <c r="I9" i="15"/>
  <c r="G44" i="8"/>
  <c r="I23" i="8"/>
  <c r="F30" i="63"/>
  <c r="G11" i="9"/>
  <c r="G9" i="9" s="1"/>
  <c r="H29" i="8"/>
  <c r="D11" i="9"/>
  <c r="D9" i="9" s="1"/>
  <c r="H16" i="9"/>
  <c r="J16" i="9" s="1"/>
  <c r="C16" i="11"/>
  <c r="C39" i="8"/>
  <c r="C38" i="8" s="1"/>
  <c r="C36" i="8" s="1"/>
  <c r="D39" i="8"/>
  <c r="H41" i="12"/>
  <c r="H39" i="12" s="1"/>
  <c r="H36" i="12" s="1"/>
  <c r="B43" i="12"/>
  <c r="D26" i="18"/>
  <c r="D28" i="18"/>
  <c r="B28" i="18"/>
  <c r="B25" i="18" s="1"/>
  <c r="K32" i="60"/>
  <c r="G41" i="12"/>
  <c r="G39" i="12" s="1"/>
  <c r="G36" i="12" s="1"/>
  <c r="E26" i="18"/>
  <c r="B49" i="60"/>
  <c r="C49" i="60"/>
  <c r="B16" i="11"/>
  <c r="E21" i="18"/>
  <c r="C28" i="63"/>
  <c r="C23" i="11"/>
  <c r="C22" i="11" s="1"/>
  <c r="I25" i="8"/>
  <c r="I19" i="8"/>
  <c r="I30" i="9"/>
  <c r="B41" i="12"/>
  <c r="O83" i="65"/>
  <c r="J30" i="9"/>
  <c r="J31" i="60"/>
  <c r="K40" i="60"/>
  <c r="I70" i="65"/>
  <c r="N109" i="65"/>
  <c r="H32" i="8"/>
  <c r="H25" i="8"/>
  <c r="I26" i="9"/>
  <c r="L37" i="60"/>
  <c r="J26" i="9"/>
  <c r="J16" i="60"/>
  <c r="K39" i="60"/>
  <c r="H45" i="8"/>
  <c r="H19" i="8"/>
  <c r="L39" i="60"/>
  <c r="E70" i="65"/>
  <c r="N92" i="65"/>
  <c r="F11" i="9"/>
  <c r="K31" i="60"/>
  <c r="C9" i="15"/>
  <c r="G40" i="8"/>
  <c r="I40" i="8" s="1"/>
  <c r="E9" i="9"/>
  <c r="D9" i="15"/>
  <c r="K8" i="60"/>
  <c r="J32" i="60"/>
  <c r="K105" i="65"/>
  <c r="C43" i="12"/>
  <c r="H18" i="9"/>
  <c r="J18" i="9" s="1"/>
  <c r="N54" i="65"/>
  <c r="E30" i="18"/>
  <c r="O10" i="65"/>
  <c r="H9" i="15"/>
  <c r="J45" i="60"/>
  <c r="K45" i="60"/>
  <c r="O35" i="65"/>
  <c r="K64" i="65"/>
  <c r="I32" i="8"/>
  <c r="K43" i="12"/>
  <c r="K43" i="60"/>
  <c r="J43" i="60"/>
  <c r="K21" i="15"/>
  <c r="K44" i="60"/>
  <c r="J44" i="60"/>
  <c r="O71" i="65"/>
  <c r="C11" i="9"/>
  <c r="B18" i="18"/>
  <c r="C22" i="9"/>
  <c r="G11" i="15"/>
  <c r="D42" i="12"/>
  <c r="D39" i="12" s="1"/>
  <c r="D36" i="12" s="1"/>
  <c r="K46" i="60"/>
  <c r="E107" i="65"/>
  <c r="B15" i="11"/>
  <c r="H18" i="8"/>
  <c r="I18" i="8"/>
  <c r="H15" i="9"/>
  <c r="H28" i="8"/>
  <c r="I28" i="8"/>
  <c r="D28" i="63"/>
  <c r="D26" i="63" s="1"/>
  <c r="I28" i="9"/>
  <c r="J28" i="9"/>
  <c r="M65" i="24"/>
  <c r="M89" i="24"/>
  <c r="F15" i="11"/>
  <c r="H26" i="8"/>
  <c r="F47" i="8"/>
  <c r="G47" i="8" s="1"/>
  <c r="I47" i="8" s="1"/>
  <c r="G49" i="8"/>
  <c r="I49" i="8" s="1"/>
  <c r="B16" i="12"/>
  <c r="B37" i="11"/>
  <c r="M57" i="24"/>
  <c r="M63" i="24"/>
  <c r="M83" i="24"/>
  <c r="M113" i="24"/>
  <c r="M152" i="24"/>
  <c r="F16" i="11"/>
  <c r="H31" i="8"/>
  <c r="I31" i="8"/>
  <c r="F28" i="63"/>
  <c r="I32" i="12"/>
  <c r="K32" i="12"/>
  <c r="M29" i="24"/>
  <c r="M38" i="24"/>
  <c r="M111" i="24"/>
  <c r="M145" i="24"/>
  <c r="D22" i="12"/>
  <c r="I17" i="8"/>
  <c r="H17" i="8"/>
  <c r="H23" i="8"/>
  <c r="G21" i="8"/>
  <c r="I21" i="8" s="1"/>
  <c r="B23" i="11"/>
  <c r="B22" i="11" s="1"/>
  <c r="B28" i="63"/>
  <c r="I22" i="9"/>
  <c r="G18" i="11"/>
  <c r="J32" i="12"/>
  <c r="E15" i="12"/>
  <c r="M128" i="24"/>
  <c r="M137" i="24"/>
  <c r="M143" i="24"/>
  <c r="G20" i="12"/>
  <c r="M20" i="24"/>
  <c r="M24" i="24"/>
  <c r="M54" i="24"/>
  <c r="M66" i="24"/>
  <c r="M126" i="24"/>
  <c r="D39" i="11"/>
  <c r="C39" i="11"/>
  <c r="H27" i="8"/>
  <c r="D16" i="11"/>
  <c r="F22" i="12"/>
  <c r="M35" i="24"/>
  <c r="M108" i="24"/>
  <c r="M124" i="24"/>
  <c r="H32" i="12"/>
  <c r="H17" i="9"/>
  <c r="C18" i="11"/>
  <c r="M18" i="24"/>
  <c r="M26" i="24"/>
  <c r="C15" i="11"/>
  <c r="C17" i="11"/>
  <c r="E39" i="11"/>
  <c r="K41" i="12"/>
  <c r="M12" i="24"/>
  <c r="M17" i="24"/>
  <c r="M19" i="24"/>
  <c r="M23" i="24"/>
  <c r="M25" i="24"/>
  <c r="M40" i="24"/>
  <c r="M97" i="24"/>
  <c r="M106" i="24"/>
  <c r="M122" i="24"/>
  <c r="M139" i="24"/>
  <c r="M154" i="24"/>
  <c r="M157" i="24"/>
  <c r="F49" i="60"/>
  <c r="E42" i="12"/>
  <c r="E39" i="12" s="1"/>
  <c r="E36" i="12" s="1"/>
  <c r="K41" i="60"/>
  <c r="L41" i="60"/>
  <c r="J41" i="60"/>
  <c r="K49" i="65"/>
  <c r="L25" i="65"/>
  <c r="L20" i="65" s="1"/>
  <c r="L13" i="65" s="1"/>
  <c r="L12" i="65" s="1"/>
  <c r="L11" i="65" s="1"/>
  <c r="L10" i="65" s="1"/>
  <c r="L9" i="65" s="1"/>
  <c r="L30" i="65"/>
  <c r="M144" i="24"/>
  <c r="M161" i="24"/>
  <c r="J21" i="15"/>
  <c r="E9" i="15"/>
  <c r="N35" i="65"/>
  <c r="M67" i="24"/>
  <c r="M96" i="24"/>
  <c r="M98" i="24"/>
  <c r="M105" i="24"/>
  <c r="M107" i="24"/>
  <c r="M129" i="24"/>
  <c r="M151" i="24"/>
  <c r="M153" i="24"/>
  <c r="L21" i="15"/>
  <c r="D49" i="60"/>
  <c r="J38" i="60"/>
  <c r="L38" i="60"/>
  <c r="K38" i="60"/>
  <c r="C20" i="65"/>
  <c r="E49" i="60"/>
  <c r="J8" i="60"/>
  <c r="L30" i="60"/>
  <c r="K30" i="60"/>
  <c r="L33" i="60"/>
  <c r="K33" i="60"/>
  <c r="J33" i="60"/>
  <c r="K10" i="65"/>
  <c r="E9" i="65"/>
  <c r="O30" i="65"/>
  <c r="K80" i="65"/>
  <c r="H70" i="65"/>
  <c r="E20" i="12"/>
  <c r="L8" i="60"/>
  <c r="J30" i="60"/>
  <c r="L34" i="60"/>
  <c r="K34" i="60"/>
  <c r="K37" i="60"/>
  <c r="J37" i="60"/>
  <c r="O59" i="65"/>
  <c r="K100" i="65"/>
  <c r="K13" i="65"/>
  <c r="O13" i="65"/>
  <c r="N30" i="65"/>
  <c r="I43" i="65"/>
  <c r="K54" i="65"/>
  <c r="F43" i="65"/>
  <c r="K62" i="65"/>
  <c r="N80" i="65"/>
  <c r="D116" i="65"/>
  <c r="K30" i="65"/>
  <c r="N41" i="65"/>
  <c r="N59" i="65"/>
  <c r="K109" i="65"/>
  <c r="F107" i="65"/>
  <c r="E43" i="65"/>
  <c r="N49" i="65"/>
  <c r="J70" i="65"/>
  <c r="N87" i="65"/>
  <c r="O92" i="65"/>
  <c r="H107" i="65"/>
  <c r="N71" i="65"/>
  <c r="K87" i="65"/>
  <c r="K92" i="65"/>
  <c r="G17" i="11" l="1"/>
  <c r="H17" i="11" s="1"/>
  <c r="N40" i="65"/>
  <c r="F9" i="9"/>
  <c r="E116" i="65"/>
  <c r="O107" i="65"/>
  <c r="L21" i="60"/>
  <c r="G20" i="60"/>
  <c r="F42" i="12" s="1"/>
  <c r="J14" i="9"/>
  <c r="H11" i="9"/>
  <c r="I11" i="9" s="1"/>
  <c r="B45" i="11"/>
  <c r="B43" i="11" s="1"/>
  <c r="G43" i="8"/>
  <c r="G42" i="8" s="1"/>
  <c r="E13" i="18" s="1"/>
  <c r="I44" i="8"/>
  <c r="J19" i="9"/>
  <c r="I19" i="9"/>
  <c r="J20" i="9"/>
  <c r="I20" i="9"/>
  <c r="O100" i="65"/>
  <c r="I14" i="9"/>
  <c r="D21" i="63"/>
  <c r="D19" i="63" s="1"/>
  <c r="J24" i="9"/>
  <c r="C116" i="65"/>
  <c r="N100" i="65"/>
  <c r="G39" i="8"/>
  <c r="I39" i="8" s="1"/>
  <c r="G116" i="65"/>
  <c r="J21" i="60"/>
  <c r="K21" i="60"/>
  <c r="H116" i="65"/>
  <c r="H44" i="8"/>
  <c r="I15" i="8"/>
  <c r="D25" i="18"/>
  <c r="D16" i="18" s="1"/>
  <c r="I116" i="65"/>
  <c r="N10" i="65"/>
  <c r="L11" i="15"/>
  <c r="G9" i="15"/>
  <c r="K11" i="15"/>
  <c r="L184" i="24"/>
  <c r="K184" i="24"/>
  <c r="B21" i="63"/>
  <c r="B19" i="63" s="1"/>
  <c r="B39" i="12"/>
  <c r="B36" i="12" s="1"/>
  <c r="J11" i="15"/>
  <c r="H15" i="8"/>
  <c r="I16" i="9"/>
  <c r="K20" i="65"/>
  <c r="K22" i="12"/>
  <c r="J116" i="65"/>
  <c r="F26" i="63"/>
  <c r="F10" i="63"/>
  <c r="C30" i="63"/>
  <c r="C26" i="63" s="1"/>
  <c r="I18" i="9"/>
  <c r="B30" i="63"/>
  <c r="B26" i="63" s="1"/>
  <c r="D38" i="8"/>
  <c r="D36" i="8" s="1"/>
  <c r="D13" i="18" s="1"/>
  <c r="J43" i="12"/>
  <c r="C39" i="12"/>
  <c r="C36" i="12" s="1"/>
  <c r="I43" i="12"/>
  <c r="C10" i="63"/>
  <c r="D11" i="18"/>
  <c r="C14" i="11"/>
  <c r="C11" i="11" s="1"/>
  <c r="C29" i="11" s="1"/>
  <c r="B14" i="11"/>
  <c r="K43" i="65"/>
  <c r="B16" i="18"/>
  <c r="K70" i="65"/>
  <c r="N43" i="65"/>
  <c r="E19" i="18"/>
  <c r="E18" i="18" s="1"/>
  <c r="N20" i="65"/>
  <c r="C9" i="9"/>
  <c r="K28" i="12"/>
  <c r="M135" i="24"/>
  <c r="O70" i="65"/>
  <c r="D18" i="12"/>
  <c r="F39" i="11"/>
  <c r="H18" i="12"/>
  <c r="B41" i="11"/>
  <c r="B15" i="63"/>
  <c r="M22" i="24"/>
  <c r="D38" i="11"/>
  <c r="C17" i="12"/>
  <c r="C38" i="11"/>
  <c r="E38" i="11"/>
  <c r="J17" i="9"/>
  <c r="I17" i="9"/>
  <c r="H20" i="12"/>
  <c r="H21" i="8"/>
  <c r="G16" i="11"/>
  <c r="F15" i="63"/>
  <c r="F41" i="11"/>
  <c r="H47" i="8"/>
  <c r="O43" i="65"/>
  <c r="E18" i="12"/>
  <c r="J13" i="9"/>
  <c r="I13" i="9"/>
  <c r="M120" i="24"/>
  <c r="F116" i="65"/>
  <c r="K9" i="65"/>
  <c r="O9" i="65"/>
  <c r="D45" i="11"/>
  <c r="D43" i="11" s="1"/>
  <c r="C45" i="11"/>
  <c r="C43" i="11" s="1"/>
  <c r="C21" i="63"/>
  <c r="C19" i="63" s="1"/>
  <c r="E17" i="12"/>
  <c r="H16" i="12"/>
  <c r="M114" i="24"/>
  <c r="M160" i="24"/>
  <c r="G41" i="11"/>
  <c r="G15" i="63"/>
  <c r="C22" i="12"/>
  <c r="J22" i="12" s="1"/>
  <c r="J28" i="12"/>
  <c r="B13" i="18"/>
  <c r="D36" i="11"/>
  <c r="C15" i="12"/>
  <c r="C36" i="11"/>
  <c r="E36" i="11"/>
  <c r="E16" i="12"/>
  <c r="J15" i="9"/>
  <c r="I15" i="9"/>
  <c r="N9" i="65"/>
  <c r="F21" i="63"/>
  <c r="F19" i="63" s="1"/>
  <c r="F45" i="11"/>
  <c r="F43" i="11" s="1"/>
  <c r="G16" i="12"/>
  <c r="N70" i="65"/>
  <c r="D37" i="11"/>
  <c r="C37" i="11"/>
  <c r="E37" i="11"/>
  <c r="C16" i="12"/>
  <c r="M16" i="24"/>
  <c r="D41" i="11"/>
  <c r="C20" i="12"/>
  <c r="C41" i="11"/>
  <c r="E41" i="11"/>
  <c r="C15" i="63"/>
  <c r="M58" i="24"/>
  <c r="F11" i="8"/>
  <c r="D16" i="12"/>
  <c r="F37" i="11"/>
  <c r="H15" i="11"/>
  <c r="M45" i="24"/>
  <c r="E22" i="11"/>
  <c r="E29" i="11" s="1"/>
  <c r="B11" i="18"/>
  <c r="C9" i="8"/>
  <c r="N107" i="65"/>
  <c r="K107" i="65"/>
  <c r="B17" i="12"/>
  <c r="B13" i="12" s="1"/>
  <c r="B38" i="11"/>
  <c r="B35" i="11" s="1"/>
  <c r="M95" i="24"/>
  <c r="D17" i="12"/>
  <c r="F38" i="11"/>
  <c r="G17" i="12"/>
  <c r="H18" i="11"/>
  <c r="I22" i="12"/>
  <c r="I28" i="12" s="1"/>
  <c r="H17" i="12"/>
  <c r="M76" i="24"/>
  <c r="H49" i="8"/>
  <c r="F14" i="11"/>
  <c r="F11" i="11" s="1"/>
  <c r="M156" i="24"/>
  <c r="G11" i="8" l="1"/>
  <c r="G9" i="8" s="1"/>
  <c r="F9" i="8"/>
  <c r="B11" i="11"/>
  <c r="B29" i="11" s="1"/>
  <c r="L20" i="60"/>
  <c r="E28" i="18"/>
  <c r="E25" i="18" s="1"/>
  <c r="J20" i="60"/>
  <c r="G49" i="60"/>
  <c r="K20" i="60"/>
  <c r="H43" i="8"/>
  <c r="G26" i="11"/>
  <c r="H26" i="11" s="1"/>
  <c r="F23" i="11"/>
  <c r="I42" i="8"/>
  <c r="G28" i="63"/>
  <c r="H28" i="63" s="1"/>
  <c r="I43" i="8"/>
  <c r="B9" i="18"/>
  <c r="E16" i="18"/>
  <c r="G30" i="63"/>
  <c r="H30" i="63" s="1"/>
  <c r="G38" i="8"/>
  <c r="I38" i="8" s="1"/>
  <c r="E13" i="12"/>
  <c r="E11" i="12" s="1"/>
  <c r="E9" i="12" s="1"/>
  <c r="D9" i="8"/>
  <c r="K9" i="15"/>
  <c r="L9" i="15"/>
  <c r="J9" i="15"/>
  <c r="D9" i="18"/>
  <c r="B14" i="63"/>
  <c r="B12" i="63" s="1"/>
  <c r="B11" i="12"/>
  <c r="B9" i="12" s="1"/>
  <c r="N116" i="65"/>
  <c r="K116" i="65"/>
  <c r="B33" i="11"/>
  <c r="B50" i="11" s="1"/>
  <c r="H41" i="11"/>
  <c r="H15" i="63"/>
  <c r="F35" i="11"/>
  <c r="F33" i="11" s="1"/>
  <c r="F50" i="11" s="1"/>
  <c r="F16" i="12"/>
  <c r="K16" i="12" s="1"/>
  <c r="M37" i="24"/>
  <c r="G37" i="11"/>
  <c r="H37" i="11" s="1"/>
  <c r="F18" i="12"/>
  <c r="I18" i="12" s="1"/>
  <c r="G39" i="11"/>
  <c r="M155" i="24"/>
  <c r="H42" i="8"/>
  <c r="D13" i="12"/>
  <c r="E35" i="11"/>
  <c r="D35" i="11"/>
  <c r="D33" i="11" s="1"/>
  <c r="D50" i="11" s="1"/>
  <c r="K20" i="12"/>
  <c r="O116" i="65"/>
  <c r="F12" i="63"/>
  <c r="H16" i="11"/>
  <c r="J20" i="12"/>
  <c r="M11" i="24"/>
  <c r="G36" i="11"/>
  <c r="F15" i="12"/>
  <c r="J15" i="12" s="1"/>
  <c r="C35" i="11"/>
  <c r="C33" i="11" s="1"/>
  <c r="C50" i="11" s="1"/>
  <c r="M94" i="24"/>
  <c r="G38" i="11"/>
  <c r="H38" i="11" s="1"/>
  <c r="F17" i="12"/>
  <c r="K17" i="12" s="1"/>
  <c r="J11" i="9"/>
  <c r="H9" i="9"/>
  <c r="I20" i="12"/>
  <c r="I13" i="8"/>
  <c r="G14" i="11"/>
  <c r="G11" i="11" s="1"/>
  <c r="H13" i="8"/>
  <c r="G13" i="12"/>
  <c r="C13" i="12"/>
  <c r="H13" i="12"/>
  <c r="G25" i="11" l="1"/>
  <c r="H25" i="11" s="1"/>
  <c r="L49" i="60"/>
  <c r="G45" i="11"/>
  <c r="G21" i="63"/>
  <c r="J49" i="60"/>
  <c r="K49" i="60"/>
  <c r="J42" i="12"/>
  <c r="J39" i="12" s="1"/>
  <c r="K42" i="12"/>
  <c r="I42" i="12"/>
  <c r="I39" i="12" s="1"/>
  <c r="F39" i="12"/>
  <c r="F22" i="11"/>
  <c r="F29" i="11" s="1"/>
  <c r="H23" i="11"/>
  <c r="H11" i="12"/>
  <c r="H9" i="12" s="1"/>
  <c r="G26" i="63"/>
  <c r="H26" i="63" s="1"/>
  <c r="F13" i="12"/>
  <c r="F11" i="12" s="1"/>
  <c r="J16" i="12"/>
  <c r="I16" i="12"/>
  <c r="G11" i="12"/>
  <c r="G9" i="12" s="1"/>
  <c r="J9" i="9"/>
  <c r="I9" i="9"/>
  <c r="G35" i="11"/>
  <c r="H36" i="11"/>
  <c r="H14" i="11"/>
  <c r="E33" i="11"/>
  <c r="M184" i="24"/>
  <c r="G12" i="63"/>
  <c r="G14" i="63" s="1"/>
  <c r="J17" i="12"/>
  <c r="H39" i="11"/>
  <c r="C11" i="12"/>
  <c r="C14" i="63"/>
  <c r="H11" i="8"/>
  <c r="G10" i="63"/>
  <c r="I11" i="8"/>
  <c r="E11" i="18"/>
  <c r="K15" i="12"/>
  <c r="I15" i="12"/>
  <c r="D11" i="12"/>
  <c r="F14" i="63"/>
  <c r="I17" i="12"/>
  <c r="K18" i="12"/>
  <c r="J18" i="12"/>
  <c r="G22" i="11" l="1"/>
  <c r="G29" i="11" s="1"/>
  <c r="G17" i="63"/>
  <c r="K39" i="12"/>
  <c r="F36" i="12"/>
  <c r="G19" i="63"/>
  <c r="H19" i="63" s="1"/>
  <c r="H21" i="63"/>
  <c r="G43" i="11"/>
  <c r="H43" i="11" s="1"/>
  <c r="H45" i="11"/>
  <c r="J13" i="12"/>
  <c r="E9" i="18"/>
  <c r="H12" i="63"/>
  <c r="H14" i="63"/>
  <c r="E50" i="11"/>
  <c r="E52" i="11" s="1"/>
  <c r="G33" i="11"/>
  <c r="H35" i="11"/>
  <c r="K13" i="12"/>
  <c r="J11" i="12"/>
  <c r="D9" i="12"/>
  <c r="H11" i="11"/>
  <c r="I13" i="12"/>
  <c r="H10" i="63"/>
  <c r="C9" i="12"/>
  <c r="C12" i="63"/>
  <c r="H22" i="11" l="1"/>
  <c r="G32" i="63"/>
  <c r="J36" i="12"/>
  <c r="I36" i="12"/>
  <c r="K36" i="12"/>
  <c r="F9" i="12"/>
  <c r="K9" i="12" s="1"/>
  <c r="H29" i="11"/>
  <c r="K11" i="12"/>
  <c r="I11" i="12"/>
  <c r="G50" i="11"/>
  <c r="H50" i="11" s="1"/>
  <c r="H33" i="11"/>
  <c r="G52" i="11" l="1"/>
  <c r="I9" i="12"/>
  <c r="J9" i="12"/>
  <c r="E36" i="8"/>
  <c r="I36" i="8" s="1"/>
  <c r="E9" i="8" l="1"/>
  <c r="H9" i="8" s="1"/>
  <c r="I9" i="8"/>
  <c r="H36" i="8"/>
  <c r="L167" i="24" l="1"/>
  <c r="M167" i="24"/>
  <c r="K167" i="24"/>
  <c r="O167" i="24"/>
  <c r="E26" i="12"/>
  <c r="F26" i="12"/>
  <c r="F23" i="12"/>
  <c r="E23" i="12"/>
  <c r="F24" i="12"/>
  <c r="E24" i="12"/>
  <c r="E25" i="12"/>
  <c r="F25" i="12"/>
  <c r="V54" i="24"/>
</calcChain>
</file>

<file path=xl/sharedStrings.xml><?xml version="1.0" encoding="utf-8"?>
<sst xmlns="http://schemas.openxmlformats.org/spreadsheetml/2006/main" count="1260" uniqueCount="646">
  <si>
    <t>DETALLE</t>
  </si>
  <si>
    <t>P R E S U P U E S T O</t>
  </si>
  <si>
    <t>LEY</t>
  </si>
  <si>
    <t>MODIFICADO</t>
  </si>
  <si>
    <t>MODIFICAD0</t>
  </si>
  <si>
    <t>EJECUTADO</t>
  </si>
  <si>
    <t>INGRESOS</t>
  </si>
  <si>
    <t>Ingresos Corrientes</t>
  </si>
  <si>
    <t>Ingresos de Capital</t>
  </si>
  <si>
    <t>EGRESOS</t>
  </si>
  <si>
    <t>FUNCIONAMIENTO</t>
  </si>
  <si>
    <t xml:space="preserve">  </t>
  </si>
  <si>
    <t xml:space="preserve"> </t>
  </si>
  <si>
    <t>Dirección y Administración General</t>
  </si>
  <si>
    <t>Educación Superior Tecnológica</t>
  </si>
  <si>
    <t>Investigación, Post Grado y Extensión</t>
  </si>
  <si>
    <t>INVERSIONES</t>
  </si>
  <si>
    <t>Construcciones Educativas</t>
  </si>
  <si>
    <t>Mobiliario, Libros y Equipos Educ.</t>
  </si>
  <si>
    <t>Transferencia de Tecnología</t>
  </si>
  <si>
    <t xml:space="preserve">   Fuente: Dirección nacional de Presupuesto.</t>
  </si>
  <si>
    <t>TOTAL</t>
  </si>
  <si>
    <t>APORTE ESTATAL</t>
  </si>
  <si>
    <t>Fuente: Dirección Nacional de Presupuesto</t>
  </si>
  <si>
    <t>VARIACION</t>
  </si>
  <si>
    <t>ASIGNADO</t>
  </si>
  <si>
    <t>ABSOLUTA</t>
  </si>
  <si>
    <t>RELATIVA</t>
  </si>
  <si>
    <t xml:space="preserve">            T  O  T   A   L...</t>
  </si>
  <si>
    <t xml:space="preserve"> I  Ingresos Corrientes</t>
  </si>
  <si>
    <t xml:space="preserve">    3. Tasa y Derechos</t>
  </si>
  <si>
    <t xml:space="preserve"> II  Ingreso de Capital</t>
  </si>
  <si>
    <t>T   O   T   A   L</t>
  </si>
  <si>
    <t>INGRESOS PROPIOS</t>
  </si>
  <si>
    <t xml:space="preserve">   OTROS SER. AUTOGESTION</t>
  </si>
  <si>
    <t xml:space="preserve">   OTROS - BIBLIOTECA</t>
  </si>
  <si>
    <t xml:space="preserve">   TASAS</t>
  </si>
  <si>
    <t xml:space="preserve">   INGRESOS VARIOS</t>
  </si>
  <si>
    <t xml:space="preserve">   SALDO EN CAJA (CAPITAL)</t>
  </si>
  <si>
    <t>Fuente: Dirección Nacional de Presupuesto.</t>
  </si>
  <si>
    <t>EJECUCIÓN PORCENTUAL</t>
  </si>
  <si>
    <t>COMPROMETIDO</t>
  </si>
  <si>
    <t>PAGADO</t>
  </si>
  <si>
    <t xml:space="preserve">   Fuente: Dirección Nacional de Presupuesto.</t>
  </si>
  <si>
    <t>TRANSFERENCIAS CORRIENTES</t>
  </si>
  <si>
    <t>TRANSFERENCIAS DE CAPITAL</t>
  </si>
  <si>
    <t>DEVENGADO</t>
  </si>
  <si>
    <t xml:space="preserve">  Fuente: Dirección Nacional de Presupuesto.</t>
  </si>
  <si>
    <t>PRESUPUESTO</t>
  </si>
  <si>
    <t>SALDO</t>
  </si>
  <si>
    <t>A LA FECHA</t>
  </si>
  <si>
    <t>ANUAL</t>
  </si>
  <si>
    <t>EJECUCION PORCENTUAL</t>
  </si>
  <si>
    <t xml:space="preserve"> I. Ingresos Corrientes</t>
  </si>
  <si>
    <t>GASTOS</t>
  </si>
  <si>
    <t xml:space="preserve"> I.   Gastos Corrientes</t>
  </si>
  <si>
    <t xml:space="preserve"> II     Gastos de Capital</t>
  </si>
  <si>
    <t>Resultados Presupuestarios</t>
  </si>
  <si>
    <t>UNIVERSIDAD TECNOLÓGICA DE PANAMÁ</t>
  </si>
  <si>
    <t>DIRECCIÓN NACIONAL DE PRESUPUESTO</t>
  </si>
  <si>
    <t>RECAUDACIÓN PRESUPUESTARIA SEGÚN GRUPO DE INGRESOS</t>
  </si>
  <si>
    <t>CODIFICACIÓN</t>
  </si>
  <si>
    <t>RECAUDACION</t>
  </si>
  <si>
    <t xml:space="preserve"> MODIFICADO</t>
  </si>
  <si>
    <t>MENSUAL</t>
  </si>
  <si>
    <t>ACUMULADO</t>
  </si>
  <si>
    <t>PORCENTUAL</t>
  </si>
  <si>
    <t>1.95.1</t>
  </si>
  <si>
    <t>1.95.1.2</t>
  </si>
  <si>
    <t xml:space="preserve">    1.  No Tributarios</t>
  </si>
  <si>
    <t>1.95.1.2.1</t>
  </si>
  <si>
    <t xml:space="preserve">      1.1  Renta de Activos</t>
  </si>
  <si>
    <t>1.95.1.2.1.4</t>
  </si>
  <si>
    <t xml:space="preserve">          1.1.1 Ing. por Vtas. de Servicios</t>
  </si>
  <si>
    <t>1.95.1.2.1.4.12</t>
  </si>
  <si>
    <t xml:space="preserve">              1.1.1.1 Lab. y C. Especializados.</t>
  </si>
  <si>
    <t>1.95.1.2.1.4.99</t>
  </si>
  <si>
    <t xml:space="preserve">              1.1.1.2 Otros Servicios-Autogestión.</t>
  </si>
  <si>
    <t>1.95.1.2.3</t>
  </si>
  <si>
    <t xml:space="preserve">    2.  Transferencias Corrientes</t>
  </si>
  <si>
    <t xml:space="preserve"> 1.95.1.2.3.1</t>
  </si>
  <si>
    <t xml:space="preserve">      2. 1  Gobierno Central</t>
  </si>
  <si>
    <t>1.95.2.3.1.07</t>
  </si>
  <si>
    <t xml:space="preserve">           2.1.1  Ministerio de Educación.</t>
  </si>
  <si>
    <t>1.95.1.2.4</t>
  </si>
  <si>
    <t>1.95.1.2.4.2.26</t>
  </si>
  <si>
    <t xml:space="preserve">      3.1 Tasas por Servicios</t>
  </si>
  <si>
    <t>1.95.1.2.4.1.24</t>
  </si>
  <si>
    <t xml:space="preserve">      3.2. Derechos</t>
  </si>
  <si>
    <t>1.95.1.2.4.1.97</t>
  </si>
  <si>
    <t xml:space="preserve">      3.3. Otros  -Biblioteca</t>
  </si>
  <si>
    <t>1.95.1.2.6</t>
  </si>
  <si>
    <t>1.95.1.2.6.1.99</t>
  </si>
  <si>
    <t xml:space="preserve">       4.1. Otros Ing. Varios</t>
  </si>
  <si>
    <t>1.95.2</t>
  </si>
  <si>
    <t>1.95.2.3</t>
  </si>
  <si>
    <t xml:space="preserve">    1. Otros Ingresos de Capital</t>
  </si>
  <si>
    <t>1.95.2.3.2</t>
  </si>
  <si>
    <t xml:space="preserve">      1.1  Transferencias de Capital</t>
  </si>
  <si>
    <t>1.95.2.3.2.1</t>
  </si>
  <si>
    <t xml:space="preserve">          1.1.1  Gobierno Central</t>
  </si>
  <si>
    <t>1.95.2.3.2.1.07</t>
  </si>
  <si>
    <t xml:space="preserve">             1.1.1.1 Ministerio de Educación</t>
  </si>
  <si>
    <t>1.95.2.4</t>
  </si>
  <si>
    <t xml:space="preserve">     2. Saldo en Caja y Banco</t>
  </si>
  <si>
    <t>1.95.2.4.1</t>
  </si>
  <si>
    <t xml:space="preserve">      2.1. Disponible en Caja y  Banco.</t>
  </si>
  <si>
    <t>1.95.2.4.1.2</t>
  </si>
  <si>
    <t xml:space="preserve">          2.1.1  Instituc. Descentralizadas</t>
  </si>
  <si>
    <t>1.95.2.4.1.2.01</t>
  </si>
  <si>
    <t xml:space="preserve">             2.1.1.1 Saldo de Capital</t>
  </si>
  <si>
    <t xml:space="preserve">   B. Transf. de Capital</t>
  </si>
  <si>
    <t xml:space="preserve">       Gobierno Central.</t>
  </si>
  <si>
    <t>RECAUDACIÓN PRESUPUESTARIA SEGÚN OBJETO DE INGRESOS</t>
  </si>
  <si>
    <t>ACUMULADA</t>
  </si>
  <si>
    <t>ABOLUTA</t>
  </si>
  <si>
    <t xml:space="preserve"> 1.2.1.4.12</t>
  </si>
  <si>
    <t xml:space="preserve"> 1.2.1.4.99</t>
  </si>
  <si>
    <t>1.2.4.1.24</t>
  </si>
  <si>
    <t>1.2.4.1.97</t>
  </si>
  <si>
    <t>1.2.4.2.26</t>
  </si>
  <si>
    <t>1.2.6.1.99</t>
  </si>
  <si>
    <t xml:space="preserve">   SALDO EN CAJA  (CORRIENTE)</t>
  </si>
  <si>
    <t>1.4.1.2.01</t>
  </si>
  <si>
    <t>2.4.1.2.01</t>
  </si>
  <si>
    <t>1.2.3.1.07</t>
  </si>
  <si>
    <t xml:space="preserve">   APORTE LIBRE</t>
  </si>
  <si>
    <t xml:space="preserve">   I.D.A.A.N.</t>
  </si>
  <si>
    <t>CONTRIBUCIÓN A LA S. S</t>
  </si>
  <si>
    <t>2.3.2.1.07</t>
  </si>
  <si>
    <t xml:space="preserve">                                    ,   </t>
  </si>
  <si>
    <t>}</t>
  </si>
  <si>
    <t>.</t>
  </si>
  <si>
    <t xml:space="preserve">  FLUJO PRESUPUESTARIO DE INGRESOS Y GASTOS</t>
  </si>
  <si>
    <t xml:space="preserve">   A. Ingresos Tributarios</t>
  </si>
  <si>
    <t xml:space="preserve">   B. Ingresos No Tributarios</t>
  </si>
  <si>
    <t xml:space="preserve">       1.Renta de Activos.</t>
  </si>
  <si>
    <t xml:space="preserve">       2. Transf. Corrientes</t>
  </si>
  <si>
    <t xml:space="preserve">       3. Tasas y Derechos</t>
  </si>
  <si>
    <t xml:space="preserve">       4. Ingresos Varios</t>
  </si>
  <si>
    <t xml:space="preserve">   A.  Saldo Inicial en Caja y Bco.</t>
  </si>
  <si>
    <t xml:space="preserve">   B.  Recursos del Crédito</t>
  </si>
  <si>
    <t xml:space="preserve">   C.  Otros Rec. de Capital</t>
  </si>
  <si>
    <t xml:space="preserve">        1. Transf. de Capital</t>
  </si>
  <si>
    <t xml:space="preserve">   D.   Menos S. Final en Caja</t>
  </si>
  <si>
    <t xml:space="preserve">      Total Final en Caja</t>
  </si>
  <si>
    <t xml:space="preserve">    A. Operaciòn</t>
  </si>
  <si>
    <t xml:space="preserve">        1.  Servicios Personales</t>
  </si>
  <si>
    <t xml:space="preserve">        2.  Serv. No Personales</t>
  </si>
  <si>
    <t xml:space="preserve">        3.  Materiales y Suministro</t>
  </si>
  <si>
    <t xml:space="preserve">        4.  Inversiones Fínancieras</t>
  </si>
  <si>
    <t xml:space="preserve">    B.  Transf. Corrientes</t>
  </si>
  <si>
    <t xml:space="preserve">      A.  Inversiones Fìsicas</t>
  </si>
  <si>
    <t xml:space="preserve">      B.  Inversiones Financieras</t>
  </si>
  <si>
    <t xml:space="preserve">      C   Transf. de Capital</t>
  </si>
  <si>
    <t xml:space="preserve">      D  Amortización de la Deuda.</t>
  </si>
  <si>
    <t xml:space="preserve">           Total de Gastos </t>
  </si>
  <si>
    <t xml:space="preserve"> BALANCE PRESUPUESTARIO ACUMULADO DE GASTO</t>
  </si>
  <si>
    <t xml:space="preserve">         P R E S U P U E S T O</t>
  </si>
  <si>
    <t xml:space="preserve">                T   O   T    A    L</t>
  </si>
  <si>
    <t xml:space="preserve">    I  Gastos Corrientes</t>
  </si>
  <si>
    <t xml:space="preserve">       A. Operación</t>
  </si>
  <si>
    <t xml:space="preserve">          I.  Servicios Personales</t>
  </si>
  <si>
    <t xml:space="preserve">          2.  Serv. No Personales</t>
  </si>
  <si>
    <t xml:space="preserve">          3.  Materiales y Suministro</t>
  </si>
  <si>
    <t xml:space="preserve">          4.  Inversiones Directas</t>
  </si>
  <si>
    <t xml:space="preserve">       B. Transferencias</t>
  </si>
  <si>
    <t xml:space="preserve">     </t>
  </si>
  <si>
    <t xml:space="preserve">         1.  Al Sector Público.</t>
  </si>
  <si>
    <t xml:space="preserve">               a. Gobierno Central</t>
  </si>
  <si>
    <t xml:space="preserve">               b. Ent. Descentral.</t>
  </si>
  <si>
    <t xml:space="preserve">               c. Empresas Pùblicas</t>
  </si>
  <si>
    <t xml:space="preserve">               d. Municipios</t>
  </si>
  <si>
    <t xml:space="preserve">           a. Gobierno Central</t>
  </si>
  <si>
    <t xml:space="preserve">           b. Entidades   Descent.ral. </t>
  </si>
  <si>
    <t xml:space="preserve">           c. Empresasa Públicas</t>
  </si>
  <si>
    <t xml:space="preserve">        2. Transferencias al Exterior</t>
  </si>
  <si>
    <t xml:space="preserve">       A.  Inversiones Físicas</t>
  </si>
  <si>
    <t xml:space="preserve">          I. Obras y Construcciones</t>
  </si>
  <si>
    <t xml:space="preserve">          2. Maquinaria y Equipo.</t>
  </si>
  <si>
    <t xml:space="preserve">          3. Investig. Y Transf. de Tec.</t>
  </si>
  <si>
    <t xml:space="preserve">CUADRO A-6A. EJECUCION PRESUPUESTARIA  DE FUNCIONAMIENTO </t>
  </si>
  <si>
    <t>O/G</t>
  </si>
  <si>
    <t>EJECUCIÓN</t>
  </si>
  <si>
    <t>DEVENGADO ACUMULADO</t>
  </si>
  <si>
    <t>PAGADO ACUMULADO</t>
  </si>
  <si>
    <t>EJECUCIÓN  PORCENTUAL</t>
  </si>
  <si>
    <t>COLUMNA SUMATORIA</t>
  </si>
  <si>
    <t>0</t>
  </si>
  <si>
    <t>SERVICIOS PERSONALES</t>
  </si>
  <si>
    <t>000</t>
  </si>
  <si>
    <t>SUELDOS FIJOS</t>
  </si>
  <si>
    <t>001</t>
  </si>
  <si>
    <t>002</t>
  </si>
  <si>
    <t>SUELDO PERSONAL TRANS.</t>
  </si>
  <si>
    <t>003</t>
  </si>
  <si>
    <t>CONTINGENTE</t>
  </si>
  <si>
    <t>010</t>
  </si>
  <si>
    <t xml:space="preserve">SOBRESUELDOS </t>
  </si>
  <si>
    <t>011</t>
  </si>
  <si>
    <t>SOBRESUELDO POR ANTIG.</t>
  </si>
  <si>
    <t>013</t>
  </si>
  <si>
    <t>SOBRESUELDOS POR JEF.</t>
  </si>
  <si>
    <t>019</t>
  </si>
  <si>
    <t>OTROS SOBRESUELDOS</t>
  </si>
  <si>
    <t>030</t>
  </si>
  <si>
    <t>GASTOS DE REPRES.</t>
  </si>
  <si>
    <t>050</t>
  </si>
  <si>
    <t>XIII MES</t>
  </si>
  <si>
    <t>070</t>
  </si>
  <si>
    <t>CONTRIBUC. A LA S.S.</t>
  </si>
  <si>
    <t>071</t>
  </si>
  <si>
    <t>C.P. SEG. SOCIAL</t>
  </si>
  <si>
    <t>072</t>
  </si>
  <si>
    <t>C.P. SEG. EDUCATIVO</t>
  </si>
  <si>
    <t>073</t>
  </si>
  <si>
    <t>C.P. RIESGO PROF.</t>
  </si>
  <si>
    <t>074</t>
  </si>
  <si>
    <t>C.P. FDO COMPLEM.</t>
  </si>
  <si>
    <t>080</t>
  </si>
  <si>
    <t>OTROS SERV. PERSONALES</t>
  </si>
  <si>
    <t>081</t>
  </si>
  <si>
    <t>GRATIFICACIÓN O AGUINALDO</t>
  </si>
  <si>
    <t>090</t>
  </si>
  <si>
    <t>CR.REC.POR S. PERSONAL</t>
  </si>
  <si>
    <t>091</t>
  </si>
  <si>
    <t>CRED.REC.POR SUELDO</t>
  </si>
  <si>
    <t>092</t>
  </si>
  <si>
    <t>CRED. REC. POR SOBRESURLDOS</t>
  </si>
  <si>
    <t>094</t>
  </si>
  <si>
    <t>CRED. REC. GASTOS E REPRES.</t>
  </si>
  <si>
    <t>096</t>
  </si>
  <si>
    <t>CRED.REC.POR DECIMO III</t>
  </si>
  <si>
    <t>CRE.REC.POR OTROS SERVICIOS ESP.</t>
  </si>
  <si>
    <t>099</t>
  </si>
  <si>
    <t>CRE.REC.POR CONT. SGURIDAD SOC.</t>
  </si>
  <si>
    <t>1</t>
  </si>
  <si>
    <t>SERV. NO PERSONALES</t>
  </si>
  <si>
    <t>ALQUILERES</t>
  </si>
  <si>
    <t>101</t>
  </si>
  <si>
    <t>DE EDIFICIOS</t>
  </si>
  <si>
    <t>102</t>
  </si>
  <si>
    <t>EQUIPO ELECTRONICO</t>
  </si>
  <si>
    <t>103</t>
  </si>
  <si>
    <t>EQUIPO DE OFICINA</t>
  </si>
  <si>
    <t>104</t>
  </si>
  <si>
    <t>ALQ. DE EQ. DE PROD.</t>
  </si>
  <si>
    <t>105</t>
  </si>
  <si>
    <t>ALQ. DE EQ. DE TRANSPORTE</t>
  </si>
  <si>
    <t>109</t>
  </si>
  <si>
    <t>OTROS ALQUILERES</t>
  </si>
  <si>
    <t>110</t>
  </si>
  <si>
    <t>SERVICIOS BASICOS</t>
  </si>
  <si>
    <t>111</t>
  </si>
  <si>
    <t>AGUA</t>
  </si>
  <si>
    <t>112</t>
  </si>
  <si>
    <t>ASEO</t>
  </si>
  <si>
    <t>113</t>
  </si>
  <si>
    <t>CORREO</t>
  </si>
  <si>
    <t>114</t>
  </si>
  <si>
    <t>ENERGIA ELECTRICA</t>
  </si>
  <si>
    <t>115</t>
  </si>
  <si>
    <t>TELECOMUNICACIONES</t>
  </si>
  <si>
    <t>SERVICIO TRASMISION DATOS</t>
  </si>
  <si>
    <t>SERVICIO DE TELEFONÍA CELULAR</t>
  </si>
  <si>
    <t>OTROS SERVICIOS BASICOS</t>
  </si>
  <si>
    <t>IMPRESOS Y ENCUADER.</t>
  </si>
  <si>
    <t>130</t>
  </si>
  <si>
    <t>INF.Y PUBLICIDAD</t>
  </si>
  <si>
    <t>131</t>
  </si>
  <si>
    <t>ANUNCIOS Y AVISOS</t>
  </si>
  <si>
    <t>132</t>
  </si>
  <si>
    <t>PROMOCION Y PUBLICIDAD</t>
  </si>
  <si>
    <t>140</t>
  </si>
  <si>
    <t>VIATICOS</t>
  </si>
  <si>
    <t>141</t>
  </si>
  <si>
    <t>DENTRO DEL PAIS</t>
  </si>
  <si>
    <t>142</t>
  </si>
  <si>
    <t>EN EL EXTERIOR</t>
  </si>
  <si>
    <t>A PERSONAS</t>
  </si>
  <si>
    <t>150</t>
  </si>
  <si>
    <t>TRANSPORTE</t>
  </si>
  <si>
    <t>151</t>
  </si>
  <si>
    <t>152</t>
  </si>
  <si>
    <t>DE OTRAS PERSONAS</t>
  </si>
  <si>
    <t>TRANSPORTE DE BIENES</t>
  </si>
  <si>
    <t>160</t>
  </si>
  <si>
    <t>S. COMERCIALES</t>
  </si>
  <si>
    <t>GASTOS BANCARIOS</t>
  </si>
  <si>
    <t>163</t>
  </si>
  <si>
    <t>GASTOS JUDICIALES</t>
  </si>
  <si>
    <t>164</t>
  </si>
  <si>
    <t>GASTOS DE SEGURO</t>
  </si>
  <si>
    <t>SERVICIOS ADUANEROS</t>
  </si>
  <si>
    <t>169</t>
  </si>
  <si>
    <t>OTROS SERVICIOS</t>
  </si>
  <si>
    <t>CONSULTORIAS Y SERV</t>
  </si>
  <si>
    <t xml:space="preserve">CONSULTORIAS </t>
  </si>
  <si>
    <t>172</t>
  </si>
  <si>
    <t>SERVICIOS ESPECIALES</t>
  </si>
  <si>
    <t>180</t>
  </si>
  <si>
    <t>MANTO Y REPARACION</t>
  </si>
  <si>
    <t>MANT. Y REPARACION  EDIF.</t>
  </si>
  <si>
    <t>182</t>
  </si>
  <si>
    <t>MANT. Y REPARACION MAQ. OTROS</t>
  </si>
  <si>
    <t>MANT. Y REPARACION  MOBILIARIOS</t>
  </si>
  <si>
    <t>MANT. Y REPARACION  OBRAS</t>
  </si>
  <si>
    <t>MANT. DE EQUIPOS DE COMP.</t>
  </si>
  <si>
    <t>OTROS MANTENIMIENTO</t>
  </si>
  <si>
    <t>CRED.REC. POR SERVICIOS NO PERS.</t>
  </si>
  <si>
    <t>CRED.REC.POR AlQUILERES</t>
  </si>
  <si>
    <t>CRED.REC.POR SERV. BÁSICOS</t>
  </si>
  <si>
    <t>CRED.REC.POR IMPRESIÓN Y ENC.</t>
  </si>
  <si>
    <t>CRED.REC.POR INFORMACIÓN Y PUB.</t>
  </si>
  <si>
    <t>CRED.REC.POR VIÁTICOS</t>
  </si>
  <si>
    <t>CRED.REC.POR TRANSP. PERSONAS</t>
  </si>
  <si>
    <t>CRED.REC.POR SERV. COMERCIALES</t>
  </si>
  <si>
    <t>CRED.REC.POR MANTO. Y REPARAC.</t>
  </si>
  <si>
    <t>2</t>
  </si>
  <si>
    <t>MATER.Y SUMINISTROS</t>
  </si>
  <si>
    <t>200</t>
  </si>
  <si>
    <t>ALIMENTOS Y BEBIDAS</t>
  </si>
  <si>
    <t>201</t>
  </si>
  <si>
    <t>PARA CONSUMO HUMANO</t>
  </si>
  <si>
    <t>203</t>
  </si>
  <si>
    <t>BEBIDAS</t>
  </si>
  <si>
    <t>210</t>
  </si>
  <si>
    <t>TEXTILES Y VESTUARIOS</t>
  </si>
  <si>
    <t>211</t>
  </si>
  <si>
    <t>ACABADO TEXTIL</t>
  </si>
  <si>
    <t>212</t>
  </si>
  <si>
    <t>CALZADOS</t>
  </si>
  <si>
    <t>213</t>
  </si>
  <si>
    <t>HILADOS Y TELAS</t>
  </si>
  <si>
    <t>214</t>
  </si>
  <si>
    <t>PRENDAS DE VESTIR</t>
  </si>
  <si>
    <t>219</t>
  </si>
  <si>
    <t>OTROS TEXTILES</t>
  </si>
  <si>
    <t>220</t>
  </si>
  <si>
    <t>COMBUSTIBLES Y LUB.</t>
  </si>
  <si>
    <t>221</t>
  </si>
  <si>
    <t>DIESEL</t>
  </si>
  <si>
    <t>GAS</t>
  </si>
  <si>
    <t>223</t>
  </si>
  <si>
    <t>GASOLINA</t>
  </si>
  <si>
    <t>224</t>
  </si>
  <si>
    <t>LUBRICANTES</t>
  </si>
  <si>
    <t>OTROS COMBUSTIBLES</t>
  </si>
  <si>
    <t>230</t>
  </si>
  <si>
    <t>PROD. DE PAPEL</t>
  </si>
  <si>
    <t>231</t>
  </si>
  <si>
    <t>IMPRESOS</t>
  </si>
  <si>
    <t>232</t>
  </si>
  <si>
    <t>PAPELERIA</t>
  </si>
  <si>
    <t>239</t>
  </si>
  <si>
    <t>OTROS PROD. DE PAPEL</t>
  </si>
  <si>
    <t>240</t>
  </si>
  <si>
    <t>OTROS PROD. QUIMICOS</t>
  </si>
  <si>
    <t>241</t>
  </si>
  <si>
    <t>ABONOS Y FERTILIZANTES</t>
  </si>
  <si>
    <t>242</t>
  </si>
  <si>
    <t>INSECT. FUMIGANTES Y OTROS</t>
  </si>
  <si>
    <t>243</t>
  </si>
  <si>
    <t>PINTURAS</t>
  </si>
  <si>
    <t>244</t>
  </si>
  <si>
    <t>PRODUCTOS MEDICINALES</t>
  </si>
  <si>
    <t>249</t>
  </si>
  <si>
    <t>OTROS P. QUIMICOS</t>
  </si>
  <si>
    <t>250</t>
  </si>
  <si>
    <t>MAT. DE CONSTRUCCION</t>
  </si>
  <si>
    <t>252</t>
  </si>
  <si>
    <t>CEMENTO</t>
  </si>
  <si>
    <t>253</t>
  </si>
  <si>
    <t>MADERAS</t>
  </si>
  <si>
    <t>M. DE PLOMERIA</t>
  </si>
  <si>
    <t>255</t>
  </si>
  <si>
    <t>M. DE ELECTRICIDAD</t>
  </si>
  <si>
    <t>256</t>
  </si>
  <si>
    <t>M. METALICOS</t>
  </si>
  <si>
    <t>PIEDRA Y ARENA</t>
  </si>
  <si>
    <t>259</t>
  </si>
  <si>
    <t>OROS MATERIALES</t>
  </si>
  <si>
    <t>260</t>
  </si>
  <si>
    <t>PRODUCTOS VARIOS</t>
  </si>
  <si>
    <t>ARTICULOS PARA RECEPCION</t>
  </si>
  <si>
    <t>262</t>
  </si>
  <si>
    <t>HERRAMIENTAS  E INSTRUMENTOS</t>
  </si>
  <si>
    <t>MAT. Y EQUIPO DE SEGURIDAD</t>
  </si>
  <si>
    <t>265</t>
  </si>
  <si>
    <t>MAT. Y SUMINISTROS DE COMP.</t>
  </si>
  <si>
    <t>269</t>
  </si>
  <si>
    <t>OTROS P. VARIOS</t>
  </si>
  <si>
    <t>270</t>
  </si>
  <si>
    <t>UTILES DE M. DIVERSOS</t>
  </si>
  <si>
    <t>271</t>
  </si>
  <si>
    <t>UTILES DE COCINA Y COMEDOR</t>
  </si>
  <si>
    <t>272</t>
  </si>
  <si>
    <t>UTILES DEPORTIVOS</t>
  </si>
  <si>
    <t>273</t>
  </si>
  <si>
    <t>274</t>
  </si>
  <si>
    <t>UTILES DE LABORATORIOS</t>
  </si>
  <si>
    <t>275</t>
  </si>
  <si>
    <t>INSTRUMENTOS MEDICOS</t>
  </si>
  <si>
    <t>ARTICULOS DE PROTESIS Y REHA.</t>
  </si>
  <si>
    <t>279</t>
  </si>
  <si>
    <t>OTROS U. Y MATERIALES</t>
  </si>
  <si>
    <t>280</t>
  </si>
  <si>
    <t>REPUESTOS</t>
  </si>
  <si>
    <t>CR.REC.POR MAT. Y SUM.</t>
  </si>
  <si>
    <t>CR.REC. POR ALIMENTOS</t>
  </si>
  <si>
    <t>CD.REC. TEXTILES Y VESTUARIOS</t>
  </si>
  <si>
    <t>CD.REC. COMB. Y LUB.</t>
  </si>
  <si>
    <t>CD.REC. PRODUCTO DE PAPEL</t>
  </si>
  <si>
    <t>CR.REC.PROD. QUIMICOS Y CONEXOS</t>
  </si>
  <si>
    <t>CD.REC.POR MATERIALES CONST.</t>
  </si>
  <si>
    <t>CD.REC. PROD. VARIOS</t>
  </si>
  <si>
    <t>CRED.REC.UTILES Y MAT.</t>
  </si>
  <si>
    <t>CRED.REC.POR REPUESTOS</t>
  </si>
  <si>
    <t>INV. FINANCIERAS</t>
  </si>
  <si>
    <t>COMPRA DE EXISTENCIA</t>
  </si>
  <si>
    <t>OTRAS EXISTENCIAS</t>
  </si>
  <si>
    <t>CR. REC. INVERSIONES FIN.</t>
  </si>
  <si>
    <t>CR. REC.  COMPRA EXISTENCIA</t>
  </si>
  <si>
    <t>6</t>
  </si>
  <si>
    <t>TRANSFERENCIAS CORR.</t>
  </si>
  <si>
    <t>600</t>
  </si>
  <si>
    <t>PENSIONES Y JUBILACIONES</t>
  </si>
  <si>
    <t>609</t>
  </si>
  <si>
    <t>OTRAS PENSIONES Y JUBILACIONES</t>
  </si>
  <si>
    <t>610</t>
  </si>
  <si>
    <t>DONATIVOS A PERSONAS</t>
  </si>
  <si>
    <t>INDEMNIZACIONES LABORALES</t>
  </si>
  <si>
    <t>INDEMNIZ. ESPECIALES</t>
  </si>
  <si>
    <t>INDEMNIZ. POR RETIRO VOL.</t>
  </si>
  <si>
    <t>OTRAS TRANSFERENCIAS</t>
  </si>
  <si>
    <t>BECAS DE ESTUDIO</t>
  </si>
  <si>
    <t>ADIEST. Y ESTUDIOS</t>
  </si>
  <si>
    <t>OTRAS BECAS</t>
  </si>
  <si>
    <t>TRANSF. CORRIENTES A INST. PUB.</t>
  </si>
  <si>
    <t>AL GOBIERNO CENTRAL</t>
  </si>
  <si>
    <t>660</t>
  </si>
  <si>
    <t>TRANSF. AL EXTERIOR</t>
  </si>
  <si>
    <t>CUOTA  ORG. CENTROAM.</t>
  </si>
  <si>
    <t>663</t>
  </si>
  <si>
    <t>CUOTA  ORG. INTERAM.</t>
  </si>
  <si>
    <t>664</t>
  </si>
  <si>
    <t>CUOTA A ORG. MUNDIALES</t>
  </si>
  <si>
    <t>CRED. REC. POR TRANSF.COM</t>
  </si>
  <si>
    <t>CR. REC.TRASNF. CORRIENTES</t>
  </si>
  <si>
    <t>CR. REC.P'OR BECAS DE ESTUDIOS</t>
  </si>
  <si>
    <t>CR. REC.TRASNF. EXTERIOR</t>
  </si>
  <si>
    <t>TOTAL FUNCIONAMIENTO</t>
  </si>
  <si>
    <t>P</t>
  </si>
  <si>
    <t xml:space="preserve">       T   O  T   A     L</t>
  </si>
  <si>
    <t>SECRETARIA GENERAL</t>
  </si>
  <si>
    <t>ADMON DE LA EDUC.SUPERIOR</t>
  </si>
  <si>
    <t>DOCENCIA CENTRAL</t>
  </si>
  <si>
    <t>DOCENCIA REGIONAL</t>
  </si>
  <si>
    <t>3</t>
  </si>
  <si>
    <t xml:space="preserve">COMPROMISO PRESUPUESTARIO DE INVERSIONES </t>
  </si>
  <si>
    <t>PROGRAMAS-PROYECTOS</t>
  </si>
  <si>
    <t>PROGRAMA DE CONSTRUCCIONES</t>
  </si>
  <si>
    <t>MANTENIMIENTO PREVENTIVO Y CORRECTIVO DE LA INFRAESTRUCTURA FISICA Y PATRIMONIAL DE LA UTP A NIVEL NACIONAL.</t>
  </si>
  <si>
    <t>REHABILITACIÓN DE LOS ESTACIONAMIENTOS DEL CENTRO REGIONAL CHIRIQUÍ</t>
  </si>
  <si>
    <t>CONSTRUCCIÓN II ETAPA DE EDIFICIO DE AULAS  DE PANAMA OESTE</t>
  </si>
  <si>
    <t>CONSTRUCCIÓN DE EDIFICIO DE FACILIDADES ESTUDIANTILES Y CAFETERIA COLÓN</t>
  </si>
  <si>
    <t>REPARACIÓN DEL EDIFICIO 70 Y TALLER DE METAL MECANICA DE COLÓN</t>
  </si>
  <si>
    <t>PROGRAMA DE MOBILIARIO</t>
  </si>
  <si>
    <t>MEJORAMIENTO LABORATORIOS FACULTADES Y CENTROS REGIONALES</t>
  </si>
  <si>
    <t>MEJORAMIENTO DE LA INFRAESTRUCTURA TECNOLÓGICA DE LA UTP</t>
  </si>
  <si>
    <t>IMPLEMENTACIÓN DE LA MOVILIDAD ELECTRICA EN LA UTP</t>
  </si>
  <si>
    <t>FORTALECIMIENTO DE LA GESTIÓN ADMINISTRATIVA DE LA UTP</t>
  </si>
  <si>
    <t>MEJORAMIENTO DE LOS LABORATORIOS DE LA FAC. DE ING. MECÁNICA UTP</t>
  </si>
  <si>
    <t>MEJORAMIENTO DEL CENTRO DE DATOS DE LA UTP</t>
  </si>
  <si>
    <t>EQUIPAMIENTO DE LABORATORIO DE SUELDOS Y MATERIALES (LASYMA)</t>
  </si>
  <si>
    <t>EQUIPAMIENTO DE LABORATORIO ACADÉMICOS C.REG. DE BOCAS DEL TORO</t>
  </si>
  <si>
    <t>HABILITACIÓN DEL LABORATORIO DE ANÁLISIS INDUSTRIALES Y CIENCIA (LABAICA</t>
  </si>
  <si>
    <t>HABILITACIÓN DE LABORATORIOS DE DOCENCIA PARA EL CENTRO CITT</t>
  </si>
  <si>
    <t>FORTALECIMIENTO DE CAPACIDADES DEL LABORATORIO DE BIOSÓLIDOS</t>
  </si>
  <si>
    <t>MEJORAMIENTO DEL LABORATORIO DE SUELOS Y MAT. C.REG. CHIRIQUÍ</t>
  </si>
  <si>
    <t>MEJORAMIENTO DE LAB. ACADÉMICOS Y DE ÁREAS DOCENTES Y ADM. FII-UTP</t>
  </si>
  <si>
    <t>HABILITACIÓN DE LABORATORIOS DE QUÍMICA CAMPUS CENTRAL</t>
  </si>
  <si>
    <t>FORTALECIMIENTO DE LA GESTIÓN DE PATENTES TECNOLÓGICAS</t>
  </si>
  <si>
    <t>DESARROLLO DEL CENTRO DE ESTUDIOS MULTIDISCIPLINARIO EN CIENCIAS</t>
  </si>
  <si>
    <t>DESARROLLO DEL HUB DE FORMACIÓN PARA LA TRANSFORMACIÓN DIGITAL E INDUSTRA 4.0</t>
  </si>
  <si>
    <t>HABILITACIÓN DE INFRAEST. Y EQUIP. DE LAB. PARA EL IMPULSO DE INVESTIGACIÓN Y LA INNOVACIÓN.</t>
  </si>
  <si>
    <t>HABILITACIÓN DEL CENTRO NACIONALDE SUPERCOMPUTACIÓN PARA INV. DE DIFERENTES FENÓMENOS Y ESCALAS (IBEROGUN)-UTP</t>
  </si>
  <si>
    <t>HABILITACIÓN DE UN CENTRO DE TEC. AVANZADA PARA LA INDUSTRIA DE SEMICONDUCTORES DE PANAMA (C-TASC PANAMÁ)</t>
  </si>
  <si>
    <t>DESARROLLO DEL PLAN DE FORMACIÓN PARA DOCENTES INVESTIGADORES</t>
  </si>
  <si>
    <t xml:space="preserve"> COMPROMISO PRESUPUESTARIO DE INVERSIONES</t>
  </si>
  <si>
    <t>004</t>
  </si>
  <si>
    <t>PERSONAL TRANSITORIO</t>
  </si>
  <si>
    <t>DECIMO TERCER MES</t>
  </si>
  <si>
    <t>CONTRIBUCIÓN SEG. SOCIAL</t>
  </si>
  <si>
    <t>CUOTA PATRONAL DEL S. SOCIAL</t>
  </si>
  <si>
    <t>CUOTA PATRONAL DEL S. EDUCATIVO</t>
  </si>
  <si>
    <t>CUOTA PATRONAL DEL R. PROFESIONALES</t>
  </si>
  <si>
    <t>CUOTA PATRONAL F. COMPLEMENTARIO</t>
  </si>
  <si>
    <t>SERVICIOS BÁSICOS</t>
  </si>
  <si>
    <t>INFORMACIÓN Y PUBLICIDAD</t>
  </si>
  <si>
    <t>PRODUCTOS DE PAPEL Y CARTON</t>
  </si>
  <si>
    <t xml:space="preserve">MATERIALES DE CONSTRUCCION </t>
  </si>
  <si>
    <t>CRÉDITO REC.  MATER.Y SUMIN.</t>
  </si>
  <si>
    <t>MAQUINARIA Y EQUIPO</t>
  </si>
  <si>
    <t>EQUIPO DE LABORATORIO</t>
  </si>
  <si>
    <t>EQUIIPO MEDICO, LABORATORIOS</t>
  </si>
  <si>
    <t>MOBILIARIO DE OFICINA</t>
  </si>
  <si>
    <t>MAQ. Y EQUIPOS VARIOS</t>
  </si>
  <si>
    <t>EQUIPO DE COMPUTACION</t>
  </si>
  <si>
    <t>CRÉDITO REC. DE MAQ.Y EQUIPO</t>
  </si>
  <si>
    <t>CONSTRUCCIONES POR CONTRATO</t>
  </si>
  <si>
    <t>EDIFICACIONES</t>
  </si>
  <si>
    <t>TRANSFERECIAS CORR.</t>
  </si>
  <si>
    <t>BECAS DE ESTUDIOS</t>
  </si>
  <si>
    <t>TRANSF.CORRIENTES  INSTITUC.</t>
  </si>
  <si>
    <t>TOTAL INVERSION</t>
  </si>
  <si>
    <t>FINANCIAMIENTO PRESUPUESTARIO DE INGRESOS Y GASTOS</t>
  </si>
  <si>
    <t xml:space="preserve"> I.  Ingresos Corrientes</t>
  </si>
  <si>
    <t xml:space="preserve"> II. Gastos Corrientes</t>
  </si>
  <si>
    <t xml:space="preserve">        Gastos  de Operación ( 0-1-2-3-4)</t>
  </si>
  <si>
    <t xml:space="preserve">        Transferencias Corrientes  (6)</t>
  </si>
  <si>
    <t xml:space="preserve"> III. Ahorro  en Cta Corriente ( I-II )</t>
  </si>
  <si>
    <t xml:space="preserve"> IV.  Gasto  de Capital</t>
  </si>
  <si>
    <t xml:space="preserve">        Inversión Financiera</t>
  </si>
  <si>
    <t xml:space="preserve">        Transferencia de capital (7)</t>
  </si>
  <si>
    <t xml:space="preserve">        Amortización de la Deuda (8)</t>
  </si>
  <si>
    <t xml:space="preserve"> V.   Ingresos de Capital ( 2 )</t>
  </si>
  <si>
    <t xml:space="preserve">        Saldo Inicial en Caja y Banco</t>
  </si>
  <si>
    <t xml:space="preserve">        Recursos del Credito</t>
  </si>
  <si>
    <t xml:space="preserve">        Transferencias de Capital</t>
  </si>
  <si>
    <t xml:space="preserve">        Inversión Física  </t>
  </si>
  <si>
    <t>DESARROLLO DE CONSULTORÍAS PARA PROYECTOS DE ESTADO</t>
  </si>
  <si>
    <t xml:space="preserve">   LABORATORIOS Y C. ESPECIALIZADOS</t>
  </si>
  <si>
    <t>CONTENCIÓN</t>
  </si>
  <si>
    <t>PROMOCIÓN Y PUBLICIDAD</t>
  </si>
  <si>
    <t>VIATICOS DENTRO DEL PAÍS</t>
  </si>
  <si>
    <t>VIATICOS EN EL EXTERIOR</t>
  </si>
  <si>
    <t>SERVICIOS COMERCIALES</t>
  </si>
  <si>
    <t>OTROS SERVICIOS COMERCIALES Y FINANCIERO</t>
  </si>
  <si>
    <t>CONSULTORÍA y SERVICIOS ESPECIALES</t>
  </si>
  <si>
    <t>CONSULTORÍAS</t>
  </si>
  <si>
    <t>MANTENIMIENTO Y REPARACION</t>
  </si>
  <si>
    <t>MANT. Y REPARACIÓN DE EDIFICIOS</t>
  </si>
  <si>
    <t>MANT. Y REP.DE MAQUINARIA Y OTROS EQUIPOS</t>
  </si>
  <si>
    <t>MANT. Y REPARACIÓN DE OBRAS</t>
  </si>
  <si>
    <t>CRED. REC. POR SERVICIOS NO PERSONALES</t>
  </si>
  <si>
    <t>CRED.REC. POR SERV. COMERCIALES Y FINAN.</t>
  </si>
  <si>
    <t>MATERIALES Y SUMINISTROS</t>
  </si>
  <si>
    <t>OTROS PRODUCTS DE PAEL Y CARTON</t>
  </si>
  <si>
    <t>MATERIAL DE PLOMERÍA</t>
  </si>
  <si>
    <t>MATERIAL ELECTRICO</t>
  </si>
  <si>
    <t>MATERIAL METALICO</t>
  </si>
  <si>
    <t>OTROS MATERIALES</t>
  </si>
  <si>
    <t>HERRAMIENTAS E INSTRUMENTOS</t>
  </si>
  <si>
    <t>MATERIALES Y SUMINISTROS DE COMPUTACIÓN</t>
  </si>
  <si>
    <t>OTROS PRODUCTOS VARIOS</t>
  </si>
  <si>
    <t>UTILES DE LABORATORIO</t>
  </si>
  <si>
    <t>OTROS UTILES Y MATERIALES</t>
  </si>
  <si>
    <t>CRED.REC. POR PRODUCTOS QUIMICOS Y CONEXOS</t>
  </si>
  <si>
    <t>CRED.REC. POR MATERIALES PARA CONSTRUCCIÓN</t>
  </si>
  <si>
    <t>CRED.REC. POR PRODUCTOS VARIOS</t>
  </si>
  <si>
    <t>CRED. REC. POR UTILES Y MATERIALES DIVERSOS</t>
  </si>
  <si>
    <t>CRED. REC. POR RESPUESTOS</t>
  </si>
  <si>
    <t>MAQUINARIA.Y EQUIPO. DE PRODUCCION</t>
  </si>
  <si>
    <t>MAQUINARIA Y EQUIPO DE COMUNICACIONES</t>
  </si>
  <si>
    <t>MAQUINARIA Y EQUIPO AGROPECUARIO</t>
  </si>
  <si>
    <t>MAQUINARIA Y QUIPO INDUSTRIAL</t>
  </si>
  <si>
    <t>MAQUINARIA Y EQUIPO DE CONSTRUCCIÓN</t>
  </si>
  <si>
    <t>MAQUINARIA Y EQUIPO DE ENERGÍA</t>
  </si>
  <si>
    <t>MAQUINARIA Y EQUIPO DE ACUEDUCTOS Y RIESGO</t>
  </si>
  <si>
    <t>MAQUINARIA Y EQUIPO VARIOS</t>
  </si>
  <si>
    <t>MAQUINARIA Y EQUIPO DE  TRANSPORTE</t>
  </si>
  <si>
    <t>MAQ. Y EQUIPO DE TRANSPORTE TERRESTRE</t>
  </si>
  <si>
    <t>EQUIPO EDUCACIONAL Y RECREAITIVO</t>
  </si>
  <si>
    <t>EQUIPO MEDICO Y ODONTOLOGICO</t>
  </si>
  <si>
    <t>OTROS EQUIPOS MEDICOS DE LAB. Y SANITARIO</t>
  </si>
  <si>
    <t>CRED.REC. POR MAQ. Y EQUIPO DE PRODUCCIÓN</t>
  </si>
  <si>
    <t>CRED.REC. POR MAQ. Y EQUIPO DE TRANSPORTE</t>
  </si>
  <si>
    <t>CRED.RC. POR EQUIPO EDUCACIONAL Y RECREATIVO</t>
  </si>
  <si>
    <t>CRED. REC. POR MAQ.Y EQUIPOS VARIOS</t>
  </si>
  <si>
    <t>CRED. REC. POR EQUIPO DE COMPUTACIÓN</t>
  </si>
  <si>
    <t>EDIFICIOS PARA EDUCACIÓN</t>
  </si>
  <si>
    <t>INSTALACIONES</t>
  </si>
  <si>
    <t>INSTALACIONES DE LINEAS ELECTRICAS</t>
  </si>
  <si>
    <t>CRED. RECONOCIDOS POR CONSTRUCCIONES Y OBRAS</t>
  </si>
  <si>
    <t>CRED. REC. POR EDIFICACIONES</t>
  </si>
  <si>
    <t>BECAS DE POST GRADOS</t>
  </si>
  <si>
    <t xml:space="preserve">ADIESTRAMIENTO Y ESTUDIOS </t>
  </si>
  <si>
    <t>TRANSPORTE DE PERSONAS Y  BIENES</t>
  </si>
  <si>
    <t>TRANS. DE PERSONAS Y BIENES DE O PARA EL EXTERIOR</t>
  </si>
  <si>
    <t>MATERIALES Y EQUIPO DE SEGURIDAD PUBLICA</t>
  </si>
  <si>
    <t>MAQ. Y EQUIPO DE TALLERES Y ALMACENES</t>
  </si>
  <si>
    <t>OTROS MANTENIMIENTOS Y REPARACIONES</t>
  </si>
  <si>
    <t>CONSTRUCCIÓN DE DORMITORIOS ESTUDIANTILES EN LA UTP</t>
  </si>
  <si>
    <t>C0NTENCIÓN</t>
  </si>
  <si>
    <t>|</t>
  </si>
  <si>
    <t>OTROS SERVICIOS PERSONALES</t>
  </si>
  <si>
    <t>CRED. REC .POR CONSLTORÍAS</t>
  </si>
  <si>
    <t>UTILES DE ASEO Y LIMPIEZA</t>
  </si>
  <si>
    <t>UTILES Y MATERIALES DE OFICINA</t>
  </si>
  <si>
    <t>PRIMA DE ANTIGÜEDAD</t>
  </si>
  <si>
    <t xml:space="preserve">SALDO </t>
  </si>
  <si>
    <t xml:space="preserve">SALDO  </t>
  </si>
  <si>
    <t>CRED. REC, POR MOBILIARIO DE OFICINA</t>
  </si>
  <si>
    <t xml:space="preserve">ANUAL </t>
  </si>
  <si>
    <t>SECTOR EDUCATIVO 7%</t>
  </si>
  <si>
    <t>MEJORAMIENTO DE LABORATORIO ACADÉMICO DE LOS CENTROS REGIONALES</t>
  </si>
  <si>
    <t>MEJORAMIENTO DE LABORATORIO ACADÉMICO DEL CENTRO REGIONAL DE CHIRIQUÍ</t>
  </si>
  <si>
    <t xml:space="preserve">         4.Mejoramiento de Lab. Acad. De los C.R.</t>
  </si>
  <si>
    <t>Mejoramiento de Lab. Acad. de los C.R.</t>
  </si>
  <si>
    <t xml:space="preserve">    4. Ingresos por Fuentes Varias</t>
  </si>
  <si>
    <t>1.95.1.4.1.2.01</t>
  </si>
  <si>
    <t xml:space="preserve">    5. Saldo en Cajay Banco</t>
  </si>
  <si>
    <t>1.95.1.4.2</t>
  </si>
  <si>
    <t xml:space="preserve">        5.1 Diaponible Libre en Banco</t>
  </si>
  <si>
    <r>
      <t xml:space="preserve">            </t>
    </r>
    <r>
      <rPr>
        <sz val="10"/>
        <rFont val="Arial"/>
        <family val="2"/>
      </rPr>
      <t>5.1.1 . Salso Corriente</t>
    </r>
  </si>
  <si>
    <t xml:space="preserve">    II  Gastos de Capital</t>
  </si>
  <si>
    <t xml:space="preserve">   C.  Otros Ingresos</t>
  </si>
  <si>
    <t xml:space="preserve">       1. Saldo inicial en caja</t>
  </si>
  <si>
    <t>ASFALTO</t>
  </si>
  <si>
    <t xml:space="preserve"> OBJETO DE GASTO: AL 30 DE MARZO DE 2026</t>
  </si>
  <si>
    <t>AL 30 DE MARZO DE 2026 (En Balboas</t>
  </si>
  <si>
    <t>SERVICIOS DE TRANSMISIÒN DE DATOS</t>
  </si>
  <si>
    <t>SERVICIOS  COMERCIALES Y FINANCIEROS</t>
  </si>
  <si>
    <t>POR PROGRAMA  AL 30 DE MARZO DE 2026 (En Balboas)</t>
  </si>
  <si>
    <t>AL 30 DE MARZO  DE 2026 (En Balboas)</t>
  </si>
  <si>
    <t>AL 30 DE MARZO DE 2026 (En Balboas)</t>
  </si>
  <si>
    <t>FORTALECIMIENTO DE LAS SEDES REGIONALES</t>
  </si>
  <si>
    <t xml:space="preserve">CRED. REC. POR MANTENIMIENTO Y REPARACIÓN </t>
  </si>
  <si>
    <t xml:space="preserve">  A NIVEL DE OBJETO DE GASTO AL 30 DE MARZO DE 2026 (En Balboas)</t>
  </si>
  <si>
    <t>AL 30 DE MARZO DE 2026 (En Miles de Balboas)</t>
  </si>
  <si>
    <t>AL 30 DE  MARZO DE 2026 (En Balboas)</t>
  </si>
  <si>
    <t xml:space="preserve"> VI. Resultado Presupuestario (III -IV + V)</t>
  </si>
  <si>
    <t xml:space="preserve">  CODIFICACIÓN PRESUPUESTARIA</t>
  </si>
  <si>
    <t xml:space="preserve"> RECAUDACIÓN</t>
  </si>
  <si>
    <t>VARIACIÓN</t>
  </si>
  <si>
    <t xml:space="preserve">   MATRÍCULA-DERECHOS</t>
  </si>
  <si>
    <t>DIRECCIÓN Y ADMON  GENERAL</t>
  </si>
  <si>
    <t>DIRECCIÓN SUPERIOR</t>
  </si>
  <si>
    <t>PLANIFICACIÓN UNIVERSITARIA</t>
  </si>
  <si>
    <t>ADMINISTRACIÓN GENERAL</t>
  </si>
  <si>
    <t>EDUC. SUPERIOR TECNÓLOGICA</t>
  </si>
  <si>
    <t>INV.POSTGRADO Y EXTENSIÓN</t>
  </si>
  <si>
    <t>CONSTRUCCIÓN II FASE DEL PROYECTO DEL CAMPUS CENTRAL</t>
  </si>
  <si>
    <t>INVESTIGACIÓN Y TRANSFERENCIA DE TECNOLOGÍA</t>
  </si>
  <si>
    <t xml:space="preserve">  EJECUCIÓN PRESUPUESTARIA SEGÚN ESTRUCTURA PROGRAMÁTICA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</si>
</sst>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&quot; B/.&quot;#,##0.00\ ;&quot; B/.(&quot;#,##0.00\);&quot; B/.-&quot;#\ ;@\ "/>
    <numFmt numFmtId="165" formatCode="[$€]#,##0.00\ ;[$€]\(#,##0.00\);[$€]\-#\ ;@\ "/>
    <numFmt numFmtId="166" formatCode="0.00\ "/>
    <numFmt numFmtId="167" formatCode="#,##0.0\ ;\(#,###\)"/>
    <numFmt numFmtId="168" formatCode="0.0"/>
    <numFmt numFmtId="169" formatCode="#,##0\ ;[Red]\-#,##0\ "/>
    <numFmt numFmtId="170" formatCode="#,##0.0"/>
    <numFmt numFmtId="171" formatCode="#,##0\ ;\(#,##0\)"/>
    <numFmt numFmtId="172" formatCode="#,##0.000000000"/>
    <numFmt numFmtId="173" formatCode="#,##0.0\ ;\(#,##0.0\)"/>
    <numFmt numFmtId="174" formatCode="#,##0.0_);[Red]\(#,##0.0\)"/>
    <numFmt numFmtId="175" formatCode="dd/mmm"/>
  </numFmts>
  <fonts count="104">
    <font>
      <sz val="10"/>
      <name val="Arial"/>
      <charset val="134"/>
    </font>
    <font>
      <sz val="10"/>
      <color rgb="FFFF0000"/>
      <name val="Arial"/>
      <family val="2"/>
    </font>
    <font>
      <sz val="10"/>
      <color rgb="FF002060"/>
      <name val="Arial"/>
      <family val="2"/>
    </font>
    <font>
      <b/>
      <sz val="10"/>
      <color rgb="FF002060"/>
      <name val="Arial"/>
      <family val="2"/>
    </font>
    <font>
      <b/>
      <sz val="11"/>
      <color rgb="FF002060"/>
      <name val="Arial"/>
      <family val="2"/>
    </font>
    <font>
      <sz val="8"/>
      <color rgb="FF002060"/>
      <name val="Arial"/>
      <family val="2"/>
    </font>
    <font>
      <b/>
      <sz val="10"/>
      <name val="Arial"/>
      <family val="2"/>
    </font>
    <font>
      <sz val="10"/>
      <name val="Franklin Gothic Book"/>
      <family val="2"/>
    </font>
    <font>
      <b/>
      <sz val="12"/>
      <name val="Arial"/>
      <family val="2"/>
    </font>
    <font>
      <b/>
      <sz val="11"/>
      <name val="Arial"/>
      <family val="2"/>
    </font>
    <font>
      <sz val="9"/>
      <name val="Arial Black"/>
      <family val="2"/>
    </font>
    <font>
      <sz val="11"/>
      <name val="Arial"/>
      <family val="2"/>
    </font>
    <font>
      <sz val="11"/>
      <name val="Arial Black"/>
      <family val="2"/>
    </font>
    <font>
      <b/>
      <sz val="11"/>
      <name val="Arial Black"/>
      <family val="2"/>
    </font>
    <font>
      <sz val="9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sz val="9"/>
      <color indexed="18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10"/>
      <name val="Arial Black"/>
      <family val="2"/>
    </font>
    <font>
      <b/>
      <sz val="9"/>
      <name val="Franklin Gothic Book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7"/>
      <color indexed="18"/>
      <name val="Arial"/>
      <family val="2"/>
    </font>
    <font>
      <b/>
      <sz val="9"/>
      <color indexed="18"/>
      <name val="Arial"/>
      <family val="2"/>
    </font>
    <font>
      <sz val="10"/>
      <color indexed="18"/>
      <name val="Arial"/>
      <family val="2"/>
    </font>
    <font>
      <b/>
      <sz val="8"/>
      <color indexed="18"/>
      <name val="Arial"/>
      <family val="2"/>
    </font>
    <font>
      <b/>
      <sz val="8"/>
      <color indexed="18"/>
      <name val="Franklin Gothic Book"/>
      <family val="2"/>
    </font>
    <font>
      <b/>
      <sz val="8"/>
      <name val="Arial"/>
      <family val="2"/>
    </font>
    <font>
      <sz val="9"/>
      <color indexed="8"/>
      <name val="Arial"/>
      <family val="2"/>
    </font>
    <font>
      <b/>
      <sz val="8"/>
      <name val="Franklin Gothic Book"/>
      <family val="2"/>
    </font>
    <font>
      <sz val="12"/>
      <name val="Arial"/>
      <family val="2"/>
    </font>
    <font>
      <sz val="12"/>
      <color theme="1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b/>
      <u/>
      <sz val="12"/>
      <name val="Arial"/>
      <family val="2"/>
    </font>
    <font>
      <b/>
      <i/>
      <sz val="10"/>
      <name val="Arial"/>
      <family val="2"/>
    </font>
    <font>
      <b/>
      <sz val="10.5"/>
      <name val="Arial"/>
      <family val="2"/>
    </font>
    <font>
      <sz val="9"/>
      <color rgb="FF00206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9"/>
      <color rgb="FF002060"/>
      <name val="Arial"/>
      <family val="2"/>
    </font>
    <font>
      <sz val="8"/>
      <color rgb="FFFF0000"/>
      <name val="Arial"/>
      <family val="2"/>
    </font>
    <font>
      <b/>
      <sz val="12"/>
      <color rgb="FF002060"/>
      <name val="Georgia"/>
      <family val="1"/>
    </font>
    <font>
      <sz val="12"/>
      <color rgb="FF002060"/>
      <name val="Georgia"/>
      <family val="1"/>
    </font>
    <font>
      <sz val="10.5"/>
      <name val="Arial"/>
      <family val="2"/>
    </font>
    <font>
      <sz val="10.5"/>
      <color theme="1"/>
      <name val="Arial"/>
      <family val="2"/>
    </font>
    <font>
      <b/>
      <sz val="10.5"/>
      <color theme="1"/>
      <name val="Arial"/>
      <family val="2"/>
    </font>
    <font>
      <sz val="10.5"/>
      <name val="Arial Black"/>
      <family val="2"/>
    </font>
    <font>
      <i/>
      <sz val="10.5"/>
      <name val="Arial Black"/>
      <family val="2"/>
    </font>
    <font>
      <sz val="10"/>
      <name val="Arial"/>
      <family val="2"/>
    </font>
    <font>
      <sz val="9"/>
      <color rgb="FF000099"/>
      <name val="Arial"/>
      <family val="2"/>
    </font>
    <font>
      <b/>
      <sz val="12"/>
      <color rgb="FF002060"/>
      <name val="Arial"/>
      <family val="2"/>
    </font>
    <font>
      <sz val="10"/>
      <color theme="3" tint="-0.499984740745262"/>
      <name val="Arial"/>
      <family val="2"/>
    </font>
    <font>
      <b/>
      <sz val="8"/>
      <color rgb="FF0000FF"/>
      <name val="Arial"/>
      <family val="2"/>
    </font>
    <font>
      <sz val="10.5"/>
      <color rgb="FF062948"/>
      <name val="Arial Black"/>
      <family val="2"/>
    </font>
    <font>
      <sz val="10.5"/>
      <color rgb="FF062948"/>
      <name val="Arial"/>
      <family val="2"/>
    </font>
    <font>
      <b/>
      <sz val="10.5"/>
      <color rgb="FFFF0000"/>
      <name val="Arial"/>
      <family val="2"/>
    </font>
    <font>
      <sz val="10.5"/>
      <color rgb="FFFF0000"/>
      <name val="Arial"/>
      <family val="2"/>
    </font>
    <font>
      <sz val="10.5"/>
      <color rgb="FF002060"/>
      <name val="Arial"/>
      <family val="2"/>
    </font>
    <font>
      <sz val="10.5"/>
      <color rgb="FF002060"/>
      <name val="Arial Black"/>
      <family val="2"/>
    </font>
    <font>
      <b/>
      <sz val="10.5"/>
      <color rgb="FF00206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39"/>
      <name val="Arial"/>
      <family val="2"/>
    </font>
    <font>
      <sz val="10"/>
      <color theme="1"/>
      <name val="Arial"/>
      <family val="2"/>
    </font>
    <font>
      <b/>
      <i/>
      <sz val="10"/>
      <color rgb="FF002060"/>
      <name val="Arial"/>
      <family val="2"/>
    </font>
    <font>
      <b/>
      <sz val="10"/>
      <color indexed="39"/>
      <name val="Arial"/>
      <family val="2"/>
    </font>
    <font>
      <b/>
      <sz val="11"/>
      <color rgb="FF000000"/>
      <name val="Arial"/>
      <family val="2"/>
    </font>
    <font>
      <sz val="10"/>
      <color rgb="FF000066"/>
      <name val="Arial"/>
      <family val="2"/>
    </font>
    <font>
      <b/>
      <sz val="10"/>
      <name val="Arial Rounded MT Bold"/>
      <family val="2"/>
    </font>
    <font>
      <sz val="10"/>
      <name val="Arial Rounded MT Bold"/>
      <family val="2"/>
    </font>
    <font>
      <b/>
      <u/>
      <sz val="10"/>
      <name val="Arial Rounded MT Bold"/>
      <family val="2"/>
    </font>
    <font>
      <b/>
      <u/>
      <sz val="11"/>
      <name val="Arial"/>
      <family val="2"/>
    </font>
    <font>
      <sz val="10"/>
      <name val="Arial"/>
      <family val="2"/>
    </font>
    <font>
      <b/>
      <sz val="12"/>
      <color rgb="FF002060"/>
      <name val="Georgia"/>
      <family val="1"/>
    </font>
    <font>
      <sz val="12"/>
      <color rgb="FF002060"/>
      <name val="Georgia"/>
      <family val="1"/>
    </font>
    <font>
      <b/>
      <sz val="12"/>
      <name val="Arial"/>
      <family val="2"/>
    </font>
    <font>
      <b/>
      <sz val="12"/>
      <color rgb="FF002060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0.5"/>
      <name val="Arial"/>
      <family val="2"/>
    </font>
    <font>
      <sz val="10.5"/>
      <name val="Arial Black"/>
      <family val="2"/>
    </font>
    <font>
      <sz val="10.5"/>
      <name val="Arial"/>
      <family val="2"/>
    </font>
    <font>
      <i/>
      <sz val="10.5"/>
      <name val="Arial Black"/>
      <family val="2"/>
    </font>
    <font>
      <b/>
      <sz val="10"/>
      <color rgb="FF002060"/>
      <name val="Arial"/>
      <family val="2"/>
    </font>
    <font>
      <sz val="10"/>
      <color rgb="FF002060"/>
      <name val="Arial"/>
      <family val="2"/>
    </font>
    <font>
      <b/>
      <sz val="10"/>
      <color rgb="FF062948"/>
      <name val="Arial"/>
      <family val="2"/>
    </font>
    <font>
      <sz val="10"/>
      <color theme="3" tint="-0.499984740745262"/>
      <name val="Arial"/>
      <family val="2"/>
    </font>
    <font>
      <sz val="10.5"/>
      <color theme="1"/>
      <name val="Arial Black"/>
      <family val="2"/>
    </font>
    <font>
      <b/>
      <sz val="11"/>
      <color theme="1"/>
      <name val="Arial"/>
      <family val="2"/>
    </font>
    <font>
      <sz val="9"/>
      <name val="Calibri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sz val="12"/>
      <color indexed="39"/>
      <name val="Arial"/>
      <family val="2"/>
    </font>
    <font>
      <b/>
      <sz val="10"/>
      <color rgb="FF0000CC"/>
      <name val="Arial"/>
      <family val="2"/>
    </font>
    <font>
      <sz val="10"/>
      <color rgb="FF0000CC"/>
      <name val="Arial"/>
      <family val="2"/>
    </font>
    <font>
      <b/>
      <sz val="11"/>
      <color rgb="FF0066CC"/>
      <name val="Arial"/>
      <family val="2"/>
    </font>
    <font>
      <sz val="10"/>
      <color rgb="FF0066CC"/>
      <name val="Arial"/>
      <family val="2"/>
    </font>
    <font>
      <i/>
      <sz val="10.5"/>
      <color theme="1"/>
      <name val="Arial Black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indexed="3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indexed="64"/>
      </patternFill>
    </fill>
  </fills>
  <borders count="177">
    <border>
      <left/>
      <right/>
      <top/>
      <bottom/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theme="3" tint="-0.4999847407452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rgb="FF000066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rgb="FF002060"/>
      </right>
      <top style="thin">
        <color auto="1"/>
      </top>
      <bottom/>
      <diagonal/>
    </border>
    <border>
      <left style="thin">
        <color rgb="FF002060"/>
      </left>
      <right style="thin">
        <color rgb="FF002060"/>
      </right>
      <top style="thin">
        <color auto="1"/>
      </top>
      <bottom/>
      <diagonal/>
    </border>
    <border>
      <left style="thin">
        <color rgb="FF002060"/>
      </left>
      <right/>
      <top style="thin">
        <color auto="1"/>
      </top>
      <bottom style="thin">
        <color auto="1"/>
      </bottom>
      <diagonal/>
    </border>
    <border>
      <left/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 style="thin">
        <color auto="1"/>
      </bottom>
      <diagonal/>
    </border>
    <border>
      <left/>
      <right style="thin">
        <color rgb="FF002060"/>
      </right>
      <top/>
      <bottom style="thin">
        <color auto="1"/>
      </bottom>
      <diagonal/>
    </border>
    <border>
      <left/>
      <right style="thin">
        <color rgb="FF002060"/>
      </right>
      <top style="thin">
        <color auto="1"/>
      </top>
      <bottom style="thin">
        <color auto="1"/>
      </bottom>
      <diagonal/>
    </border>
    <border>
      <left style="thin">
        <color rgb="FF002060"/>
      </left>
      <right style="thin">
        <color rgb="FF002060"/>
      </right>
      <top style="thin">
        <color auto="1"/>
      </top>
      <bottom style="thin">
        <color auto="1"/>
      </bottom>
      <diagonal/>
    </border>
    <border>
      <left/>
      <right style="thin">
        <color rgb="FF002060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rgb="FF002060"/>
      </left>
      <right style="thin">
        <color rgb="FF002060"/>
      </right>
      <top style="thin">
        <color theme="3" tint="-0.499984740745262"/>
      </top>
      <bottom style="thin">
        <color theme="3" tint="-0.499984740745262"/>
      </bottom>
      <diagonal/>
    </border>
    <border>
      <left/>
      <right style="thin">
        <color rgb="FF002060"/>
      </right>
      <top style="thin">
        <color theme="3" tint="-0.499984740745262"/>
      </top>
      <bottom style="thin">
        <color auto="1"/>
      </bottom>
      <diagonal/>
    </border>
    <border>
      <left style="thin">
        <color rgb="FF002060"/>
      </left>
      <right style="thin">
        <color rgb="FF002060"/>
      </right>
      <top style="thin">
        <color theme="3" tint="-0.499984740745262"/>
      </top>
      <bottom style="thin">
        <color auto="1"/>
      </bottom>
      <diagonal/>
    </border>
    <border>
      <left style="thin">
        <color rgb="FF002060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002060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2060"/>
      </left>
      <right/>
      <top/>
      <bottom/>
      <diagonal/>
    </border>
    <border>
      <left style="thin">
        <color rgb="FF002060"/>
      </left>
      <right/>
      <top style="thin">
        <color theme="3" tint="-0.499984740745262"/>
      </top>
      <bottom style="thin">
        <color theme="3" tint="-0.499984740745262"/>
      </bottom>
      <diagonal/>
    </border>
    <border>
      <left style="thin">
        <color rgb="FF002060"/>
      </left>
      <right/>
      <top style="thin">
        <color theme="3" tint="-0.499984740745262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66"/>
      </right>
      <top style="thin">
        <color auto="1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/>
      <bottom style="thin">
        <color auto="1"/>
      </bottom>
      <diagonal/>
    </border>
    <border>
      <left style="thin">
        <color rgb="FF000066"/>
      </left>
      <right style="thin">
        <color rgb="FF000066"/>
      </right>
      <top style="thin">
        <color auto="1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/>
      <bottom/>
      <diagonal/>
    </border>
    <border>
      <left/>
      <right style="thin">
        <color theme="3" tint="-0.499984740745262"/>
      </right>
      <top/>
      <bottom/>
      <diagonal/>
    </border>
    <border>
      <left/>
      <right style="thin">
        <color theme="3" tint="-0.499984740745262"/>
      </right>
      <top style="thin">
        <color auto="1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auto="1"/>
      </top>
      <bottom style="thin">
        <color auto="1"/>
      </bottom>
      <diagonal/>
    </border>
    <border>
      <left/>
      <right style="thin">
        <color theme="3" tint="-0.499984740745262"/>
      </right>
      <top/>
      <bottom style="thin">
        <color auto="1"/>
      </bottom>
      <diagonal/>
    </border>
    <border>
      <left/>
      <right style="thin">
        <color rgb="FF000066"/>
      </right>
      <top/>
      <bottom/>
      <diagonal/>
    </border>
    <border>
      <left style="thin">
        <color theme="3" tint="-0.499984740745262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auto="1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auto="1"/>
      </left>
      <right style="thin">
        <color theme="3" tint="-0.499984740745262"/>
      </right>
      <top/>
      <bottom/>
      <diagonal/>
    </border>
    <border>
      <left style="thin">
        <color theme="3" tint="-0.499984740745262"/>
      </left>
      <right/>
      <top/>
      <bottom style="thin">
        <color auto="1"/>
      </bottom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 style="thin">
        <color indexed="62"/>
      </left>
      <right/>
      <top/>
      <bottom/>
      <diagonal/>
    </border>
    <border>
      <left style="thin">
        <color theme="3" tint="-0.499984740745262"/>
      </left>
      <right/>
      <top style="thin">
        <color theme="3" tint="-0.499984740745262"/>
      </top>
      <bottom style="thin">
        <color theme="3" tint="-0.499984740745262"/>
      </bottom>
      <diagonal/>
    </border>
    <border>
      <left style="thin">
        <color rgb="FF000066"/>
      </left>
      <right style="thin">
        <color rgb="FF000066"/>
      </right>
      <top/>
      <bottom style="medium">
        <color rgb="FF000066"/>
      </bottom>
      <diagonal/>
    </border>
    <border>
      <left style="thin">
        <color auto="1"/>
      </left>
      <right style="thin">
        <color indexed="62"/>
      </right>
      <top/>
      <bottom/>
      <diagonal/>
    </border>
    <border>
      <left style="thin">
        <color indexed="62"/>
      </left>
      <right style="thin">
        <color auto="1"/>
      </right>
      <top/>
      <bottom/>
      <diagonal/>
    </border>
    <border>
      <left style="thin">
        <color theme="3" tint="-0.24994659260841701"/>
      </left>
      <right style="thin">
        <color theme="3" tint="-0.24994659260841701"/>
      </right>
      <top/>
      <bottom/>
      <diagonal/>
    </border>
    <border>
      <left/>
      <right style="thin">
        <color theme="3" tint="-0.499984740745262"/>
      </right>
      <top style="medium">
        <color theme="3" tint="-0.499984740745262"/>
      </top>
      <bottom/>
      <diagonal/>
    </border>
    <border>
      <left style="thin">
        <color theme="3" tint="-0.499984740745262"/>
      </left>
      <right/>
      <top style="medium">
        <color theme="3" tint="-0.499984740745262"/>
      </top>
      <bottom style="thin">
        <color auto="1"/>
      </bottom>
      <diagonal/>
    </border>
    <border>
      <left/>
      <right/>
      <top style="medium">
        <color theme="3" tint="-0.499984740745262"/>
      </top>
      <bottom style="thin">
        <color auto="1"/>
      </bottom>
      <diagonal/>
    </border>
    <border>
      <left/>
      <right style="thin">
        <color theme="3" tint="-0.499984740745262"/>
      </right>
      <top style="medium">
        <color theme="3" tint="-0.499984740745262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indexed="18"/>
      </bottom>
      <diagonal/>
    </border>
    <border>
      <left style="thin">
        <color theme="3" tint="-0.499984740745262"/>
      </left>
      <right/>
      <top style="medium">
        <color theme="3" tint="-0.499984740745262"/>
      </top>
      <bottom/>
      <diagonal/>
    </border>
    <border>
      <left style="thin">
        <color theme="3" tint="-0.499984740745262"/>
      </left>
      <right/>
      <top/>
      <bottom style="thin">
        <color theme="3" tint="-0.499984740745262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theme="3" tint="-0.499984740745262"/>
      </bottom>
      <diagonal/>
    </border>
    <border>
      <left/>
      <right style="thin">
        <color rgb="FF000066"/>
      </right>
      <top style="medium">
        <color theme="3" tint="-0.499984740745262"/>
      </top>
      <bottom/>
      <diagonal/>
    </border>
    <border>
      <left style="thin">
        <color rgb="FF000066"/>
      </left>
      <right style="thin">
        <color rgb="FF000066"/>
      </right>
      <top style="medium">
        <color theme="3" tint="-0.499984740745262"/>
      </top>
      <bottom/>
      <diagonal/>
    </border>
    <border>
      <left style="thin">
        <color rgb="FF000066"/>
      </left>
      <right/>
      <top style="medium">
        <color theme="3" tint="-0.499984740745262"/>
      </top>
      <bottom style="thin">
        <color auto="1"/>
      </bottom>
      <diagonal/>
    </border>
    <border>
      <left/>
      <right style="thin">
        <color rgb="FF000066"/>
      </right>
      <top style="medium">
        <color theme="3" tint="-0.499984740745262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 style="medium">
        <color theme="3" tint="-0.499984740745262"/>
      </top>
      <bottom style="thin">
        <color theme="3" tint="-0.499984740745262"/>
      </bottom>
      <diagonal/>
    </border>
    <border>
      <left/>
      <right style="thin">
        <color rgb="FF000066"/>
      </right>
      <top/>
      <bottom style="medium">
        <color theme="3" tint="-0.499984740745262"/>
      </bottom>
      <diagonal/>
    </border>
    <border>
      <left style="thin">
        <color rgb="FF000066"/>
      </left>
      <right style="thin">
        <color rgb="FF000066"/>
      </right>
      <top/>
      <bottom style="medium">
        <color theme="3" tint="-0.499984740745262"/>
      </bottom>
      <diagonal/>
    </border>
    <border>
      <left/>
      <right style="thin">
        <color rgb="FF000066"/>
      </right>
      <top/>
      <bottom style="medium">
        <color rgb="FF000066"/>
      </bottom>
      <diagonal/>
    </border>
    <border>
      <left style="thin">
        <color rgb="FF000066"/>
      </left>
      <right/>
      <top/>
      <bottom/>
      <diagonal/>
    </border>
    <border>
      <left style="thin">
        <color rgb="FF000066"/>
      </left>
      <right/>
      <top style="medium">
        <color theme="3" tint="-0.499984740745262"/>
      </top>
      <bottom style="thin">
        <color theme="3" tint="-0.499984740745262"/>
      </bottom>
      <diagonal/>
    </border>
    <border>
      <left style="thin">
        <color rgb="FF000066"/>
      </left>
      <right/>
      <top style="thin">
        <color theme="3" tint="-0.499984740745262"/>
      </top>
      <bottom style="medium">
        <color theme="3" tint="-0.499984740745262"/>
      </bottom>
      <diagonal/>
    </border>
    <border>
      <left style="thin">
        <color rgb="FF000066"/>
      </left>
      <right/>
      <top style="medium">
        <color theme="3" tint="-0.499984740745262"/>
      </top>
      <bottom/>
      <diagonal/>
    </border>
    <border>
      <left style="thin">
        <color rgb="FF002060"/>
      </left>
      <right style="thin">
        <color auto="1"/>
      </right>
      <top/>
      <bottom/>
      <diagonal/>
    </border>
    <border>
      <left style="thin">
        <color rgb="FF000066"/>
      </left>
      <right/>
      <top/>
      <bottom style="medium">
        <color rgb="FF000066"/>
      </bottom>
      <diagonal/>
    </border>
    <border>
      <left style="thin">
        <color auto="1"/>
      </left>
      <right style="thin">
        <color rgb="FF002060"/>
      </right>
      <top/>
      <bottom style="thin">
        <color auto="1"/>
      </bottom>
      <diagonal/>
    </border>
    <border>
      <left style="thin">
        <color rgb="FF002060"/>
      </left>
      <right style="thin">
        <color rgb="FF002060"/>
      </right>
      <top/>
      <bottom style="thin">
        <color indexed="64"/>
      </bottom>
      <diagonal/>
    </border>
    <border>
      <left style="thin">
        <color rgb="FF000066"/>
      </left>
      <right style="thin">
        <color auto="1"/>
      </right>
      <top/>
      <bottom style="thin">
        <color auto="1"/>
      </bottom>
      <diagonal/>
    </border>
    <border>
      <left style="thin">
        <color rgb="FF002060"/>
      </left>
      <right style="thin">
        <color rgb="FF00206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2"/>
      </right>
      <top/>
      <bottom/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4"/>
      </top>
      <bottom/>
      <diagonal/>
    </border>
    <border>
      <left style="thin">
        <color indexed="64"/>
      </left>
      <right style="thin">
        <color theme="3" tint="-0.499984740745262"/>
      </right>
      <top/>
      <bottom/>
      <diagonal/>
    </border>
    <border>
      <left style="thin">
        <color indexed="64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theme="3" tint="-0.499984740745262"/>
      </left>
      <right/>
      <top style="medium">
        <color auto="1"/>
      </top>
      <bottom style="thin">
        <color auto="1"/>
      </bottom>
      <diagonal/>
    </border>
    <border>
      <left style="thin">
        <color theme="3" tint="-0.24994659260841701"/>
      </left>
      <right/>
      <top/>
      <bottom/>
      <diagonal/>
    </border>
    <border>
      <left style="thin">
        <color indexed="64"/>
      </left>
      <right style="thin">
        <color theme="3" tint="-0.2499465926084170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3" tint="-0.499984740745262"/>
      </right>
      <top/>
      <bottom style="thin">
        <color theme="3" tint="-0.499984740745262"/>
      </bottom>
      <diagonal/>
    </border>
    <border>
      <left/>
      <right/>
      <top/>
      <bottom style="thin">
        <color indexed="64"/>
      </bottom>
      <diagonal/>
    </border>
    <border>
      <left style="thin">
        <color rgb="FF002060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rgb="FF002060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rgb="FF000066"/>
      </left>
      <right style="thin">
        <color rgb="FF000066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66"/>
      </right>
      <top/>
      <bottom/>
      <diagonal/>
    </border>
    <border>
      <left style="thin">
        <color indexed="64"/>
      </left>
      <right style="thin">
        <color rgb="FF000066"/>
      </right>
      <top style="thin">
        <color indexed="64"/>
      </top>
      <bottom/>
      <diagonal/>
    </border>
    <border>
      <left style="thin">
        <color indexed="64"/>
      </left>
      <right style="thin">
        <color rgb="FF000066"/>
      </right>
      <top style="thin">
        <color indexed="64"/>
      </top>
      <bottom/>
      <diagonal/>
    </border>
    <border>
      <left style="thin">
        <color indexed="64"/>
      </left>
      <right style="thin">
        <color theme="3" tint="-0.499984740745262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theme="3" tint="-0.499984740745262"/>
      </left>
      <right/>
      <top/>
      <bottom style="thin">
        <color auto="1"/>
      </bottom>
      <diagonal/>
    </border>
    <border>
      <left style="thin">
        <color rgb="FF000066"/>
      </left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3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auto="1"/>
      </bottom>
      <diagonal/>
    </border>
    <border>
      <left style="thin">
        <color theme="1"/>
      </left>
      <right/>
      <top style="thin">
        <color theme="1"/>
      </top>
      <bottom style="thin">
        <color auto="1"/>
      </bottom>
      <diagonal/>
    </border>
    <border>
      <left/>
      <right style="thin">
        <color theme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3" tint="-0.499984740745262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/>
      <top style="thin">
        <color auto="1"/>
      </top>
      <bottom style="thin">
        <color auto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indexed="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indexed="62"/>
      </top>
      <bottom style="thin">
        <color indexed="62"/>
      </bottom>
      <diagonal/>
    </border>
    <border>
      <left style="thin">
        <color theme="1"/>
      </left>
      <right style="thin">
        <color theme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/>
      <bottom style="thin">
        <color indexed="18"/>
      </bottom>
      <diagonal/>
    </border>
    <border>
      <left style="thin">
        <color theme="1"/>
      </left>
      <right/>
      <top/>
      <bottom style="thin">
        <color theme="3" tint="-0.499984740745262"/>
      </bottom>
      <diagonal/>
    </border>
    <border>
      <left style="thin">
        <color theme="1"/>
      </left>
      <right style="thin">
        <color theme="1"/>
      </right>
      <top style="thin">
        <color theme="3" tint="-0.499984740745262"/>
      </top>
      <bottom/>
      <diagonal/>
    </border>
    <border>
      <left style="thin">
        <color theme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3" tint="-0.499984740745262"/>
      </right>
      <top style="thin">
        <color indexed="64"/>
      </top>
      <bottom style="thin">
        <color auto="1"/>
      </bottom>
      <diagonal/>
    </border>
    <border>
      <left/>
      <right style="thin">
        <color theme="3" tint="-0.499984740745262"/>
      </right>
      <top style="thin">
        <color indexed="64"/>
      </top>
      <bottom/>
      <diagonal/>
    </border>
    <border>
      <left style="thin">
        <color theme="3" tint="-0.499984740745262"/>
      </left>
      <right/>
      <top style="thin">
        <color indexed="64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auto="1"/>
      </top>
      <bottom style="thin">
        <color auto="1"/>
      </bottom>
      <diagonal/>
    </border>
    <border>
      <left style="thin">
        <color theme="3" tint="-0.499984740745262"/>
      </left>
      <right/>
      <top style="thin">
        <color indexed="64"/>
      </top>
      <bottom/>
      <diagonal/>
    </border>
    <border>
      <left style="thin">
        <color theme="3" tint="-0.499984740745262"/>
      </left>
      <right style="thin">
        <color theme="3" tint="-0.499984740745262"/>
      </right>
      <top style="thin">
        <color auto="1"/>
      </top>
      <bottom style="thin">
        <color indexed="62"/>
      </bottom>
      <diagonal/>
    </border>
    <border>
      <left style="thin">
        <color theme="3" tint="-0.499984740745262"/>
      </left>
      <right/>
      <top style="thin">
        <color auto="1"/>
      </top>
      <bottom style="medium">
        <color indexed="64"/>
      </bottom>
      <diagonal/>
    </border>
    <border>
      <left/>
      <right style="thin">
        <color theme="3" tint="-0.499984740745262"/>
      </right>
      <top style="thin">
        <color auto="1"/>
      </top>
      <bottom style="medium">
        <color indexed="64"/>
      </bottom>
      <diagonal/>
    </border>
    <border>
      <left style="thin">
        <color theme="3" tint="-0.499984740745262"/>
      </left>
      <right/>
      <top style="thin">
        <color auto="1"/>
      </top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2"/>
      </top>
      <bottom/>
      <diagonal/>
    </border>
    <border>
      <left style="thin">
        <color theme="3" tint="-0.499984740745262"/>
      </left>
      <right/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/>
      <top style="thin">
        <color indexed="62"/>
      </top>
      <bottom style="thin">
        <color auto="1"/>
      </bottom>
      <diagonal/>
    </border>
    <border>
      <left/>
      <right style="thin">
        <color theme="3" tint="-0.499984740745262"/>
      </right>
      <top/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indexed="62"/>
      </bottom>
      <diagonal/>
    </border>
    <border>
      <left style="thin">
        <color theme="3" tint="-0.499984740745262"/>
      </left>
      <right/>
      <top/>
      <bottom style="thin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2"/>
      </bottom>
      <diagonal/>
    </border>
    <border>
      <left style="thin">
        <color indexed="64"/>
      </left>
      <right style="thin">
        <color theme="3" tint="-0.499984740745262"/>
      </right>
      <top style="thin">
        <color auto="1"/>
      </top>
      <bottom style="thin">
        <color indexed="62"/>
      </bottom>
      <diagonal/>
    </border>
    <border>
      <left/>
      <right style="thin">
        <color theme="3" tint="-0.499984740745262"/>
      </right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/>
      <top style="thin">
        <color indexed="62"/>
      </top>
      <bottom style="thin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2"/>
      </top>
      <bottom style="thin">
        <color indexed="62"/>
      </bottom>
      <diagonal/>
    </border>
    <border>
      <left style="thin">
        <color indexed="64"/>
      </left>
      <right style="thin">
        <color theme="3" tint="-0.499984740745262"/>
      </right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4"/>
      </top>
      <bottom style="thin">
        <color indexed="62"/>
      </bottom>
      <diagonal/>
    </border>
    <border>
      <left style="medium">
        <color indexed="64"/>
      </left>
      <right style="thin">
        <color indexed="62"/>
      </right>
      <top style="thin">
        <color indexed="64"/>
      </top>
      <bottom style="thin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4"/>
      </top>
      <bottom style="thin">
        <color indexed="64"/>
      </bottom>
      <diagonal/>
    </border>
    <border>
      <left style="thin">
        <color indexed="62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2"/>
      </right>
      <top style="thin">
        <color indexed="64"/>
      </top>
      <bottom style="thin">
        <color indexed="64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2"/>
      </left>
      <right style="thin">
        <color indexed="62"/>
      </right>
      <top/>
      <bottom style="thin">
        <color auto="1"/>
      </bottom>
      <diagonal/>
    </border>
    <border>
      <left style="thin">
        <color indexed="62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2"/>
      </right>
      <top/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auto="1"/>
      </bottom>
      <diagonal/>
    </border>
    <border>
      <left/>
      <right style="thin">
        <color indexed="62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7">
    <xf numFmtId="0" fontId="0" fillId="0" borderId="0"/>
    <xf numFmtId="164" fontId="53" fillId="0" borderId="0" applyFill="0" applyBorder="0" applyAlignment="0" applyProtection="0"/>
    <xf numFmtId="165" fontId="53" fillId="0" borderId="0" applyFill="0" applyBorder="0" applyAlignment="0" applyProtection="0"/>
    <xf numFmtId="0" fontId="53" fillId="0" borderId="0"/>
    <xf numFmtId="0" fontId="53" fillId="0" borderId="0"/>
    <xf numFmtId="0" fontId="77" fillId="0" borderId="0"/>
    <xf numFmtId="0" fontId="53" fillId="0" borderId="0"/>
  </cellStyleXfs>
  <cellXfs count="935">
    <xf numFmtId="0" fontId="0" fillId="0" borderId="0" xfId="0"/>
    <xf numFmtId="3" fontId="0" fillId="0" borderId="0" xfId="0" applyNumberFormat="1"/>
    <xf numFmtId="3" fontId="1" fillId="0" borderId="0" xfId="0" applyNumberFormat="1" applyFont="1"/>
    <xf numFmtId="0" fontId="0" fillId="0" borderId="0" xfId="0" applyAlignment="1">
      <alignment horizontal="center"/>
    </xf>
    <xf numFmtId="0" fontId="2" fillId="0" borderId="0" xfId="0" applyFont="1"/>
    <xf numFmtId="0" fontId="0" fillId="0" borderId="5" xfId="0" applyBorder="1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horizontal="center"/>
    </xf>
    <xf numFmtId="0" fontId="10" fillId="0" borderId="0" xfId="0" applyFont="1"/>
    <xf numFmtId="3" fontId="9" fillId="0" borderId="23" xfId="0" applyNumberFormat="1" applyFont="1" applyBorder="1" applyAlignment="1">
      <alignment horizontal="left"/>
    </xf>
    <xf numFmtId="3" fontId="9" fillId="0" borderId="23" xfId="0" applyNumberFormat="1" applyFont="1" applyBorder="1"/>
    <xf numFmtId="3" fontId="9" fillId="0" borderId="19" xfId="0" applyNumberFormat="1" applyFont="1" applyBorder="1" applyAlignment="1">
      <alignment horizontal="left"/>
    </xf>
    <xf numFmtId="3" fontId="9" fillId="0" borderId="19" xfId="0" applyNumberFormat="1" applyFont="1" applyBorder="1"/>
    <xf numFmtId="3" fontId="11" fillId="0" borderId="19" xfId="0" applyNumberFormat="1" applyFont="1" applyBorder="1" applyAlignment="1">
      <alignment horizontal="left"/>
    </xf>
    <xf numFmtId="3" fontId="11" fillId="0" borderId="19" xfId="0" applyNumberFormat="1" applyFont="1" applyBorder="1"/>
    <xf numFmtId="3" fontId="12" fillId="0" borderId="19" xfId="0" applyNumberFormat="1" applyFont="1" applyBorder="1"/>
    <xf numFmtId="3" fontId="13" fillId="0" borderId="19" xfId="0" applyNumberFormat="1" applyFont="1" applyBorder="1"/>
    <xf numFmtId="3" fontId="9" fillId="0" borderId="25" xfId="0" applyNumberFormat="1" applyFont="1" applyBorder="1" applyAlignment="1">
      <alignment horizontal="left"/>
    </xf>
    <xf numFmtId="3" fontId="9" fillId="0" borderId="25" xfId="0" applyNumberFormat="1" applyFont="1" applyBorder="1"/>
    <xf numFmtId="3" fontId="9" fillId="0" borderId="27" xfId="0" applyNumberFormat="1" applyFont="1" applyBorder="1" applyAlignment="1">
      <alignment horizontal="left"/>
    </xf>
    <xf numFmtId="3" fontId="9" fillId="0" borderId="27" xfId="0" applyNumberFormat="1" applyFont="1" applyBorder="1"/>
    <xf numFmtId="3" fontId="9" fillId="0" borderId="23" xfId="0" applyNumberFormat="1" applyFont="1" applyBorder="1" applyAlignment="1">
      <alignment horizontal="center" vertical="center"/>
    </xf>
    <xf numFmtId="3" fontId="9" fillId="0" borderId="23" xfId="0" applyNumberFormat="1" applyFont="1" applyBorder="1" applyAlignment="1">
      <alignment vertical="center"/>
    </xf>
    <xf numFmtId="166" fontId="15" fillId="0" borderId="0" xfId="0" applyNumberFormat="1" applyFont="1" applyAlignment="1">
      <alignment horizontal="left"/>
    </xf>
    <xf numFmtId="3" fontId="16" fillId="0" borderId="0" xfId="0" applyNumberFormat="1" applyFont="1"/>
    <xf numFmtId="4" fontId="0" fillId="0" borderId="0" xfId="0" applyNumberFormat="1"/>
    <xf numFmtId="0" fontId="15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4" fillId="0" borderId="0" xfId="0" applyFont="1"/>
    <xf numFmtId="0" fontId="20" fillId="0" borderId="0" xfId="0" applyFont="1"/>
    <xf numFmtId="169" fontId="16" fillId="0" borderId="0" xfId="0" applyNumberFormat="1" applyFont="1"/>
    <xf numFmtId="168" fontId="21" fillId="0" borderId="0" xfId="0" applyNumberFormat="1" applyFont="1" applyAlignment="1">
      <alignment horizontal="right"/>
    </xf>
    <xf numFmtId="4" fontId="16" fillId="0" borderId="0" xfId="0" applyNumberFormat="1" applyFont="1"/>
    <xf numFmtId="4" fontId="18" fillId="0" borderId="0" xfId="0" applyNumberFormat="1" applyFont="1" applyAlignment="1">
      <alignment vertical="center"/>
    </xf>
    <xf numFmtId="4" fontId="19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4" fontId="22" fillId="0" borderId="0" xfId="0" applyNumberFormat="1" applyFont="1" applyAlignment="1">
      <alignment vertical="center"/>
    </xf>
    <xf numFmtId="4" fontId="23" fillId="0" borderId="0" xfId="0" applyNumberFormat="1" applyFont="1" applyAlignment="1">
      <alignment vertical="center"/>
    </xf>
    <xf numFmtId="0" fontId="26" fillId="0" borderId="0" xfId="0" applyFont="1"/>
    <xf numFmtId="0" fontId="24" fillId="0" borderId="0" xfId="0" applyFont="1"/>
    <xf numFmtId="169" fontId="27" fillId="0" borderId="0" xfId="0" applyNumberFormat="1" applyFont="1" applyAlignment="1">
      <alignment horizontal="center"/>
    </xf>
    <xf numFmtId="3" fontId="28" fillId="0" borderId="0" xfId="0" applyNumberFormat="1" applyFont="1" applyAlignment="1">
      <alignment horizontal="center"/>
    </xf>
    <xf numFmtId="3" fontId="29" fillId="0" borderId="0" xfId="0" applyNumberFormat="1" applyFont="1" applyAlignment="1">
      <alignment horizontal="center"/>
    </xf>
    <xf numFmtId="3" fontId="27" fillId="0" borderId="0" xfId="0" applyNumberFormat="1" applyFont="1" applyAlignment="1">
      <alignment horizontal="center"/>
    </xf>
    <xf numFmtId="3" fontId="31" fillId="0" borderId="0" xfId="0" applyNumberFormat="1" applyFont="1" applyAlignment="1">
      <alignment horizontal="center"/>
    </xf>
    <xf numFmtId="0" fontId="6" fillId="0" borderId="3" xfId="0" applyFont="1" applyBorder="1" applyAlignment="1">
      <alignment horizontal="center" vertical="center"/>
    </xf>
    <xf numFmtId="3" fontId="8" fillId="0" borderId="12" xfId="0" applyNumberFormat="1" applyFont="1" applyBorder="1"/>
    <xf numFmtId="3" fontId="32" fillId="0" borderId="4" xfId="0" applyNumberFormat="1" applyFont="1" applyBorder="1"/>
    <xf numFmtId="3" fontId="32" fillId="0" borderId="40" xfId="0" applyNumberFormat="1" applyFont="1" applyBorder="1"/>
    <xf numFmtId="4" fontId="32" fillId="0" borderId="40" xfId="0" applyNumberFormat="1" applyFont="1" applyBorder="1"/>
    <xf numFmtId="0" fontId="0" fillId="0" borderId="41" xfId="0" applyBorder="1" applyAlignment="1">
      <alignment horizontal="left" vertical="center" wrapText="1"/>
    </xf>
    <xf numFmtId="3" fontId="32" fillId="0" borderId="4" xfId="0" applyNumberFormat="1" applyFont="1" applyBorder="1" applyAlignment="1">
      <alignment vertical="center"/>
    </xf>
    <xf numFmtId="3" fontId="32" fillId="0" borderId="40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6" fillId="0" borderId="42" xfId="0" applyFont="1" applyBorder="1" applyAlignment="1">
      <alignment horizontal="center" vertical="center"/>
    </xf>
    <xf numFmtId="3" fontId="8" fillId="3" borderId="43" xfId="0" applyNumberFormat="1" applyFont="1" applyFill="1" applyBorder="1"/>
    <xf numFmtId="0" fontId="0" fillId="0" borderId="41" xfId="0" applyBorder="1" applyAlignment="1">
      <alignment wrapText="1"/>
    </xf>
    <xf numFmtId="3" fontId="32" fillId="3" borderId="4" xfId="0" applyNumberFormat="1" applyFont="1" applyFill="1" applyBorder="1"/>
    <xf numFmtId="3" fontId="32" fillId="3" borderId="40" xfId="0" applyNumberFormat="1" applyFont="1" applyFill="1" applyBorder="1"/>
    <xf numFmtId="3" fontId="32" fillId="3" borderId="0" xfId="0" applyNumberFormat="1" applyFont="1" applyFill="1"/>
    <xf numFmtId="0" fontId="0" fillId="0" borderId="31" xfId="0" applyBorder="1"/>
    <xf numFmtId="0" fontId="0" fillId="0" borderId="13" xfId="0" applyBorder="1"/>
    <xf numFmtId="0" fontId="0" fillId="0" borderId="29" xfId="0" applyBorder="1"/>
    <xf numFmtId="0" fontId="0" fillId="0" borderId="6" xfId="0" applyBorder="1"/>
    <xf numFmtId="3" fontId="33" fillId="0" borderId="0" xfId="0" applyNumberFormat="1" applyFont="1"/>
    <xf numFmtId="0" fontId="0" fillId="0" borderId="41" xfId="0" applyBorder="1" applyAlignment="1">
      <alignment vertical="center"/>
    </xf>
    <xf numFmtId="3" fontId="32" fillId="3" borderId="7" xfId="0" applyNumberFormat="1" applyFont="1" applyFill="1" applyBorder="1"/>
    <xf numFmtId="0" fontId="0" fillId="0" borderId="5" xfId="0" applyBorder="1" applyAlignment="1">
      <alignment horizontal="left" vertical="center" wrapText="1"/>
    </xf>
    <xf numFmtId="3" fontId="33" fillId="0" borderId="7" xfId="0" applyNumberFormat="1" applyFont="1" applyBorder="1"/>
    <xf numFmtId="0" fontId="14" fillId="0" borderId="0" xfId="0" applyFont="1"/>
    <xf numFmtId="0" fontId="16" fillId="0" borderId="0" xfId="0" applyFont="1" applyAlignment="1">
      <alignment horizontal="left" vertical="center" wrapText="1"/>
    </xf>
    <xf numFmtId="170" fontId="0" fillId="0" borderId="0" xfId="0" applyNumberFormat="1"/>
    <xf numFmtId="3" fontId="8" fillId="0" borderId="2" xfId="0" applyNumberFormat="1" applyFont="1" applyBorder="1"/>
    <xf numFmtId="3" fontId="32" fillId="0" borderId="0" xfId="0" applyNumberFormat="1" applyFont="1"/>
    <xf numFmtId="4" fontId="0" fillId="0" borderId="0" xfId="0" applyNumberFormat="1" applyAlignment="1">
      <alignment vertical="center"/>
    </xf>
    <xf numFmtId="3" fontId="2" fillId="0" borderId="0" xfId="0" applyNumberFormat="1" applyFont="1"/>
    <xf numFmtId="0" fontId="14" fillId="4" borderId="41" xfId="0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/>
    </xf>
    <xf numFmtId="0" fontId="16" fillId="0" borderId="41" xfId="0" applyFont="1" applyBorder="1"/>
    <xf numFmtId="0" fontId="6" fillId="0" borderId="4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4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36" fillId="0" borderId="41" xfId="0" applyFont="1" applyBorder="1" applyAlignment="1">
      <alignment horizontal="center"/>
    </xf>
    <xf numFmtId="0" fontId="16" fillId="0" borderId="4" xfId="0" applyFont="1" applyBorder="1" applyAlignment="1">
      <alignment horizontal="center" vertical="center"/>
    </xf>
    <xf numFmtId="0" fontId="14" fillId="0" borderId="4" xfId="0" applyFont="1" applyBorder="1"/>
    <xf numFmtId="3" fontId="0" fillId="0" borderId="4" xfId="0" applyNumberFormat="1" applyBorder="1" applyAlignment="1">
      <alignment horizontal="right"/>
    </xf>
    <xf numFmtId="0" fontId="0" fillId="0" borderId="41" xfId="0" applyBorder="1" applyAlignment="1">
      <alignment horizontal="right"/>
    </xf>
    <xf numFmtId="3" fontId="0" fillId="0" borderId="4" xfId="0" applyNumberFormat="1" applyBorder="1"/>
    <xf numFmtId="0" fontId="14" fillId="0" borderId="4" xfId="0" applyFont="1" applyBorder="1" applyAlignment="1">
      <alignment horizontal="left"/>
    </xf>
    <xf numFmtId="3" fontId="6" fillId="0" borderId="4" xfId="0" applyNumberFormat="1" applyFont="1" applyBorder="1" applyAlignment="1">
      <alignment vertical="center"/>
    </xf>
    <xf numFmtId="0" fontId="6" fillId="0" borderId="41" xfId="0" applyFont="1" applyBorder="1" applyAlignment="1">
      <alignment horizontal="right"/>
    </xf>
    <xf numFmtId="49" fontId="0" fillId="0" borderId="41" xfId="0" applyNumberFormat="1" applyBorder="1" applyAlignment="1">
      <alignment horizontal="right"/>
    </xf>
    <xf numFmtId="49" fontId="6" fillId="0" borderId="41" xfId="0" applyNumberFormat="1" applyFont="1" applyBorder="1" applyAlignment="1">
      <alignment horizontal="right"/>
    </xf>
    <xf numFmtId="49" fontId="36" fillId="0" borderId="41" xfId="0" applyNumberFormat="1" applyFont="1" applyBorder="1" applyAlignment="1">
      <alignment horizontal="center"/>
    </xf>
    <xf numFmtId="49" fontId="6" fillId="0" borderId="44" xfId="0" applyNumberFormat="1" applyFont="1" applyBorder="1" applyAlignment="1">
      <alignment horizontal="right"/>
    </xf>
    <xf numFmtId="0" fontId="14" fillId="0" borderId="48" xfId="0" applyFont="1" applyBorder="1"/>
    <xf numFmtId="3" fontId="0" fillId="0" borderId="48" xfId="0" applyNumberFormat="1" applyBorder="1"/>
    <xf numFmtId="49" fontId="6" fillId="0" borderId="0" xfId="0" applyNumberFormat="1" applyFont="1" applyAlignment="1">
      <alignment horizontal="right"/>
    </xf>
    <xf numFmtId="0" fontId="16" fillId="0" borderId="0" xfId="0" applyFont="1" applyAlignment="1">
      <alignment horizontal="left"/>
    </xf>
    <xf numFmtId="3" fontId="34" fillId="0" borderId="0" xfId="0" applyNumberFormat="1" applyFont="1"/>
    <xf numFmtId="49" fontId="37" fillId="0" borderId="0" xfId="0" applyNumberFormat="1" applyFont="1"/>
    <xf numFmtId="3" fontId="29" fillId="0" borderId="0" xfId="0" applyNumberFormat="1" applyFont="1" applyAlignment="1">
      <alignment horizontal="right"/>
    </xf>
    <xf numFmtId="0" fontId="34" fillId="3" borderId="46" xfId="0" applyFont="1" applyFill="1" applyBorder="1" applyAlignment="1">
      <alignment horizontal="center" vertical="center" wrapText="1"/>
    </xf>
    <xf numFmtId="4" fontId="6" fillId="0" borderId="0" xfId="0" applyNumberFormat="1" applyFont="1"/>
    <xf numFmtId="172" fontId="0" fillId="0" borderId="0" xfId="0" applyNumberFormat="1"/>
    <xf numFmtId="0" fontId="0" fillId="0" borderId="0" xfId="0" applyAlignment="1">
      <alignment horizontal="left"/>
    </xf>
    <xf numFmtId="0" fontId="16" fillId="0" borderId="0" xfId="0" applyFont="1"/>
    <xf numFmtId="168" fontId="0" fillId="0" borderId="0" xfId="0" applyNumberFormat="1"/>
    <xf numFmtId="0" fontId="5" fillId="0" borderId="0" xfId="0" applyFont="1"/>
    <xf numFmtId="0" fontId="39" fillId="0" borderId="0" xfId="0" applyFont="1"/>
    <xf numFmtId="3" fontId="16" fillId="0" borderId="41" xfId="0" applyNumberFormat="1" applyFont="1" applyBorder="1" applyAlignment="1">
      <alignment horizontal="left"/>
    </xf>
    <xf numFmtId="3" fontId="16" fillId="0" borderId="4" xfId="0" applyNumberFormat="1" applyFont="1" applyBorder="1" applyAlignment="1">
      <alignment horizontal="left"/>
    </xf>
    <xf numFmtId="3" fontId="16" fillId="0" borderId="4" xfId="0" applyNumberFormat="1" applyFont="1" applyBorder="1"/>
    <xf numFmtId="3" fontId="14" fillId="0" borderId="41" xfId="0" applyNumberFormat="1" applyFont="1" applyBorder="1" applyAlignment="1">
      <alignment horizontal="left"/>
    </xf>
    <xf numFmtId="3" fontId="14" fillId="0" borderId="4" xfId="0" applyNumberFormat="1" applyFont="1" applyBorder="1" applyAlignment="1">
      <alignment horizontal="left"/>
    </xf>
    <xf numFmtId="3" fontId="14" fillId="0" borderId="4" xfId="0" applyNumberFormat="1" applyFont="1" applyBorder="1"/>
    <xf numFmtId="49" fontId="16" fillId="0" borderId="41" xfId="0" applyNumberFormat="1" applyFont="1" applyBorder="1" applyAlignment="1">
      <alignment horizontal="left"/>
    </xf>
    <xf numFmtId="49" fontId="14" fillId="0" borderId="41" xfId="0" applyNumberFormat="1" applyFont="1" applyBorder="1" applyAlignment="1">
      <alignment horizontal="left"/>
    </xf>
    <xf numFmtId="3" fontId="14" fillId="0" borderId="41" xfId="0" applyNumberFormat="1" applyFont="1" applyBorder="1"/>
    <xf numFmtId="3" fontId="16" fillId="0" borderId="41" xfId="0" applyNumberFormat="1" applyFont="1" applyBorder="1"/>
    <xf numFmtId="168" fontId="16" fillId="0" borderId="46" xfId="0" applyNumberFormat="1" applyFont="1" applyBorder="1" applyAlignment="1">
      <alignment horizontal="center"/>
    </xf>
    <xf numFmtId="168" fontId="14" fillId="0" borderId="46" xfId="0" applyNumberFormat="1" applyFont="1" applyBorder="1" applyAlignment="1">
      <alignment horizontal="center"/>
    </xf>
    <xf numFmtId="168" fontId="16" fillId="0" borderId="55" xfId="0" applyNumberFormat="1" applyFont="1" applyBorder="1" applyAlignment="1">
      <alignment horizontal="center" vertical="center"/>
    </xf>
    <xf numFmtId="0" fontId="0" fillId="3" borderId="0" xfId="0" applyFill="1"/>
    <xf numFmtId="3" fontId="16" fillId="0" borderId="41" xfId="0" applyNumberFormat="1" applyFont="1" applyBorder="1" applyAlignment="1">
      <alignment horizontal="left" vertical="center" wrapText="1"/>
    </xf>
    <xf numFmtId="3" fontId="16" fillId="0" borderId="4" xfId="0" applyNumberFormat="1" applyFont="1" applyBorder="1" applyAlignment="1">
      <alignment vertical="center" wrapText="1"/>
    </xf>
    <xf numFmtId="3" fontId="14" fillId="0" borderId="41" xfId="0" applyNumberFormat="1" applyFont="1" applyBorder="1" applyAlignment="1">
      <alignment horizontal="left" vertical="center" wrapText="1"/>
    </xf>
    <xf numFmtId="3" fontId="14" fillId="0" borderId="4" xfId="0" applyNumberFormat="1" applyFont="1" applyBorder="1" applyAlignment="1">
      <alignment vertical="center" wrapText="1"/>
    </xf>
    <xf numFmtId="3" fontId="14" fillId="0" borderId="0" xfId="0" applyNumberFormat="1" applyFont="1"/>
    <xf numFmtId="3" fontId="14" fillId="0" borderId="40" xfId="0" applyNumberFormat="1" applyFont="1" applyBorder="1" applyAlignment="1">
      <alignment horizontal="left"/>
    </xf>
    <xf numFmtId="3" fontId="16" fillId="0" borderId="52" xfId="0" applyNumberFormat="1" applyFont="1" applyBorder="1" applyAlignment="1">
      <alignment horizontal="left" vertical="center"/>
    </xf>
    <xf numFmtId="3" fontId="16" fillId="0" borderId="53" xfId="0" applyNumberFormat="1" applyFont="1" applyBorder="1" applyAlignment="1">
      <alignment vertical="center"/>
    </xf>
    <xf numFmtId="3" fontId="14" fillId="0" borderId="53" xfId="0" applyNumberFormat="1" applyFont="1" applyBorder="1"/>
    <xf numFmtId="3" fontId="14" fillId="0" borderId="53" xfId="0" applyNumberFormat="1" applyFont="1" applyBorder="1" applyAlignment="1">
      <alignment horizontal="left"/>
    </xf>
    <xf numFmtId="3" fontId="16" fillId="0" borderId="53" xfId="0" applyNumberFormat="1" applyFont="1" applyBorder="1"/>
    <xf numFmtId="168" fontId="16" fillId="0" borderId="54" xfId="0" applyNumberFormat="1" applyFont="1" applyBorder="1" applyAlignment="1">
      <alignment horizontal="center" vertical="center"/>
    </xf>
    <xf numFmtId="3" fontId="42" fillId="0" borderId="0" xfId="0" applyNumberFormat="1" applyFont="1"/>
    <xf numFmtId="168" fontId="14" fillId="0" borderId="54" xfId="0" applyNumberFormat="1" applyFont="1" applyBorder="1" applyAlignment="1">
      <alignment horizontal="center"/>
    </xf>
    <xf numFmtId="3" fontId="14" fillId="0" borderId="58" xfId="0" applyNumberFormat="1" applyFont="1" applyBorder="1" applyAlignment="1">
      <alignment horizontal="left"/>
    </xf>
    <xf numFmtId="3" fontId="16" fillId="0" borderId="58" xfId="0" applyNumberFormat="1" applyFont="1" applyBorder="1" applyAlignment="1">
      <alignment vertical="center"/>
    </xf>
    <xf numFmtId="3" fontId="16" fillId="0" borderId="59" xfId="0" applyNumberFormat="1" applyFont="1" applyBorder="1"/>
    <xf numFmtId="3" fontId="14" fillId="0" borderId="59" xfId="0" applyNumberFormat="1" applyFont="1" applyBorder="1" applyAlignment="1">
      <alignment horizontal="left"/>
    </xf>
    <xf numFmtId="3" fontId="14" fillId="0" borderId="59" xfId="0" applyNumberFormat="1" applyFont="1" applyBorder="1"/>
    <xf numFmtId="3" fontId="16" fillId="0" borderId="53" xfId="0" applyNumberFormat="1" applyFont="1" applyBorder="1" applyAlignment="1">
      <alignment horizontal="left"/>
    </xf>
    <xf numFmtId="4" fontId="5" fillId="0" borderId="0" xfId="0" applyNumberFormat="1" applyFont="1"/>
    <xf numFmtId="168" fontId="16" fillId="0" borderId="54" xfId="0" applyNumberFormat="1" applyFont="1" applyBorder="1" applyAlignment="1">
      <alignment horizontal="center"/>
    </xf>
    <xf numFmtId="4" fontId="1" fillId="0" borderId="0" xfId="0" applyNumberFormat="1" applyFont="1"/>
    <xf numFmtId="0" fontId="46" fillId="0" borderId="0" xfId="0" applyFont="1" applyAlignment="1">
      <alignment horizontal="center"/>
    </xf>
    <xf numFmtId="0" fontId="46" fillId="0" borderId="0" xfId="0" applyFont="1"/>
    <xf numFmtId="0" fontId="47" fillId="0" borderId="0" xfId="0" applyFont="1"/>
    <xf numFmtId="0" fontId="38" fillId="0" borderId="41" xfId="0" applyFont="1" applyBorder="1"/>
    <xf numFmtId="3" fontId="38" fillId="0" borderId="4" xfId="0" applyNumberFormat="1" applyFont="1" applyBorder="1"/>
    <xf numFmtId="3" fontId="50" fillId="0" borderId="4" xfId="0" applyNumberFormat="1" applyFont="1" applyBorder="1"/>
    <xf numFmtId="4" fontId="38" fillId="0" borderId="0" xfId="0" applyNumberFormat="1" applyFont="1"/>
    <xf numFmtId="0" fontId="8" fillId="0" borderId="0" xfId="0" applyFont="1"/>
    <xf numFmtId="0" fontId="3" fillId="0" borderId="0" xfId="0" applyFont="1"/>
    <xf numFmtId="170" fontId="38" fillId="0" borderId="46" xfId="0" applyNumberFormat="1" applyFont="1" applyBorder="1" applyAlignment="1">
      <alignment horizontal="center"/>
    </xf>
    <xf numFmtId="0" fontId="53" fillId="0" borderId="0" xfId="0" applyFont="1"/>
    <xf numFmtId="3" fontId="54" fillId="0" borderId="0" xfId="0" applyNumberFormat="1" applyFont="1"/>
    <xf numFmtId="170" fontId="38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3" fontId="17" fillId="0" borderId="0" xfId="0" applyNumberFormat="1" applyFont="1"/>
    <xf numFmtId="0" fontId="38" fillId="0" borderId="18" xfId="0" applyFont="1" applyBorder="1"/>
    <xf numFmtId="0" fontId="48" fillId="0" borderId="18" xfId="0" applyFont="1" applyBorder="1"/>
    <xf numFmtId="170" fontId="55" fillId="0" borderId="0" xfId="0" applyNumberFormat="1" applyFont="1"/>
    <xf numFmtId="0" fontId="55" fillId="0" borderId="0" xfId="0" applyFont="1"/>
    <xf numFmtId="2" fontId="55" fillId="0" borderId="0" xfId="0" applyNumberFormat="1" applyFont="1"/>
    <xf numFmtId="0" fontId="11" fillId="0" borderId="0" xfId="0" applyFont="1"/>
    <xf numFmtId="0" fontId="0" fillId="0" borderId="68" xfId="0" applyBorder="1"/>
    <xf numFmtId="0" fontId="16" fillId="0" borderId="45" xfId="0" applyFont="1" applyBorder="1" applyAlignment="1">
      <alignment horizontal="center"/>
    </xf>
    <xf numFmtId="0" fontId="16" fillId="0" borderId="40" xfId="0" applyFont="1" applyBorder="1"/>
    <xf numFmtId="4" fontId="16" fillId="0" borderId="40" xfId="0" applyNumberFormat="1" applyFont="1" applyBorder="1"/>
    <xf numFmtId="4" fontId="16" fillId="0" borderId="40" xfId="0" applyNumberFormat="1" applyFont="1" applyBorder="1" applyAlignment="1">
      <alignment horizontal="left"/>
    </xf>
    <xf numFmtId="4" fontId="16" fillId="0" borderId="40" xfId="0" applyNumberFormat="1" applyFont="1" applyBorder="1" applyAlignment="1">
      <alignment horizontal="center"/>
    </xf>
    <xf numFmtId="0" fontId="38" fillId="0" borderId="45" xfId="0" applyFont="1" applyBorder="1" applyAlignment="1">
      <alignment horizontal="center"/>
    </xf>
    <xf numFmtId="0" fontId="38" fillId="0" borderId="40" xfId="0" applyFont="1" applyBorder="1"/>
    <xf numFmtId="3" fontId="38" fillId="0" borderId="40" xfId="0" applyNumberFormat="1" applyFont="1" applyBorder="1"/>
    <xf numFmtId="0" fontId="51" fillId="0" borderId="45" xfId="0" applyFont="1" applyBorder="1" applyAlignment="1">
      <alignment horizontal="left"/>
    </xf>
    <xf numFmtId="0" fontId="51" fillId="0" borderId="40" xfId="0" applyFont="1" applyBorder="1"/>
    <xf numFmtId="3" fontId="51" fillId="0" borderId="40" xfId="0" applyNumberFormat="1" applyFont="1" applyBorder="1"/>
    <xf numFmtId="0" fontId="48" fillId="0" borderId="45" xfId="0" applyFont="1" applyBorder="1" applyAlignment="1">
      <alignment horizontal="left"/>
    </xf>
    <xf numFmtId="0" fontId="48" fillId="0" borderId="40" xfId="0" applyFont="1" applyBorder="1" applyAlignment="1">
      <alignment horizontal="center"/>
    </xf>
    <xf numFmtId="3" fontId="48" fillId="0" borderId="40" xfId="0" applyNumberFormat="1" applyFont="1" applyBorder="1"/>
    <xf numFmtId="0" fontId="48" fillId="0" borderId="45" xfId="0" applyFont="1" applyBorder="1"/>
    <xf numFmtId="0" fontId="51" fillId="0" borderId="40" xfId="0" applyFont="1" applyBorder="1" applyAlignment="1">
      <alignment horizontal="center"/>
    </xf>
    <xf numFmtId="3" fontId="51" fillId="0" borderId="40" xfId="0" applyNumberFormat="1" applyFont="1" applyBorder="1" applyAlignment="1">
      <alignment horizontal="center"/>
    </xf>
    <xf numFmtId="0" fontId="38" fillId="0" borderId="40" xfId="0" applyFont="1" applyBorder="1" applyAlignment="1">
      <alignment horizontal="center"/>
    </xf>
    <xf numFmtId="3" fontId="38" fillId="0" borderId="40" xfId="0" applyNumberFormat="1" applyFont="1" applyBorder="1" applyAlignment="1">
      <alignment horizontal="right"/>
    </xf>
    <xf numFmtId="3" fontId="38" fillId="0" borderId="40" xfId="0" applyNumberFormat="1" applyFont="1" applyBorder="1" applyAlignment="1">
      <alignment horizontal="center"/>
    </xf>
    <xf numFmtId="0" fontId="38" fillId="0" borderId="45" xfId="0" applyFont="1" applyBorder="1" applyAlignment="1">
      <alignment horizontal="center" vertical="center" wrapText="1"/>
    </xf>
    <xf numFmtId="0" fontId="51" fillId="0" borderId="45" xfId="0" applyFont="1" applyBorder="1"/>
    <xf numFmtId="0" fontId="51" fillId="0" borderId="76" xfId="0" applyFont="1" applyBorder="1"/>
    <xf numFmtId="0" fontId="51" fillId="0" borderId="56" xfId="0" applyFont="1" applyBorder="1" applyAlignment="1">
      <alignment horizontal="center"/>
    </xf>
    <xf numFmtId="3" fontId="48" fillId="0" borderId="56" xfId="0" applyNumberFormat="1" applyFont="1" applyBorder="1"/>
    <xf numFmtId="3" fontId="51" fillId="0" borderId="56" xfId="0" applyNumberFormat="1" applyFont="1" applyBorder="1"/>
    <xf numFmtId="0" fontId="51" fillId="0" borderId="0" xfId="0" applyFont="1"/>
    <xf numFmtId="3" fontId="48" fillId="0" borderId="9" xfId="0" applyNumberFormat="1" applyFont="1" applyBorder="1"/>
    <xf numFmtId="3" fontId="48" fillId="0" borderId="0" xfId="0" applyNumberFormat="1" applyFont="1"/>
    <xf numFmtId="0" fontId="57" fillId="4" borderId="0" xfId="0" applyFont="1" applyFill="1" applyAlignment="1">
      <alignment horizontal="center"/>
    </xf>
    <xf numFmtId="167" fontId="38" fillId="2" borderId="81" xfId="0" applyNumberFormat="1" applyFont="1" applyFill="1" applyBorder="1"/>
    <xf numFmtId="4" fontId="58" fillId="0" borderId="0" xfId="0" applyNumberFormat="1" applyFont="1"/>
    <xf numFmtId="167" fontId="48" fillId="2" borderId="81" xfId="0" applyNumberFormat="1" applyFont="1" applyFill="1" applyBorder="1"/>
    <xf numFmtId="4" fontId="59" fillId="0" borderId="0" xfId="0" applyNumberFormat="1" applyFont="1"/>
    <xf numFmtId="3" fontId="6" fillId="0" borderId="0" xfId="0" applyNumberFormat="1" applyFont="1" applyAlignment="1">
      <alignment horizontal="center"/>
    </xf>
    <xf numFmtId="3" fontId="48" fillId="0" borderId="40" xfId="0" applyNumberFormat="1" applyFont="1" applyBorder="1" applyAlignment="1">
      <alignment horizontal="right"/>
    </xf>
    <xf numFmtId="3" fontId="51" fillId="0" borderId="40" xfId="0" applyNumberFormat="1" applyFont="1" applyBorder="1" applyAlignment="1">
      <alignment horizontal="right"/>
    </xf>
    <xf numFmtId="4" fontId="60" fillId="0" borderId="0" xfId="0" applyNumberFormat="1" applyFont="1"/>
    <xf numFmtId="4" fontId="61" fillId="0" borderId="0" xfId="0" applyNumberFormat="1" applyFont="1"/>
    <xf numFmtId="4" fontId="62" fillId="0" borderId="0" xfId="0" applyNumberFormat="1" applyFont="1"/>
    <xf numFmtId="3" fontId="63" fillId="3" borderId="0" xfId="0" applyNumberFormat="1" applyFont="1" applyFill="1"/>
    <xf numFmtId="3" fontId="64" fillId="0" borderId="0" xfId="0" applyNumberFormat="1" applyFont="1"/>
    <xf numFmtId="0" fontId="65" fillId="0" borderId="0" xfId="0" applyFont="1"/>
    <xf numFmtId="4" fontId="65" fillId="0" borderId="0" xfId="0" applyNumberFormat="1" applyFont="1"/>
    <xf numFmtId="0" fontId="66" fillId="0" borderId="0" xfId="0" applyFont="1" applyAlignment="1">
      <alignment horizontal="center"/>
    </xf>
    <xf numFmtId="0" fontId="66" fillId="0" borderId="0" xfId="0" applyFont="1"/>
    <xf numFmtId="0" fontId="67" fillId="0" borderId="0" xfId="0" applyFont="1"/>
    <xf numFmtId="3" fontId="48" fillId="0" borderId="19" xfId="0" applyNumberFormat="1" applyFont="1" applyBorder="1"/>
    <xf numFmtId="3" fontId="48" fillId="0" borderId="19" xfId="0" applyNumberFormat="1" applyFont="1" applyBorder="1" applyAlignment="1">
      <alignment horizontal="right"/>
    </xf>
    <xf numFmtId="0" fontId="38" fillId="0" borderId="18" xfId="0" applyFont="1" applyBorder="1" applyAlignment="1">
      <alignment horizontal="left"/>
    </xf>
    <xf numFmtId="0" fontId="48" fillId="0" borderId="21" xfId="0" applyFont="1" applyBorder="1"/>
    <xf numFmtId="0" fontId="48" fillId="0" borderId="29" xfId="0" applyFont="1" applyBorder="1"/>
    <xf numFmtId="0" fontId="48" fillId="0" borderId="0" xfId="0" applyFont="1"/>
    <xf numFmtId="0" fontId="44" fillId="0" borderId="0" xfId="0" applyFont="1"/>
    <xf numFmtId="0" fontId="69" fillId="0" borderId="0" xfId="0" applyFont="1"/>
    <xf numFmtId="4" fontId="67" fillId="0" borderId="0" xfId="0" applyNumberFormat="1" applyFont="1"/>
    <xf numFmtId="0" fontId="70" fillId="0" borderId="0" xfId="0" applyFont="1"/>
    <xf numFmtId="168" fontId="48" fillId="0" borderId="13" xfId="0" applyNumberFormat="1" applyFont="1" applyBorder="1" applyAlignment="1">
      <alignment horizontal="center"/>
    </xf>
    <xf numFmtId="3" fontId="9" fillId="0" borderId="19" xfId="0" applyNumberFormat="1" applyFont="1" applyBorder="1" applyAlignment="1">
      <alignment horizontal="right"/>
    </xf>
    <xf numFmtId="0" fontId="0" fillId="0" borderId="7" xfId="0" applyBorder="1" applyAlignment="1">
      <alignment horizontal="left"/>
    </xf>
    <xf numFmtId="0" fontId="9" fillId="0" borderId="5" xfId="0" applyFont="1" applyBorder="1" applyAlignment="1">
      <alignment horizontal="center" vertical="center"/>
    </xf>
    <xf numFmtId="3" fontId="76" fillId="0" borderId="0" xfId="0" applyNumberFormat="1" applyFont="1" applyAlignment="1">
      <alignment horizontal="right" vertical="center"/>
    </xf>
    <xf numFmtId="3" fontId="76" fillId="0" borderId="7" xfId="0" applyNumberFormat="1" applyFont="1" applyBorder="1" applyAlignment="1">
      <alignment horizontal="right" vertical="center"/>
    </xf>
    <xf numFmtId="0" fontId="20" fillId="0" borderId="5" xfId="0" applyFont="1" applyBorder="1"/>
    <xf numFmtId="3" fontId="20" fillId="0" borderId="7" xfId="0" applyNumberFormat="1" applyFont="1" applyBorder="1" applyAlignment="1">
      <alignment horizontal="left"/>
    </xf>
    <xf numFmtId="3" fontId="20" fillId="0" borderId="0" xfId="0" applyNumberFormat="1" applyFont="1" applyAlignment="1">
      <alignment horizontal="left"/>
    </xf>
    <xf numFmtId="0" fontId="0" fillId="0" borderId="5" xfId="0" applyBorder="1" applyAlignment="1">
      <alignment vertical="center"/>
    </xf>
    <xf numFmtId="3" fontId="0" fillId="0" borderId="7" xfId="0" applyNumberFormat="1" applyBorder="1" applyAlignment="1">
      <alignment horizontal="right"/>
    </xf>
    <xf numFmtId="3" fontId="0" fillId="0" borderId="0" xfId="0" applyNumberFormat="1" applyAlignment="1">
      <alignment horizontal="right"/>
    </xf>
    <xf numFmtId="0" fontId="72" fillId="0" borderId="0" xfId="0" applyFont="1"/>
    <xf numFmtId="3" fontId="20" fillId="0" borderId="7" xfId="0" applyNumberFormat="1" applyFont="1" applyBorder="1" applyAlignment="1">
      <alignment horizontal="right"/>
    </xf>
    <xf numFmtId="3" fontId="20" fillId="0" borderId="0" xfId="0" applyNumberFormat="1" applyFont="1" applyAlignment="1">
      <alignment horizontal="right"/>
    </xf>
    <xf numFmtId="3" fontId="9" fillId="0" borderId="7" xfId="0" applyNumberFormat="1" applyFont="1" applyBorder="1" applyAlignment="1">
      <alignment horizontal="right" vertical="center"/>
    </xf>
    <xf numFmtId="3" fontId="9" fillId="0" borderId="0" xfId="0" applyNumberFormat="1" applyFont="1" applyAlignment="1">
      <alignment horizontal="right" vertical="center"/>
    </xf>
    <xf numFmtId="0" fontId="6" fillId="0" borderId="5" xfId="0" applyFont="1" applyBorder="1" applyAlignment="1">
      <alignment horizontal="center" vertical="center"/>
    </xf>
    <xf numFmtId="3" fontId="35" fillId="0" borderId="0" xfId="0" applyNumberFormat="1" applyFont="1" applyAlignment="1">
      <alignment horizontal="right" vertical="center"/>
    </xf>
    <xf numFmtId="3" fontId="35" fillId="0" borderId="7" xfId="0" applyNumberFormat="1" applyFont="1" applyBorder="1" applyAlignment="1">
      <alignment horizontal="right" vertical="center"/>
    </xf>
    <xf numFmtId="3" fontId="0" fillId="0" borderId="7" xfId="0" applyNumberFormat="1" applyBorder="1"/>
    <xf numFmtId="0" fontId="20" fillId="0" borderId="7" xfId="0" applyFont="1" applyBorder="1"/>
    <xf numFmtId="3" fontId="20" fillId="0" borderId="0" xfId="0" applyNumberFormat="1" applyFont="1"/>
    <xf numFmtId="0" fontId="78" fillId="0" borderId="0" xfId="5" applyFont="1"/>
    <xf numFmtId="0" fontId="78" fillId="0" borderId="0" xfId="5" applyFont="1" applyAlignment="1">
      <alignment horizontal="left"/>
    </xf>
    <xf numFmtId="0" fontId="79" fillId="0" borderId="0" xfId="5" applyFont="1" applyAlignment="1">
      <alignment horizontal="center"/>
    </xf>
    <xf numFmtId="0" fontId="77" fillId="0" borderId="0" xfId="5"/>
    <xf numFmtId="0" fontId="81" fillId="0" borderId="0" xfId="5" applyFont="1"/>
    <xf numFmtId="0" fontId="77" fillId="0" borderId="0" xfId="5" applyAlignment="1">
      <alignment horizontal="center"/>
    </xf>
    <xf numFmtId="0" fontId="77" fillId="0" borderId="53" xfId="5" applyBorder="1"/>
    <xf numFmtId="0" fontId="77" fillId="6" borderId="0" xfId="5" applyFill="1"/>
    <xf numFmtId="3" fontId="77" fillId="0" borderId="0" xfId="5" applyNumberFormat="1"/>
    <xf numFmtId="0" fontId="89" fillId="0" borderId="0" xfId="5" applyFont="1"/>
    <xf numFmtId="0" fontId="90" fillId="0" borderId="0" xfId="5" applyFont="1"/>
    <xf numFmtId="0" fontId="91" fillId="0" borderId="0" xfId="5" applyFont="1"/>
    <xf numFmtId="3" fontId="92" fillId="0" borderId="0" xfId="5" applyNumberFormat="1" applyFont="1" applyAlignment="1">
      <alignment horizontal="left"/>
    </xf>
    <xf numFmtId="0" fontId="89" fillId="0" borderId="0" xfId="5" applyFont="1" applyAlignment="1">
      <alignment horizontal="center"/>
    </xf>
    <xf numFmtId="0" fontId="90" fillId="0" borderId="0" xfId="5" applyFont="1" applyAlignment="1">
      <alignment horizontal="center"/>
    </xf>
    <xf numFmtId="170" fontId="51" fillId="0" borderId="0" xfId="0" applyNumberFormat="1" applyFont="1" applyAlignment="1">
      <alignment horizontal="center"/>
    </xf>
    <xf numFmtId="170" fontId="34" fillId="0" borderId="0" xfId="0" applyNumberFormat="1" applyFont="1" applyAlignment="1">
      <alignment horizontal="center"/>
    </xf>
    <xf numFmtId="168" fontId="6" fillId="0" borderId="46" xfId="0" applyNumberFormat="1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168" fontId="0" fillId="0" borderId="46" xfId="0" applyNumberFormat="1" applyBorder="1" applyAlignment="1">
      <alignment horizontal="center"/>
    </xf>
    <xf numFmtId="0" fontId="0" fillId="0" borderId="51" xfId="0" applyBorder="1" applyAlignment="1">
      <alignment horizontal="center"/>
    </xf>
    <xf numFmtId="0" fontId="20" fillId="0" borderId="0" xfId="0" applyFont="1" applyAlignment="1">
      <alignment horizontal="center"/>
    </xf>
    <xf numFmtId="4" fontId="6" fillId="0" borderId="0" xfId="0" applyNumberFormat="1" applyFont="1" applyAlignment="1">
      <alignment vertical="center"/>
    </xf>
    <xf numFmtId="4" fontId="53" fillId="0" borderId="0" xfId="0" applyNumberFormat="1" applyFont="1"/>
    <xf numFmtId="0" fontId="53" fillId="0" borderId="41" xfId="0" applyFont="1" applyBorder="1" applyAlignment="1">
      <alignment horizontal="left" vertical="center"/>
    </xf>
    <xf numFmtId="3" fontId="49" fillId="0" borderId="40" xfId="0" applyNumberFormat="1" applyFont="1" applyBorder="1"/>
    <xf numFmtId="3" fontId="93" fillId="0" borderId="40" xfId="0" applyNumberFormat="1" applyFont="1" applyBorder="1"/>
    <xf numFmtId="3" fontId="50" fillId="0" borderId="40" xfId="0" applyNumberFormat="1" applyFont="1" applyBorder="1"/>
    <xf numFmtId="3" fontId="93" fillId="3" borderId="40" xfId="0" applyNumberFormat="1" applyFont="1" applyFill="1" applyBorder="1"/>
    <xf numFmtId="3" fontId="93" fillId="0" borderId="56" xfId="0" applyNumberFormat="1" applyFont="1" applyBorder="1"/>
    <xf numFmtId="3" fontId="68" fillId="0" borderId="0" xfId="0" applyNumberFormat="1" applyFont="1"/>
    <xf numFmtId="3" fontId="43" fillId="0" borderId="0" xfId="0" applyNumberFormat="1" applyFont="1"/>
    <xf numFmtId="3" fontId="25" fillId="0" borderId="0" xfId="0" applyNumberFormat="1" applyFont="1"/>
    <xf numFmtId="3" fontId="29" fillId="0" borderId="0" xfId="0" applyNumberFormat="1" applyFont="1" applyAlignment="1">
      <alignment horizontal="left" vertical="center"/>
    </xf>
    <xf numFmtId="4" fontId="29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4" fontId="34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66" fontId="24" fillId="0" borderId="0" xfId="0" applyNumberFormat="1" applyFont="1" applyAlignment="1">
      <alignment horizontal="left"/>
    </xf>
    <xf numFmtId="169" fontId="25" fillId="0" borderId="0" xfId="0" applyNumberFormat="1" applyFont="1"/>
    <xf numFmtId="3" fontId="11" fillId="0" borderId="32" xfId="0" applyNumberFormat="1" applyFont="1" applyBorder="1"/>
    <xf numFmtId="3" fontId="9" fillId="0" borderId="84" xfId="0" applyNumberFormat="1" applyFont="1" applyBorder="1" applyAlignment="1">
      <alignment vertical="center"/>
    </xf>
    <xf numFmtId="3" fontId="11" fillId="0" borderId="8" xfId="0" applyNumberFormat="1" applyFont="1" applyBorder="1"/>
    <xf numFmtId="3" fontId="33" fillId="3" borderId="7" xfId="0" applyNumberFormat="1" applyFont="1" applyFill="1" applyBorder="1"/>
    <xf numFmtId="3" fontId="32" fillId="3" borderId="46" xfId="0" applyNumberFormat="1" applyFont="1" applyFill="1" applyBorder="1"/>
    <xf numFmtId="3" fontId="32" fillId="3" borderId="10" xfId="0" applyNumberFormat="1" applyFont="1" applyFill="1" applyBorder="1"/>
    <xf numFmtId="3" fontId="32" fillId="3" borderId="47" xfId="0" applyNumberFormat="1" applyFont="1" applyFill="1" applyBorder="1"/>
    <xf numFmtId="3" fontId="50" fillId="0" borderId="41" xfId="0" applyNumberFormat="1" applyFont="1" applyBorder="1"/>
    <xf numFmtId="3" fontId="11" fillId="0" borderId="19" xfId="0" applyNumberFormat="1" applyFont="1" applyBorder="1" applyAlignment="1">
      <alignment horizontal="right"/>
    </xf>
    <xf numFmtId="3" fontId="9" fillId="0" borderId="23" xfId="0" applyNumberFormat="1" applyFont="1" applyBorder="1" applyAlignment="1">
      <alignment horizontal="right"/>
    </xf>
    <xf numFmtId="3" fontId="9" fillId="0" borderId="25" xfId="0" applyNumberFormat="1" applyFont="1" applyBorder="1" applyAlignment="1">
      <alignment horizontal="right"/>
    </xf>
    <xf numFmtId="0" fontId="20" fillId="0" borderId="0" xfId="0" applyFont="1" applyAlignment="1">
      <alignment horizontal="right"/>
    </xf>
    <xf numFmtId="3" fontId="12" fillId="0" borderId="19" xfId="0" applyNumberFormat="1" applyFont="1" applyBorder="1" applyAlignment="1">
      <alignment horizontal="right"/>
    </xf>
    <xf numFmtId="3" fontId="9" fillId="0" borderId="27" xfId="0" applyNumberFormat="1" applyFont="1" applyBorder="1" applyAlignment="1">
      <alignment horizontal="right"/>
    </xf>
    <xf numFmtId="3" fontId="9" fillId="0" borderId="23" xfId="0" applyNumberFormat="1" applyFont="1" applyBorder="1" applyAlignment="1">
      <alignment horizontal="right" vertical="center"/>
    </xf>
    <xf numFmtId="4" fontId="16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168" fontId="0" fillId="0" borderId="0" xfId="0" applyNumberFormat="1" applyAlignment="1">
      <alignment horizontal="center"/>
    </xf>
    <xf numFmtId="168" fontId="8" fillId="0" borderId="11" xfId="0" applyNumberFormat="1" applyFont="1" applyBorder="1" applyAlignment="1">
      <alignment horizontal="center"/>
    </xf>
    <xf numFmtId="168" fontId="32" fillId="0" borderId="10" xfId="0" applyNumberFormat="1" applyFont="1" applyBorder="1" applyAlignment="1">
      <alignment horizontal="center"/>
    </xf>
    <xf numFmtId="168" fontId="0" fillId="0" borderId="31" xfId="0" applyNumberFormat="1" applyBorder="1" applyAlignment="1">
      <alignment horizontal="center"/>
    </xf>
    <xf numFmtId="168" fontId="0" fillId="0" borderId="29" xfId="0" applyNumberFormat="1" applyBorder="1" applyAlignment="1">
      <alignment horizontal="center"/>
    </xf>
    <xf numFmtId="4" fontId="0" fillId="0" borderId="8" xfId="0" applyNumberFormat="1" applyBorder="1"/>
    <xf numFmtId="3" fontId="16" fillId="0" borderId="94" xfId="0" applyNumberFormat="1" applyFont="1" applyBorder="1"/>
    <xf numFmtId="3" fontId="14" fillId="0" borderId="94" xfId="0" applyNumberFormat="1" applyFont="1" applyBorder="1"/>
    <xf numFmtId="4" fontId="95" fillId="0" borderId="94" xfId="0" applyNumberFormat="1" applyFont="1" applyBorder="1"/>
    <xf numFmtId="0" fontId="14" fillId="0" borderId="94" xfId="0" applyFont="1" applyBorder="1"/>
    <xf numFmtId="3" fontId="16" fillId="0" borderId="94" xfId="0" applyNumberFormat="1" applyFont="1" applyBorder="1" applyAlignment="1">
      <alignment vertical="center"/>
    </xf>
    <xf numFmtId="4" fontId="4" fillId="0" borderId="0" xfId="0" applyNumberFormat="1" applyFont="1"/>
    <xf numFmtId="4" fontId="4" fillId="0" borderId="0" xfId="0" applyNumberFormat="1" applyFont="1" applyAlignment="1">
      <alignment vertical="center"/>
    </xf>
    <xf numFmtId="4" fontId="2" fillId="0" borderId="0" xfId="0" applyNumberFormat="1" applyFont="1"/>
    <xf numFmtId="3" fontId="16" fillId="0" borderId="46" xfId="0" applyNumberFormat="1" applyFont="1" applyBorder="1"/>
    <xf numFmtId="3" fontId="14" fillId="0" borderId="46" xfId="0" applyNumberFormat="1" applyFont="1" applyBorder="1"/>
    <xf numFmtId="0" fontId="14" fillId="0" borderId="77" xfId="0" applyFont="1" applyBorder="1"/>
    <xf numFmtId="3" fontId="16" fillId="0" borderId="54" xfId="0" applyNumberFormat="1" applyFont="1" applyBorder="1" applyAlignment="1">
      <alignment vertical="center"/>
    </xf>
    <xf numFmtId="3" fontId="14" fillId="0" borderId="54" xfId="0" applyNumberFormat="1" applyFont="1" applyBorder="1"/>
    <xf numFmtId="3" fontId="16" fillId="0" borderId="54" xfId="0" applyNumberFormat="1" applyFont="1" applyBorder="1"/>
    <xf numFmtId="3" fontId="16" fillId="0" borderId="92" xfId="0" applyNumberFormat="1" applyFont="1" applyBorder="1"/>
    <xf numFmtId="0" fontId="14" fillId="0" borderId="92" xfId="0" applyFont="1" applyBorder="1"/>
    <xf numFmtId="3" fontId="14" fillId="0" borderId="92" xfId="0" applyNumberFormat="1" applyFont="1" applyBorder="1"/>
    <xf numFmtId="0" fontId="16" fillId="7" borderId="91" xfId="0" applyFont="1" applyFill="1" applyBorder="1" applyAlignment="1">
      <alignment horizontal="center" vertical="center" wrapText="1"/>
    </xf>
    <xf numFmtId="0" fontId="16" fillId="8" borderId="67" xfId="0" applyFont="1" applyFill="1" applyBorder="1" applyAlignment="1">
      <alignment horizontal="center" vertical="center" wrapText="1"/>
    </xf>
    <xf numFmtId="0" fontId="16" fillId="8" borderId="48" xfId="0" applyFont="1" applyFill="1" applyBorder="1" applyAlignment="1">
      <alignment horizontal="center" vertical="center"/>
    </xf>
    <xf numFmtId="0" fontId="16" fillId="8" borderId="48" xfId="0" applyFont="1" applyFill="1" applyBorder="1" applyAlignment="1">
      <alignment horizontal="center" vertical="center" wrapText="1"/>
    </xf>
    <xf numFmtId="0" fontId="6" fillId="7" borderId="19" xfId="0" applyFont="1" applyFill="1" applyBorder="1" applyAlignment="1">
      <alignment horizontal="center" vertical="center"/>
    </xf>
    <xf numFmtId="0" fontId="6" fillId="7" borderId="31" xfId="0" applyFont="1" applyFill="1" applyBorder="1" applyAlignment="1">
      <alignment vertical="center" wrapText="1"/>
    </xf>
    <xf numFmtId="168" fontId="9" fillId="0" borderId="17" xfId="0" applyNumberFormat="1" applyFont="1" applyBorder="1" applyAlignment="1">
      <alignment horizontal="center"/>
    </xf>
    <xf numFmtId="168" fontId="11" fillId="0" borderId="32" xfId="0" applyNumberFormat="1" applyFont="1" applyBorder="1" applyAlignment="1">
      <alignment horizontal="center"/>
    </xf>
    <xf numFmtId="168" fontId="9" fillId="0" borderId="33" xfId="0" applyNumberFormat="1" applyFont="1" applyBorder="1" applyAlignment="1">
      <alignment horizontal="center"/>
    </xf>
    <xf numFmtId="168" fontId="12" fillId="0" borderId="32" xfId="0" applyNumberFormat="1" applyFont="1" applyBorder="1" applyAlignment="1">
      <alignment horizontal="center"/>
    </xf>
    <xf numFmtId="168" fontId="9" fillId="0" borderId="34" xfId="0" applyNumberFormat="1" applyFont="1" applyBorder="1" applyAlignment="1">
      <alignment horizontal="center"/>
    </xf>
    <xf numFmtId="168" fontId="9" fillId="0" borderId="17" xfId="0" applyNumberFormat="1" applyFont="1" applyBorder="1" applyAlignment="1">
      <alignment horizontal="center" vertical="center"/>
    </xf>
    <xf numFmtId="4" fontId="30" fillId="0" borderId="0" xfId="0" applyNumberFormat="1" applyFont="1" applyAlignment="1">
      <alignment horizontal="center"/>
    </xf>
    <xf numFmtId="4" fontId="30" fillId="0" borderId="35" xfId="0" applyNumberFormat="1" applyFont="1" applyBorder="1" applyAlignment="1">
      <alignment horizontal="center"/>
    </xf>
    <xf numFmtId="3" fontId="33" fillId="3" borderId="0" xfId="0" applyNumberFormat="1" applyFont="1" applyFill="1"/>
    <xf numFmtId="0" fontId="14" fillId="0" borderId="5" xfId="0" applyFont="1" applyBorder="1" applyAlignment="1">
      <alignment horizontal="left" vertical="center" wrapText="1"/>
    </xf>
    <xf numFmtId="3" fontId="32" fillId="3" borderId="101" xfId="0" applyNumberFormat="1" applyFont="1" applyFill="1" applyBorder="1" applyAlignment="1">
      <alignment vertical="center"/>
    </xf>
    <xf numFmtId="168" fontId="32" fillId="0" borderId="103" xfId="0" applyNumberFormat="1" applyFont="1" applyBorder="1" applyAlignment="1">
      <alignment horizontal="center"/>
    </xf>
    <xf numFmtId="3" fontId="33" fillId="3" borderId="101" xfId="0" applyNumberFormat="1" applyFont="1" applyFill="1" applyBorder="1" applyAlignment="1">
      <alignment vertical="center"/>
    </xf>
    <xf numFmtId="0" fontId="6" fillId="0" borderId="100" xfId="0" applyFont="1" applyBorder="1" applyAlignment="1">
      <alignment horizontal="left" vertical="center" wrapText="1"/>
    </xf>
    <xf numFmtId="3" fontId="8" fillId="3" borderId="101" xfId="0" applyNumberFormat="1" applyFont="1" applyFill="1" applyBorder="1"/>
    <xf numFmtId="3" fontId="32" fillId="3" borderId="96" xfId="0" applyNumberFormat="1" applyFont="1" applyFill="1" applyBorder="1"/>
    <xf numFmtId="0" fontId="6" fillId="0" borderId="96" xfId="0" applyFont="1" applyBorder="1" applyAlignment="1">
      <alignment horizontal="center" vertical="center"/>
    </xf>
    <xf numFmtId="3" fontId="8" fillId="0" borderId="96" xfId="0" applyNumberFormat="1" applyFont="1" applyBorder="1"/>
    <xf numFmtId="3" fontId="8" fillId="0" borderId="103" xfId="0" applyNumberFormat="1" applyFont="1" applyBorder="1"/>
    <xf numFmtId="3" fontId="8" fillId="0" borderId="101" xfId="0" applyNumberFormat="1" applyFont="1" applyBorder="1"/>
    <xf numFmtId="3" fontId="33" fillId="3" borderId="47" xfId="0" applyNumberFormat="1" applyFont="1" applyFill="1" applyBorder="1"/>
    <xf numFmtId="3" fontId="96" fillId="3" borderId="103" xfId="0" applyNumberFormat="1" applyFont="1" applyFill="1" applyBorder="1"/>
    <xf numFmtId="168" fontId="0" fillId="0" borderId="80" xfId="0" applyNumberFormat="1" applyBorder="1"/>
    <xf numFmtId="168" fontId="38" fillId="0" borderId="77" xfId="0" applyNumberFormat="1" applyFont="1" applyBorder="1"/>
    <xf numFmtId="168" fontId="51" fillId="0" borderId="77" xfId="0" applyNumberFormat="1" applyFont="1" applyBorder="1"/>
    <xf numFmtId="168" fontId="48" fillId="0" borderId="77" xfId="0" applyNumberFormat="1" applyFont="1" applyBorder="1"/>
    <xf numFmtId="168" fontId="51" fillId="0" borderId="82" xfId="0" applyNumberFormat="1" applyFont="1" applyBorder="1"/>
    <xf numFmtId="168" fontId="51" fillId="0" borderId="0" xfId="0" applyNumberFormat="1" applyFont="1"/>
    <xf numFmtId="170" fontId="2" fillId="0" borderId="0" xfId="0" applyNumberFormat="1" applyFont="1"/>
    <xf numFmtId="170" fontId="3" fillId="0" borderId="0" xfId="0" applyNumberFormat="1" applyFont="1"/>
    <xf numFmtId="3" fontId="14" fillId="0" borderId="53" xfId="0" applyNumberFormat="1" applyFont="1" applyBorder="1" applyAlignment="1">
      <alignment vertical="center"/>
    </xf>
    <xf numFmtId="3" fontId="38" fillId="0" borderId="41" xfId="0" applyNumberFormat="1" applyFont="1" applyBorder="1"/>
    <xf numFmtId="168" fontId="9" fillId="0" borderId="32" xfId="0" applyNumberFormat="1" applyFont="1" applyBorder="1" applyAlignment="1">
      <alignment horizontal="center"/>
    </xf>
    <xf numFmtId="0" fontId="16" fillId="8" borderId="75" xfId="0" applyFont="1" applyFill="1" applyBorder="1" applyAlignment="1">
      <alignment horizontal="center" vertical="center" wrapText="1"/>
    </xf>
    <xf numFmtId="0" fontId="16" fillId="8" borderId="75" xfId="0" applyFont="1" applyFill="1" applyBorder="1" applyAlignment="1">
      <alignment horizontal="center" vertical="center"/>
    </xf>
    <xf numFmtId="168" fontId="16" fillId="8" borderId="79" xfId="0" applyNumberFormat="1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/>
    </xf>
    <xf numFmtId="0" fontId="16" fillId="8" borderId="64" xfId="0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 wrapText="1"/>
    </xf>
    <xf numFmtId="0" fontId="16" fillId="8" borderId="95" xfId="0" applyFont="1" applyFill="1" applyBorder="1" applyAlignment="1">
      <alignment horizontal="center" vertical="center" wrapText="1"/>
    </xf>
    <xf numFmtId="0" fontId="74" fillId="7" borderId="29" xfId="0" applyFont="1" applyFill="1" applyBorder="1"/>
    <xf numFmtId="0" fontId="73" fillId="7" borderId="0" xfId="0" applyFont="1" applyFill="1" applyAlignment="1">
      <alignment horizontal="center"/>
    </xf>
    <xf numFmtId="0" fontId="73" fillId="7" borderId="7" xfId="0" applyFont="1" applyFill="1" applyBorder="1" applyAlignment="1">
      <alignment horizontal="center"/>
    </xf>
    <xf numFmtId="0" fontId="74" fillId="7" borderId="31" xfId="0" applyFont="1" applyFill="1" applyBorder="1"/>
    <xf numFmtId="0" fontId="74" fillId="7" borderId="8" xfId="0" applyFont="1" applyFill="1" applyBorder="1"/>
    <xf numFmtId="0" fontId="16" fillId="8" borderId="66" xfId="0" applyFont="1" applyFill="1" applyBorder="1" applyAlignment="1">
      <alignment horizontal="center" vertical="center" wrapText="1"/>
    </xf>
    <xf numFmtId="0" fontId="20" fillId="0" borderId="8" xfId="0" applyFont="1" applyBorder="1"/>
    <xf numFmtId="0" fontId="6" fillId="7" borderId="30" xfId="0" applyFont="1" applyFill="1" applyBorder="1" applyAlignment="1">
      <alignment horizontal="center" vertical="center" wrapText="1"/>
    </xf>
    <xf numFmtId="0" fontId="6" fillId="7" borderId="83" xfId="0" applyFont="1" applyFill="1" applyBorder="1" applyAlignment="1">
      <alignment horizontal="center" vertical="center" wrapText="1"/>
    </xf>
    <xf numFmtId="0" fontId="6" fillId="7" borderId="8" xfId="0" applyFont="1" applyFill="1" applyBorder="1" applyAlignment="1">
      <alignment horizontal="center" vertical="center"/>
    </xf>
    <xf numFmtId="0" fontId="6" fillId="7" borderId="31" xfId="0" applyFont="1" applyFill="1" applyBorder="1" applyAlignment="1">
      <alignment horizontal="center" vertical="center"/>
    </xf>
    <xf numFmtId="0" fontId="6" fillId="7" borderId="38" xfId="0" applyFont="1" applyFill="1" applyBorder="1" applyAlignment="1">
      <alignment horizontal="center" vertical="center" wrapText="1"/>
    </xf>
    <xf numFmtId="168" fontId="32" fillId="0" borderId="109" xfId="0" applyNumberFormat="1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170" fontId="9" fillId="0" borderId="94" xfId="0" applyNumberFormat="1" applyFont="1" applyBorder="1" applyAlignment="1">
      <alignment horizontal="center"/>
    </xf>
    <xf numFmtId="3" fontId="14" fillId="0" borderId="7" xfId="0" applyNumberFormat="1" applyFont="1" applyBorder="1"/>
    <xf numFmtId="0" fontId="16" fillId="8" borderId="118" xfId="0" applyFont="1" applyFill="1" applyBorder="1" applyAlignment="1">
      <alignment horizontal="center" vertical="center" wrapText="1"/>
    </xf>
    <xf numFmtId="0" fontId="16" fillId="8" borderId="120" xfId="0" applyFont="1" applyFill="1" applyBorder="1" applyAlignment="1">
      <alignment horizontal="center" vertical="center" wrapText="1"/>
    </xf>
    <xf numFmtId="0" fontId="0" fillId="0" borderId="121" xfId="0" applyBorder="1"/>
    <xf numFmtId="0" fontId="6" fillId="0" borderId="122" xfId="0" applyFont="1" applyBorder="1"/>
    <xf numFmtId="0" fontId="0" fillId="0" borderId="123" xfId="0" applyBorder="1"/>
    <xf numFmtId="0" fontId="38" fillId="0" borderId="122" xfId="0" applyFont="1" applyBorder="1"/>
    <xf numFmtId="3" fontId="50" fillId="0" borderId="122" xfId="0" applyNumberFormat="1" applyFont="1" applyBorder="1"/>
    <xf numFmtId="168" fontId="38" fillId="0" borderId="123" xfId="0" applyNumberFormat="1" applyFont="1" applyBorder="1" applyAlignment="1">
      <alignment horizontal="center"/>
    </xf>
    <xf numFmtId="3" fontId="38" fillId="0" borderId="122" xfId="0" applyNumberFormat="1" applyFont="1" applyBorder="1"/>
    <xf numFmtId="0" fontId="38" fillId="0" borderId="121" xfId="0" applyFont="1" applyBorder="1" applyAlignment="1">
      <alignment horizontal="left"/>
    </xf>
    <xf numFmtId="0" fontId="38" fillId="0" borderId="122" xfId="0" applyFont="1" applyBorder="1" applyAlignment="1">
      <alignment horizontal="left"/>
    </xf>
    <xf numFmtId="3" fontId="50" fillId="0" borderId="122" xfId="0" applyNumberFormat="1" applyFont="1" applyBorder="1" applyAlignment="1">
      <alignment horizontal="right"/>
    </xf>
    <xf numFmtId="0" fontId="48" fillId="0" borderId="122" xfId="0" applyFont="1" applyBorder="1" applyAlignment="1">
      <alignment horizontal="left"/>
    </xf>
    <xf numFmtId="3" fontId="49" fillId="0" borderId="122" xfId="0" applyNumberFormat="1" applyFont="1" applyBorder="1" applyAlignment="1">
      <alignment horizontal="left"/>
    </xf>
    <xf numFmtId="3" fontId="49" fillId="0" borderId="122" xfId="0" applyNumberFormat="1" applyFont="1" applyBorder="1"/>
    <xf numFmtId="3" fontId="48" fillId="0" borderId="122" xfId="0" applyNumberFormat="1" applyFont="1" applyBorder="1"/>
    <xf numFmtId="0" fontId="48" fillId="0" borderId="122" xfId="0" applyFont="1" applyBorder="1"/>
    <xf numFmtId="164" fontId="38" fillId="0" borderId="122" xfId="1" applyFont="1" applyFill="1" applyBorder="1" applyAlignment="1" applyProtection="1"/>
    <xf numFmtId="3" fontId="50" fillId="0" borderId="122" xfId="1" applyNumberFormat="1" applyFont="1" applyFill="1" applyBorder="1" applyAlignment="1" applyProtection="1"/>
    <xf numFmtId="0" fontId="48" fillId="0" borderId="121" xfId="0" applyFont="1" applyBorder="1" applyAlignment="1">
      <alignment horizontal="left"/>
    </xf>
    <xf numFmtId="0" fontId="38" fillId="0" borderId="124" xfId="0" applyFont="1" applyBorder="1" applyAlignment="1">
      <alignment horizontal="left"/>
    </xf>
    <xf numFmtId="0" fontId="48" fillId="0" borderId="125" xfId="0" applyFont="1" applyBorder="1"/>
    <xf numFmtId="3" fontId="48" fillId="0" borderId="125" xfId="0" applyNumberFormat="1" applyFont="1" applyBorder="1"/>
    <xf numFmtId="0" fontId="83" fillId="8" borderId="119" xfId="5" applyFont="1" applyFill="1" applyBorder="1" applyAlignment="1">
      <alignment horizontal="center" vertical="center"/>
    </xf>
    <xf numFmtId="0" fontId="83" fillId="8" borderId="130" xfId="5" applyFont="1" applyFill="1" applyBorder="1" applyAlignment="1">
      <alignment horizontal="center" vertical="center" wrapText="1"/>
    </xf>
    <xf numFmtId="0" fontId="83" fillId="8" borderId="131" xfId="5" applyFont="1" applyFill="1" applyBorder="1" applyAlignment="1">
      <alignment horizontal="center" vertical="center" wrapText="1"/>
    </xf>
    <xf numFmtId="0" fontId="77" fillId="0" borderId="121" xfId="5" applyBorder="1"/>
    <xf numFmtId="0" fontId="77" fillId="0" borderId="122" xfId="5" applyBorder="1"/>
    <xf numFmtId="0" fontId="77" fillId="0" borderId="133" xfId="5" applyBorder="1"/>
    <xf numFmtId="0" fontId="84" fillId="0" borderId="122" xfId="5" applyFont="1" applyBorder="1" applyAlignment="1">
      <alignment horizontal="center"/>
    </xf>
    <xf numFmtId="175" fontId="84" fillId="0" borderId="123" xfId="5" applyNumberFormat="1" applyFont="1" applyBorder="1" applyAlignment="1">
      <alignment horizontal="center"/>
    </xf>
    <xf numFmtId="0" fontId="85" fillId="0" borderId="121" xfId="5" applyFont="1" applyBorder="1"/>
    <xf numFmtId="3" fontId="85" fillId="3" borderId="122" xfId="5" applyNumberFormat="1" applyFont="1" applyFill="1" applyBorder="1"/>
    <xf numFmtId="3" fontId="85" fillId="0" borderId="122" xfId="5" applyNumberFormat="1" applyFont="1" applyBorder="1"/>
    <xf numFmtId="170" fontId="85" fillId="3" borderId="123" xfId="5" applyNumberFormat="1" applyFont="1" applyFill="1" applyBorder="1" applyAlignment="1">
      <alignment horizontal="center"/>
    </xf>
    <xf numFmtId="0" fontId="85" fillId="0" borderId="122" xfId="5" applyFont="1" applyBorder="1"/>
    <xf numFmtId="170" fontId="85" fillId="0" borderId="123" xfId="5" applyNumberFormat="1" applyFont="1" applyBorder="1" applyAlignment="1">
      <alignment horizontal="center"/>
    </xf>
    <xf numFmtId="0" fontId="85" fillId="3" borderId="121" xfId="5" applyFont="1" applyFill="1" applyBorder="1" applyAlignment="1">
      <alignment horizontal="left"/>
    </xf>
    <xf numFmtId="0" fontId="86" fillId="3" borderId="121" xfId="5" applyFont="1" applyFill="1" applyBorder="1" applyAlignment="1">
      <alignment horizontal="left"/>
    </xf>
    <xf numFmtId="0" fontId="86" fillId="3" borderId="122" xfId="5" applyFont="1" applyFill="1" applyBorder="1" applyAlignment="1">
      <alignment horizontal="left"/>
    </xf>
    <xf numFmtId="3" fontId="86" fillId="3" borderId="122" xfId="5" applyNumberFormat="1" applyFont="1" applyFill="1" applyBorder="1"/>
    <xf numFmtId="170" fontId="86" fillId="3" borderId="123" xfId="5" applyNumberFormat="1" applyFont="1" applyFill="1" applyBorder="1" applyAlignment="1">
      <alignment horizontal="center"/>
    </xf>
    <xf numFmtId="0" fontId="87" fillId="3" borderId="121" xfId="5" applyFont="1" applyFill="1" applyBorder="1"/>
    <xf numFmtId="3" fontId="87" fillId="0" borderId="122" xfId="5" applyNumberFormat="1" applyFont="1" applyBorder="1"/>
    <xf numFmtId="170" fontId="87" fillId="3" borderId="123" xfId="5" applyNumberFormat="1" applyFont="1" applyFill="1" applyBorder="1" applyAlignment="1">
      <alignment horizontal="center"/>
    </xf>
    <xf numFmtId="0" fontId="87" fillId="3" borderId="121" xfId="5" applyFont="1" applyFill="1" applyBorder="1" applyAlignment="1">
      <alignment horizontal="left"/>
    </xf>
    <xf numFmtId="0" fontId="87" fillId="0" borderId="122" xfId="5" applyFont="1" applyBorder="1" applyAlignment="1">
      <alignment horizontal="left"/>
    </xf>
    <xf numFmtId="0" fontId="85" fillId="0" borderId="122" xfId="5" applyFont="1" applyBorder="1" applyAlignment="1">
      <alignment horizontal="left"/>
    </xf>
    <xf numFmtId="3" fontId="85" fillId="0" borderId="122" xfId="5" applyNumberFormat="1" applyFont="1" applyBorder="1" applyAlignment="1">
      <alignment horizontal="right"/>
    </xf>
    <xf numFmtId="171" fontId="85" fillId="0" borderId="122" xfId="5" applyNumberFormat="1" applyFont="1" applyBorder="1" applyAlignment="1">
      <alignment horizontal="right"/>
    </xf>
    <xf numFmtId="0" fontId="88" fillId="3" borderId="121" xfId="5" applyFont="1" applyFill="1" applyBorder="1" applyAlignment="1">
      <alignment horizontal="left"/>
    </xf>
    <xf numFmtId="0" fontId="85" fillId="3" borderId="130" xfId="5" applyFont="1" applyFill="1" applyBorder="1" applyAlignment="1">
      <alignment horizontal="left"/>
    </xf>
    <xf numFmtId="171" fontId="85" fillId="3" borderId="130" xfId="5" applyNumberFormat="1" applyFont="1" applyFill="1" applyBorder="1"/>
    <xf numFmtId="167" fontId="85" fillId="3" borderId="130" xfId="5" applyNumberFormat="1" applyFont="1" applyFill="1" applyBorder="1" applyAlignment="1">
      <alignment horizontal="right"/>
    </xf>
    <xf numFmtId="170" fontId="86" fillId="3" borderId="134" xfId="5" applyNumberFormat="1" applyFont="1" applyFill="1" applyBorder="1" applyAlignment="1">
      <alignment horizontal="center"/>
    </xf>
    <xf numFmtId="170" fontId="16" fillId="8" borderId="8" xfId="0" applyNumberFormat="1" applyFont="1" applyFill="1" applyBorder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 wrapText="1"/>
    </xf>
    <xf numFmtId="170" fontId="10" fillId="4" borderId="94" xfId="0" applyNumberFormat="1" applyFont="1" applyFill="1" applyBorder="1" applyAlignment="1">
      <alignment horizontal="center" vertical="center" wrapText="1"/>
    </xf>
    <xf numFmtId="0" fontId="10" fillId="3" borderId="94" xfId="0" applyFont="1" applyFill="1" applyBorder="1" applyAlignment="1">
      <alignment horizontal="center" vertical="center" wrapText="1"/>
    </xf>
    <xf numFmtId="0" fontId="10" fillId="3" borderId="94" xfId="0" applyFont="1" applyFill="1" applyBorder="1"/>
    <xf numFmtId="0" fontId="10" fillId="3" borderId="94" xfId="0" applyFont="1" applyFill="1" applyBorder="1" applyAlignment="1">
      <alignment horizontal="center"/>
    </xf>
    <xf numFmtId="0" fontId="10" fillId="3" borderId="108" xfId="0" applyFont="1" applyFill="1" applyBorder="1" applyAlignment="1">
      <alignment horizontal="center" vertical="center" wrapText="1"/>
    </xf>
    <xf numFmtId="0" fontId="51" fillId="0" borderId="94" xfId="0" applyFont="1" applyBorder="1"/>
    <xf numFmtId="0" fontId="51" fillId="0" borderId="108" xfId="0" applyFont="1" applyBorder="1" applyAlignment="1">
      <alignment horizontal="center"/>
    </xf>
    <xf numFmtId="0" fontId="38" fillId="0" borderId="5" xfId="0" applyFont="1" applyBorder="1"/>
    <xf numFmtId="170" fontId="38" fillId="0" borderId="94" xfId="0" applyNumberFormat="1" applyFont="1" applyBorder="1"/>
    <xf numFmtId="0" fontId="38" fillId="0" borderId="94" xfId="0" applyFont="1" applyBorder="1"/>
    <xf numFmtId="0" fontId="38" fillId="0" borderId="108" xfId="0" applyFont="1" applyBorder="1" applyAlignment="1">
      <alignment horizontal="center"/>
    </xf>
    <xf numFmtId="168" fontId="38" fillId="0" borderId="108" xfId="0" applyNumberFormat="1" applyFont="1" applyBorder="1" applyAlignment="1">
      <alignment horizontal="center"/>
    </xf>
    <xf numFmtId="0" fontId="51" fillId="0" borderId="5" xfId="0" applyFont="1" applyBorder="1"/>
    <xf numFmtId="170" fontId="51" fillId="0" borderId="94" xfId="0" applyNumberFormat="1" applyFont="1" applyBorder="1"/>
    <xf numFmtId="168" fontId="51" fillId="0" borderId="108" xfId="0" applyNumberFormat="1" applyFont="1" applyBorder="1" applyAlignment="1">
      <alignment horizontal="center"/>
    </xf>
    <xf numFmtId="170" fontId="48" fillId="0" borderId="94" xfId="0" applyNumberFormat="1" applyFont="1" applyBorder="1"/>
    <xf numFmtId="0" fontId="48" fillId="0" borderId="5" xfId="0" applyFont="1" applyBorder="1"/>
    <xf numFmtId="168" fontId="48" fillId="0" borderId="108" xfId="0" applyNumberFormat="1" applyFont="1" applyBorder="1" applyAlignment="1">
      <alignment horizontal="center"/>
    </xf>
    <xf numFmtId="170" fontId="50" fillId="0" borderId="94" xfId="0" applyNumberFormat="1" applyFont="1" applyBorder="1"/>
    <xf numFmtId="170" fontId="49" fillId="0" borderId="94" xfId="0" applyNumberFormat="1" applyFont="1" applyBorder="1"/>
    <xf numFmtId="170" fontId="48" fillId="0" borderId="94" xfId="0" applyNumberFormat="1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170" fontId="9" fillId="0" borderId="8" xfId="0" applyNumberFormat="1" applyFont="1" applyBorder="1" applyAlignment="1">
      <alignment horizontal="center"/>
    </xf>
    <xf numFmtId="174" fontId="48" fillId="0" borderId="8" xfId="0" applyNumberFormat="1" applyFont="1" applyBorder="1"/>
    <xf numFmtId="170" fontId="48" fillId="0" borderId="8" xfId="0" applyNumberFormat="1" applyFont="1" applyBorder="1"/>
    <xf numFmtId="173" fontId="9" fillId="0" borderId="8" xfId="0" applyNumberFormat="1" applyFont="1" applyBorder="1"/>
    <xf numFmtId="170" fontId="6" fillId="0" borderId="0" xfId="0" applyNumberFormat="1" applyFont="1"/>
    <xf numFmtId="2" fontId="6" fillId="0" borderId="0" xfId="0" applyNumberFormat="1" applyFont="1"/>
    <xf numFmtId="170" fontId="8" fillId="0" borderId="0" xfId="0" applyNumberFormat="1" applyFont="1"/>
    <xf numFmtId="49" fontId="56" fillId="0" borderId="0" xfId="0" applyNumberFormat="1" applyFont="1"/>
    <xf numFmtId="1" fontId="0" fillId="0" borderId="0" xfId="0" applyNumberFormat="1"/>
    <xf numFmtId="0" fontId="16" fillId="8" borderId="141" xfId="0" applyFont="1" applyFill="1" applyBorder="1" applyAlignment="1">
      <alignment horizontal="center" vertical="center"/>
    </xf>
    <xf numFmtId="3" fontId="6" fillId="0" borderId="150" xfId="0" applyNumberFormat="1" applyFont="1" applyBorder="1" applyAlignment="1">
      <alignment horizontal="left" vertical="center"/>
    </xf>
    <xf numFmtId="3" fontId="16" fillId="0" borderId="151" xfId="0" applyNumberFormat="1" applyFont="1" applyBorder="1" applyAlignment="1">
      <alignment horizontal="left" vertical="center"/>
    </xf>
    <xf numFmtId="3" fontId="16" fillId="0" borderId="152" xfId="0" applyNumberFormat="1" applyFont="1" applyBorder="1" applyAlignment="1">
      <alignment vertical="center"/>
    </xf>
    <xf numFmtId="3" fontId="16" fillId="0" borderId="153" xfId="0" applyNumberFormat="1" applyFont="1" applyBorder="1" applyAlignment="1">
      <alignment vertical="center"/>
    </xf>
    <xf numFmtId="168" fontId="16" fillId="0" borderId="152" xfId="0" applyNumberFormat="1" applyFont="1" applyBorder="1" applyAlignment="1">
      <alignment horizontal="center" vertical="center"/>
    </xf>
    <xf numFmtId="3" fontId="6" fillId="0" borderId="155" xfId="0" applyNumberFormat="1" applyFont="1" applyBorder="1" applyAlignment="1">
      <alignment horizontal="left" vertical="center"/>
    </xf>
    <xf numFmtId="3" fontId="16" fillId="0" borderId="156" xfId="0" applyNumberFormat="1" applyFont="1" applyBorder="1" applyAlignment="1">
      <alignment horizontal="left" vertical="center"/>
    </xf>
    <xf numFmtId="3" fontId="16" fillId="0" borderId="157" xfId="0" applyNumberFormat="1" applyFont="1" applyBorder="1" applyAlignment="1">
      <alignment vertical="center"/>
    </xf>
    <xf numFmtId="3" fontId="16" fillId="0" borderId="158" xfId="0" applyNumberFormat="1" applyFont="1" applyBorder="1" applyAlignment="1">
      <alignment vertical="center"/>
    </xf>
    <xf numFmtId="3" fontId="16" fillId="0" borderId="0" xfId="0" applyNumberFormat="1" applyFont="1" applyAlignment="1">
      <alignment horizontal="left"/>
    </xf>
    <xf numFmtId="3" fontId="14" fillId="0" borderId="0" xfId="0" applyNumberFormat="1" applyFont="1" applyAlignment="1">
      <alignment horizontal="left"/>
    </xf>
    <xf numFmtId="0" fontId="14" fillId="0" borderId="0" xfId="0" applyFont="1" applyAlignment="1">
      <alignment horizontal="left"/>
    </xf>
    <xf numFmtId="3" fontId="16" fillId="0" borderId="0" xfId="0" applyNumberFormat="1" applyFont="1" applyAlignment="1">
      <alignment vertical="center"/>
    </xf>
    <xf numFmtId="3" fontId="14" fillId="0" borderId="77" xfId="0" applyNumberFormat="1" applyFont="1" applyBorder="1"/>
    <xf numFmtId="3" fontId="16" fillId="0" borderId="161" xfId="0" applyNumberFormat="1" applyFont="1" applyBorder="1" applyAlignment="1">
      <alignment horizontal="left" vertical="center"/>
    </xf>
    <xf numFmtId="3" fontId="16" fillId="0" borderId="162" xfId="0" applyNumberFormat="1" applyFont="1" applyBorder="1" applyAlignment="1">
      <alignment horizontal="left" vertical="center"/>
    </xf>
    <xf numFmtId="3" fontId="16" fillId="0" borderId="163" xfId="0" applyNumberFormat="1" applyFont="1" applyBorder="1" applyAlignment="1">
      <alignment vertical="center"/>
    </xf>
    <xf numFmtId="3" fontId="16" fillId="0" borderId="164" xfId="0" applyNumberFormat="1" applyFont="1" applyBorder="1" applyAlignment="1">
      <alignment vertical="center"/>
    </xf>
    <xf numFmtId="3" fontId="16" fillId="0" borderId="162" xfId="0" applyNumberFormat="1" applyFont="1" applyBorder="1" applyAlignment="1">
      <alignment vertical="center"/>
    </xf>
    <xf numFmtId="3" fontId="16" fillId="0" borderId="167" xfId="0" applyNumberFormat="1" applyFont="1" applyBorder="1" applyAlignment="1">
      <alignment horizontal="left" vertical="center"/>
    </xf>
    <xf numFmtId="168" fontId="16" fillId="0" borderId="163" xfId="0" applyNumberFormat="1" applyFont="1" applyBorder="1" applyAlignment="1">
      <alignment horizontal="center" vertical="center"/>
    </xf>
    <xf numFmtId="168" fontId="16" fillId="0" borderId="167" xfId="0" applyNumberFormat="1" applyFont="1" applyBorder="1" applyAlignment="1">
      <alignment horizontal="center" vertical="center"/>
    </xf>
    <xf numFmtId="3" fontId="14" fillId="0" borderId="168" xfId="0" applyNumberFormat="1" applyFont="1" applyBorder="1" applyAlignment="1">
      <alignment horizontal="left"/>
    </xf>
    <xf numFmtId="3" fontId="6" fillId="0" borderId="169" xfId="0" applyNumberFormat="1" applyFont="1" applyBorder="1" applyAlignment="1">
      <alignment horizontal="left" vertical="center"/>
    </xf>
    <xf numFmtId="3" fontId="43" fillId="0" borderId="170" xfId="0" applyNumberFormat="1" applyFont="1" applyBorder="1" applyAlignment="1">
      <alignment vertical="center"/>
    </xf>
    <xf numFmtId="3" fontId="43" fillId="0" borderId="171" xfId="0" applyNumberFormat="1" applyFont="1" applyBorder="1" applyAlignment="1">
      <alignment vertical="center"/>
    </xf>
    <xf numFmtId="168" fontId="6" fillId="0" borderId="170" xfId="0" applyNumberFormat="1" applyFont="1" applyBorder="1" applyAlignment="1">
      <alignment horizontal="center" vertical="center"/>
    </xf>
    <xf numFmtId="3" fontId="14" fillId="0" borderId="169" xfId="0" applyNumberFormat="1" applyFont="1" applyBorder="1" applyAlignment="1">
      <alignment horizontal="left"/>
    </xf>
    <xf numFmtId="3" fontId="14" fillId="0" borderId="170" xfId="0" applyNumberFormat="1" applyFont="1" applyBorder="1"/>
    <xf numFmtId="3" fontId="14" fillId="0" borderId="171" xfId="0" applyNumberFormat="1" applyFont="1" applyBorder="1"/>
    <xf numFmtId="168" fontId="14" fillId="0" borderId="170" xfId="0" applyNumberFormat="1" applyFont="1" applyBorder="1" applyAlignment="1">
      <alignment horizontal="center"/>
    </xf>
    <xf numFmtId="0" fontId="83" fillId="0" borderId="0" xfId="5" applyFont="1"/>
    <xf numFmtId="0" fontId="85" fillId="3" borderId="0" xfId="5" applyFont="1" applyFill="1" applyAlignment="1">
      <alignment horizontal="left"/>
    </xf>
    <xf numFmtId="171" fontId="85" fillId="3" borderId="0" xfId="5" applyNumberFormat="1" applyFont="1" applyFill="1"/>
    <xf numFmtId="167" fontId="85" fillId="3" borderId="0" xfId="5" applyNumberFormat="1" applyFont="1" applyFill="1" applyAlignment="1">
      <alignment horizontal="right"/>
    </xf>
    <xf numFmtId="170" fontId="86" fillId="3" borderId="0" xfId="5" applyNumberFormat="1" applyFont="1" applyFill="1" applyAlignment="1">
      <alignment horizontal="center"/>
    </xf>
    <xf numFmtId="0" fontId="53" fillId="0" borderId="0" xfId="5" applyFont="1"/>
    <xf numFmtId="3" fontId="39" fillId="0" borderId="0" xfId="0" applyNumberFormat="1" applyFont="1"/>
    <xf numFmtId="3" fontId="29" fillId="0" borderId="0" xfId="0" applyNumberFormat="1" applyFont="1"/>
    <xf numFmtId="3" fontId="94" fillId="0" borderId="4" xfId="0" applyNumberFormat="1" applyFont="1" applyBorder="1"/>
    <xf numFmtId="0" fontId="48" fillId="0" borderId="41" xfId="0" applyFont="1" applyBorder="1"/>
    <xf numFmtId="3" fontId="49" fillId="0" borderId="4" xfId="0" applyNumberFormat="1" applyFont="1" applyBorder="1"/>
    <xf numFmtId="3" fontId="49" fillId="0" borderId="41" xfId="0" applyNumberFormat="1" applyFont="1" applyBorder="1"/>
    <xf numFmtId="0" fontId="38" fillId="0" borderId="41" xfId="0" applyFont="1" applyBorder="1" applyAlignment="1">
      <alignment horizontal="center" vertical="center"/>
    </xf>
    <xf numFmtId="3" fontId="50" fillId="0" borderId="4" xfId="0" applyNumberFormat="1" applyFont="1" applyBorder="1" applyAlignment="1">
      <alignment vertical="center"/>
    </xf>
    <xf numFmtId="3" fontId="50" fillId="0" borderId="4" xfId="0" applyNumberFormat="1" applyFont="1" applyBorder="1" applyAlignment="1">
      <alignment horizontal="center"/>
    </xf>
    <xf numFmtId="3" fontId="49" fillId="0" borderId="46" xfId="0" applyNumberFormat="1" applyFont="1" applyBorder="1"/>
    <xf numFmtId="3" fontId="49" fillId="0" borderId="108" xfId="0" applyNumberFormat="1" applyFont="1" applyBorder="1"/>
    <xf numFmtId="0" fontId="38" fillId="0" borderId="0" xfId="0" applyFont="1"/>
    <xf numFmtId="3" fontId="49" fillId="0" borderId="108" xfId="0" applyNumberFormat="1" applyFont="1" applyBorder="1" applyAlignment="1">
      <alignment horizontal="right"/>
    </xf>
    <xf numFmtId="3" fontId="49" fillId="0" borderId="103" xfId="0" applyNumberFormat="1" applyFont="1" applyBorder="1" applyAlignment="1">
      <alignment horizontal="right"/>
    </xf>
    <xf numFmtId="3" fontId="38" fillId="0" borderId="0" xfId="0" applyNumberFormat="1" applyFont="1"/>
    <xf numFmtId="0" fontId="52" fillId="0" borderId="0" xfId="0" applyFont="1"/>
    <xf numFmtId="3" fontId="51" fillId="0" borderId="0" xfId="0" applyNumberFormat="1" applyFont="1"/>
    <xf numFmtId="4" fontId="8" fillId="0" borderId="39" xfId="0" applyNumberFormat="1" applyFont="1" applyBorder="1"/>
    <xf numFmtId="4" fontId="32" fillId="0" borderId="40" xfId="0" applyNumberFormat="1" applyFont="1" applyBorder="1" applyAlignment="1">
      <alignment vertical="center"/>
    </xf>
    <xf numFmtId="4" fontId="0" fillId="0" borderId="29" xfId="0" applyNumberFormat="1" applyBorder="1"/>
    <xf numFmtId="4" fontId="8" fillId="0" borderId="101" xfId="0" applyNumberFormat="1" applyFont="1" applyBorder="1"/>
    <xf numFmtId="4" fontId="8" fillId="3" borderId="103" xfId="0" applyNumberFormat="1" applyFont="1" applyFill="1" applyBorder="1"/>
    <xf numFmtId="4" fontId="8" fillId="0" borderId="12" xfId="0" applyNumberFormat="1" applyFont="1" applyBorder="1"/>
    <xf numFmtId="3" fontId="43" fillId="0" borderId="0" xfId="0" applyNumberFormat="1" applyFont="1" applyAlignment="1">
      <alignment horizontal="right"/>
    </xf>
    <xf numFmtId="4" fontId="0" fillId="0" borderId="122" xfId="0" applyNumberFormat="1" applyBorder="1"/>
    <xf numFmtId="4" fontId="48" fillId="0" borderId="20" xfId="0" applyNumberFormat="1" applyFont="1" applyBorder="1"/>
    <xf numFmtId="4" fontId="48" fillId="0" borderId="29" xfId="0" applyNumberFormat="1" applyFont="1" applyBorder="1"/>
    <xf numFmtId="4" fontId="55" fillId="0" borderId="0" xfId="0" applyNumberFormat="1" applyFont="1"/>
    <xf numFmtId="4" fontId="3" fillId="0" borderId="0" xfId="0" applyNumberFormat="1" applyFont="1"/>
    <xf numFmtId="170" fontId="48" fillId="3" borderId="123" xfId="5" applyNumberFormat="1" applyFont="1" applyFill="1" applyBorder="1" applyAlignment="1">
      <alignment horizontal="center"/>
    </xf>
    <xf numFmtId="171" fontId="77" fillId="0" borderId="0" xfId="5" applyNumberFormat="1"/>
    <xf numFmtId="167" fontId="38" fillId="3" borderId="0" xfId="5" applyNumberFormat="1" applyFont="1" applyFill="1" applyAlignment="1">
      <alignment horizontal="right"/>
    </xf>
    <xf numFmtId="3" fontId="53" fillId="0" borderId="0" xfId="5" applyNumberFormat="1" applyFont="1"/>
    <xf numFmtId="0" fontId="48" fillId="0" borderId="175" xfId="0" applyFont="1" applyBorder="1"/>
    <xf numFmtId="3" fontId="14" fillId="0" borderId="0" xfId="0" applyNumberFormat="1" applyFont="1" applyAlignment="1">
      <alignment horizontal="left" vertical="center"/>
    </xf>
    <xf numFmtId="4" fontId="39" fillId="0" borderId="0" xfId="0" applyNumberFormat="1" applyFont="1"/>
    <xf numFmtId="4" fontId="16" fillId="0" borderId="154" xfId="0" applyNumberFormat="1" applyFont="1" applyBorder="1" applyAlignment="1">
      <alignment vertical="center"/>
    </xf>
    <xf numFmtId="4" fontId="16" fillId="0" borderId="89" xfId="0" applyNumberFormat="1" applyFont="1" applyBorder="1"/>
    <xf numFmtId="4" fontId="14" fillId="0" borderId="89" xfId="0" applyNumberFormat="1" applyFont="1" applyBorder="1"/>
    <xf numFmtId="4" fontId="16" fillId="0" borderId="46" xfId="0" applyNumberFormat="1" applyFont="1" applyBorder="1"/>
    <xf numFmtId="4" fontId="16" fillId="0" borderId="159" xfId="0" applyNumberFormat="1" applyFont="1" applyBorder="1" applyAlignment="1">
      <alignment vertical="center"/>
    </xf>
    <xf numFmtId="4" fontId="40" fillId="0" borderId="89" xfId="0" applyNumberFormat="1" applyFont="1" applyBorder="1"/>
    <xf numFmtId="4" fontId="14" fillId="0" borderId="104" xfId="0" applyNumberFormat="1" applyFont="1" applyBorder="1"/>
    <xf numFmtId="4" fontId="16" fillId="0" borderId="165" xfId="0" applyNumberFormat="1" applyFont="1" applyBorder="1" applyAlignment="1">
      <alignment vertical="center"/>
    </xf>
    <xf numFmtId="4" fontId="16" fillId="0" borderId="87" xfId="0" applyNumberFormat="1" applyFont="1" applyBorder="1" applyAlignment="1">
      <alignment vertical="center"/>
    </xf>
    <xf numFmtId="4" fontId="14" fillId="0" borderId="87" xfId="0" applyNumberFormat="1" applyFont="1" applyBorder="1"/>
    <xf numFmtId="4" fontId="16" fillId="0" borderId="87" xfId="0" applyNumberFormat="1" applyFont="1" applyBorder="1"/>
    <xf numFmtId="4" fontId="14" fillId="0" borderId="87" xfId="0" applyNumberFormat="1" applyFont="1" applyBorder="1" applyAlignment="1">
      <alignment vertical="center"/>
    </xf>
    <xf numFmtId="4" fontId="16" fillId="0" borderId="10" xfId="0" applyNumberFormat="1" applyFont="1" applyBorder="1" applyAlignment="1">
      <alignment vertical="center"/>
    </xf>
    <xf numFmtId="4" fontId="16" fillId="0" borderId="93" xfId="0" applyNumberFormat="1" applyFont="1" applyBorder="1"/>
    <xf numFmtId="4" fontId="14" fillId="0" borderId="93" xfId="0" applyNumberFormat="1" applyFont="1" applyBorder="1"/>
    <xf numFmtId="4" fontId="14" fillId="0" borderId="172" xfId="0" applyNumberFormat="1" applyFont="1" applyBorder="1"/>
    <xf numFmtId="4" fontId="6" fillId="0" borderId="172" xfId="0" applyNumberFormat="1" applyFont="1" applyBorder="1" applyAlignment="1">
      <alignment vertical="center"/>
    </xf>
    <xf numFmtId="4" fontId="45" fillId="0" borderId="0" xfId="0" applyNumberFormat="1" applyFont="1"/>
    <xf numFmtId="4" fontId="16" fillId="0" borderId="151" xfId="0" applyNumberFormat="1" applyFont="1" applyBorder="1" applyAlignment="1">
      <alignment vertical="center"/>
    </xf>
    <xf numFmtId="4" fontId="16" fillId="0" borderId="4" xfId="0" applyNumberFormat="1" applyFont="1" applyBorder="1"/>
    <xf numFmtId="4" fontId="14" fillId="0" borderId="4" xfId="0" applyNumberFormat="1" applyFont="1" applyBorder="1"/>
    <xf numFmtId="4" fontId="14" fillId="0" borderId="40" xfId="0" applyNumberFormat="1" applyFont="1" applyBorder="1"/>
    <xf numFmtId="4" fontId="16" fillId="0" borderId="162" xfId="0" applyNumberFormat="1" applyFont="1" applyBorder="1" applyAlignment="1">
      <alignment vertical="center"/>
    </xf>
    <xf numFmtId="4" fontId="16" fillId="0" borderId="52" xfId="0" applyNumberFormat="1" applyFont="1" applyBorder="1" applyAlignment="1">
      <alignment vertical="center"/>
    </xf>
    <xf numFmtId="4" fontId="14" fillId="0" borderId="0" xfId="0" applyNumberFormat="1" applyFont="1"/>
    <xf numFmtId="4" fontId="16" fillId="0" borderId="52" xfId="0" applyNumberFormat="1" applyFont="1" applyBorder="1"/>
    <xf numFmtId="4" fontId="14" fillId="0" borderId="41" xfId="0" applyNumberFormat="1" applyFont="1" applyBorder="1"/>
    <xf numFmtId="4" fontId="16" fillId="0" borderId="53" xfId="0" applyNumberFormat="1" applyFont="1" applyBorder="1" applyAlignment="1">
      <alignment vertical="center"/>
    </xf>
    <xf numFmtId="4" fontId="14" fillId="0" borderId="52" xfId="0" applyNumberFormat="1" applyFont="1" applyBorder="1"/>
    <xf numFmtId="4" fontId="14" fillId="0" borderId="0" xfId="0" applyNumberFormat="1" applyFont="1" applyAlignment="1">
      <alignment vertical="center"/>
    </xf>
    <xf numFmtId="4" fontId="14" fillId="0" borderId="53" xfId="0" applyNumberFormat="1" applyFont="1" applyBorder="1"/>
    <xf numFmtId="4" fontId="16" fillId="0" borderId="32" xfId="0" applyNumberFormat="1" applyFont="1" applyBorder="1" applyAlignment="1">
      <alignment vertical="center"/>
    </xf>
    <xf numFmtId="4" fontId="14" fillId="0" borderId="19" xfId="0" applyNumberFormat="1" applyFont="1" applyBorder="1"/>
    <xf numFmtId="4" fontId="16" fillId="0" borderId="19" xfId="0" applyNumberFormat="1" applyFont="1" applyBorder="1" applyAlignment="1">
      <alignment vertical="center"/>
    </xf>
    <xf numFmtId="4" fontId="14" fillId="0" borderId="59" xfId="0" applyNumberFormat="1" applyFont="1" applyBorder="1"/>
    <xf numFmtId="4" fontId="16" fillId="0" borderId="163" xfId="0" applyNumberFormat="1" applyFont="1" applyBorder="1" applyAlignment="1">
      <alignment vertical="center"/>
    </xf>
    <xf numFmtId="4" fontId="16" fillId="0" borderId="54" xfId="0" applyNumberFormat="1" applyFont="1" applyBorder="1"/>
    <xf numFmtId="4" fontId="14" fillId="0" borderId="54" xfId="0" applyNumberFormat="1" applyFont="1" applyBorder="1"/>
    <xf numFmtId="4" fontId="14" fillId="0" borderId="174" xfId="0" applyNumberFormat="1" applyFont="1" applyBorder="1"/>
    <xf numFmtId="4" fontId="14" fillId="0" borderId="4" xfId="0" applyNumberFormat="1" applyFont="1" applyBorder="1" applyAlignment="1">
      <alignment horizontal="right"/>
    </xf>
    <xf numFmtId="4" fontId="16" fillId="0" borderId="156" xfId="0" applyNumberFormat="1" applyFont="1" applyBorder="1" applyAlignment="1">
      <alignment vertical="center"/>
    </xf>
    <xf numFmtId="4" fontId="14" fillId="0" borderId="57" xfId="0" applyNumberFormat="1" applyFont="1" applyBorder="1"/>
    <xf numFmtId="4" fontId="16" fillId="0" borderId="4" xfId="0" applyNumberFormat="1" applyFont="1" applyBorder="1" applyAlignment="1">
      <alignment vertical="center"/>
    </xf>
    <xf numFmtId="4" fontId="14" fillId="0" borderId="32" xfId="0" applyNumberFormat="1" applyFont="1" applyBorder="1"/>
    <xf numFmtId="4" fontId="16" fillId="0" borderId="4" xfId="0" applyNumberFormat="1" applyFont="1" applyBorder="1" applyAlignment="1">
      <alignment horizontal="right"/>
    </xf>
    <xf numFmtId="4" fontId="16" fillId="0" borderId="59" xfId="0" applyNumberFormat="1" applyFont="1" applyBorder="1"/>
    <xf numFmtId="4" fontId="14" fillId="0" borderId="10" xfId="0" applyNumberFormat="1" applyFont="1" applyBorder="1"/>
    <xf numFmtId="4" fontId="16" fillId="0" borderId="53" xfId="0" applyNumberFormat="1" applyFont="1" applyBorder="1"/>
    <xf numFmtId="4" fontId="16" fillId="0" borderId="10" xfId="0" applyNumberFormat="1" applyFont="1" applyBorder="1"/>
    <xf numFmtId="4" fontId="14" fillId="0" borderId="5" xfId="0" applyNumberFormat="1" applyFont="1" applyBorder="1"/>
    <xf numFmtId="4" fontId="14" fillId="0" borderId="168" xfId="0" applyNumberFormat="1" applyFont="1" applyBorder="1"/>
    <xf numFmtId="4" fontId="16" fillId="0" borderId="94" xfId="0" applyNumberFormat="1" applyFont="1" applyBorder="1" applyAlignment="1">
      <alignment vertical="center"/>
    </xf>
    <xf numFmtId="4" fontId="16" fillId="7" borderId="91" xfId="0" applyNumberFormat="1" applyFont="1" applyFill="1" applyBorder="1" applyAlignment="1">
      <alignment horizontal="center" vertical="center" wrapText="1"/>
    </xf>
    <xf numFmtId="4" fontId="40" fillId="0" borderId="4" xfId="0" applyNumberFormat="1" applyFont="1" applyBorder="1"/>
    <xf numFmtId="4" fontId="41" fillId="0" borderId="4" xfId="0" applyNumberFormat="1" applyFont="1" applyBorder="1"/>
    <xf numFmtId="4" fontId="41" fillId="0" borderId="4" xfId="0" applyNumberFormat="1" applyFont="1" applyBorder="1" applyAlignment="1">
      <alignment vertical="center"/>
    </xf>
    <xf numFmtId="4" fontId="41" fillId="0" borderId="57" xfId="0" applyNumberFormat="1" applyFont="1" applyBorder="1" applyAlignment="1">
      <alignment vertical="center"/>
    </xf>
    <xf numFmtId="4" fontId="16" fillId="0" borderId="108" xfId="0" applyNumberFormat="1" applyFont="1" applyBorder="1" applyAlignment="1">
      <alignment vertical="center"/>
    </xf>
    <xf numFmtId="4" fontId="41" fillId="0" borderId="162" xfId="0" applyNumberFormat="1" applyFont="1" applyBorder="1" applyAlignment="1">
      <alignment vertical="center"/>
    </xf>
    <xf numFmtId="4" fontId="14" fillId="0" borderId="173" xfId="0" applyNumberFormat="1" applyFont="1" applyBorder="1"/>
    <xf numFmtId="4" fontId="14" fillId="0" borderId="46" xfId="0" applyNumberFormat="1" applyFont="1" applyBorder="1"/>
    <xf numFmtId="4" fontId="16" fillId="0" borderId="57" xfId="0" applyNumberFormat="1" applyFont="1" applyBorder="1" applyAlignment="1">
      <alignment vertical="center"/>
    </xf>
    <xf numFmtId="4" fontId="41" fillId="0" borderId="32" xfId="0" applyNumberFormat="1" applyFont="1" applyBorder="1" applyAlignment="1">
      <alignment vertical="center"/>
    </xf>
    <xf numFmtId="4" fontId="16" fillId="0" borderId="89" xfId="0" applyNumberFormat="1" applyFont="1" applyBorder="1" applyAlignment="1">
      <alignment vertical="center"/>
    </xf>
    <xf numFmtId="4" fontId="14" fillId="0" borderId="169" xfId="0" applyNumberFormat="1" applyFont="1" applyBorder="1"/>
    <xf numFmtId="4" fontId="43" fillId="0" borderId="0" xfId="0" applyNumberFormat="1" applyFont="1" applyAlignment="1">
      <alignment vertical="center"/>
    </xf>
    <xf numFmtId="4" fontId="0" fillId="10" borderId="0" xfId="0" applyNumberFormat="1" applyFill="1"/>
    <xf numFmtId="4" fontId="41" fillId="0" borderId="151" xfId="0" applyNumberFormat="1" applyFont="1" applyBorder="1" applyAlignment="1">
      <alignment vertical="center"/>
    </xf>
    <xf numFmtId="4" fontId="53" fillId="10" borderId="0" xfId="0" applyNumberFormat="1" applyFont="1" applyFill="1"/>
    <xf numFmtId="4" fontId="41" fillId="0" borderId="53" xfId="0" applyNumberFormat="1" applyFont="1" applyBorder="1"/>
    <xf numFmtId="4" fontId="41" fillId="0" borderId="52" xfId="0" applyNumberFormat="1" applyFont="1" applyBorder="1"/>
    <xf numFmtId="4" fontId="40" fillId="0" borderId="53" xfId="0" applyNumberFormat="1" applyFont="1" applyBorder="1"/>
    <xf numFmtId="4" fontId="41" fillId="0" borderId="53" xfId="0" applyNumberFormat="1" applyFont="1" applyBorder="1" applyAlignment="1">
      <alignment vertical="center"/>
    </xf>
    <xf numFmtId="4" fontId="41" fillId="0" borderId="108" xfId="0" applyNumberFormat="1" applyFont="1" applyBorder="1" applyAlignment="1">
      <alignment vertical="center"/>
    </xf>
    <xf numFmtId="4" fontId="40" fillId="0" borderId="59" xfId="0" applyNumberFormat="1" applyFont="1" applyBorder="1"/>
    <xf numFmtId="4" fontId="41" fillId="3" borderId="4" xfId="0" applyNumberFormat="1" applyFont="1" applyFill="1" applyBorder="1"/>
    <xf numFmtId="4" fontId="40" fillId="3" borderId="4" xfId="0" applyNumberFormat="1" applyFont="1" applyFill="1" applyBorder="1"/>
    <xf numFmtId="4" fontId="16" fillId="8" borderId="46" xfId="0" applyNumberFormat="1" applyFont="1" applyFill="1" applyBorder="1" applyAlignment="1">
      <alignment vertical="center"/>
    </xf>
    <xf numFmtId="4" fontId="16" fillId="8" borderId="89" xfId="0" applyNumberFormat="1" applyFont="1" applyFill="1" applyBorder="1" applyAlignment="1">
      <alignment vertical="center"/>
    </xf>
    <xf numFmtId="4" fontId="16" fillId="8" borderId="110" xfId="0" applyNumberFormat="1" applyFont="1" applyFill="1" applyBorder="1" applyAlignment="1">
      <alignment horizontal="center" vertical="center"/>
    </xf>
    <xf numFmtId="4" fontId="16" fillId="8" borderId="90" xfId="0" applyNumberFormat="1" applyFont="1" applyFill="1" applyBorder="1" applyAlignment="1">
      <alignment horizontal="center" vertical="center"/>
    </xf>
    <xf numFmtId="4" fontId="16" fillId="0" borderId="160" xfId="0" applyNumberFormat="1" applyFont="1" applyBorder="1" applyAlignment="1">
      <alignment vertical="center"/>
    </xf>
    <xf numFmtId="4" fontId="16" fillId="0" borderId="41" xfId="0" applyNumberFormat="1" applyFont="1" applyBorder="1"/>
    <xf numFmtId="4" fontId="16" fillId="0" borderId="166" xfId="0" applyNumberFormat="1" applyFont="1" applyBorder="1" applyAlignment="1">
      <alignment vertical="center"/>
    </xf>
    <xf numFmtId="4" fontId="14" fillId="0" borderId="4" xfId="0" applyNumberFormat="1" applyFont="1" applyBorder="1" applyAlignment="1">
      <alignment vertical="center"/>
    </xf>
    <xf numFmtId="4" fontId="14" fillId="0" borderId="53" xfId="0" applyNumberFormat="1" applyFont="1" applyBorder="1" applyAlignment="1">
      <alignment vertical="center"/>
    </xf>
    <xf numFmtId="4" fontId="16" fillId="0" borderId="166" xfId="0" applyNumberFormat="1" applyFont="1" applyBorder="1"/>
    <xf numFmtId="4" fontId="6" fillId="0" borderId="173" xfId="0" applyNumberFormat="1" applyFont="1" applyBorder="1" applyAlignment="1">
      <alignment vertical="center"/>
    </xf>
    <xf numFmtId="4" fontId="6" fillId="0" borderId="169" xfId="0" applyNumberFormat="1" applyFont="1" applyBorder="1" applyAlignment="1">
      <alignment vertical="center"/>
    </xf>
    <xf numFmtId="4" fontId="41" fillId="3" borderId="54" xfId="0" applyNumberFormat="1" applyFont="1" applyFill="1" applyBorder="1"/>
    <xf numFmtId="4" fontId="6" fillId="3" borderId="172" xfId="0" applyNumberFormat="1" applyFont="1" applyFill="1" applyBorder="1" applyAlignment="1">
      <alignment vertical="center"/>
    </xf>
    <xf numFmtId="4" fontId="43" fillId="3" borderId="170" xfId="0" applyNumberFormat="1" applyFont="1" applyFill="1" applyBorder="1" applyAlignment="1">
      <alignment vertical="center"/>
    </xf>
    <xf numFmtId="4" fontId="43" fillId="3" borderId="169" xfId="0" applyNumberFormat="1" applyFont="1" applyFill="1" applyBorder="1" applyAlignment="1">
      <alignment vertical="center"/>
    </xf>
    <xf numFmtId="4" fontId="16" fillId="8" borderId="141" xfId="0" applyNumberFormat="1" applyFont="1" applyFill="1" applyBorder="1" applyAlignment="1">
      <alignment horizontal="center" vertical="center"/>
    </xf>
    <xf numFmtId="4" fontId="34" fillId="0" borderId="0" xfId="0" applyNumberFormat="1" applyFont="1"/>
    <xf numFmtId="4" fontId="29" fillId="0" borderId="0" xfId="0" applyNumberFormat="1" applyFont="1"/>
    <xf numFmtId="4" fontId="16" fillId="8" borderId="140" xfId="0" applyNumberFormat="1" applyFont="1" applyFill="1" applyBorder="1" applyAlignment="1">
      <alignment horizontal="center" vertical="center" wrapText="1"/>
    </xf>
    <xf numFmtId="4" fontId="29" fillId="0" borderId="0" xfId="0" applyNumberFormat="1" applyFont="1" applyAlignment="1">
      <alignment horizontal="right"/>
    </xf>
    <xf numFmtId="4" fontId="16" fillId="8" borderId="44" xfId="0" applyNumberFormat="1" applyFont="1" applyFill="1" applyBorder="1" applyAlignment="1">
      <alignment horizontal="center" vertical="center" wrapText="1"/>
    </xf>
    <xf numFmtId="4" fontId="16" fillId="8" borderId="107" xfId="0" applyNumberFormat="1" applyFont="1" applyFill="1" applyBorder="1" applyAlignment="1">
      <alignment horizontal="center" vertical="center" wrapText="1"/>
    </xf>
    <xf numFmtId="4" fontId="10" fillId="0" borderId="0" xfId="0" applyNumberFormat="1" applyFont="1"/>
    <xf numFmtId="4" fontId="25" fillId="0" borderId="0" xfId="0" applyNumberFormat="1" applyFont="1"/>
    <xf numFmtId="4" fontId="26" fillId="0" borderId="0" xfId="0" applyNumberFormat="1" applyFont="1"/>
    <xf numFmtId="4" fontId="6" fillId="7" borderId="20" xfId="0" applyNumberFormat="1" applyFont="1" applyFill="1" applyBorder="1" applyAlignment="1">
      <alignment horizontal="center" vertical="center"/>
    </xf>
    <xf numFmtId="3" fontId="8" fillId="0" borderId="39" xfId="0" applyNumberFormat="1" applyFont="1" applyBorder="1"/>
    <xf numFmtId="0" fontId="53" fillId="0" borderId="41" xfId="0" applyFont="1" applyBorder="1" applyAlignment="1">
      <alignment horizontal="left" vertical="center" wrapText="1"/>
    </xf>
    <xf numFmtId="0" fontId="53" fillId="0" borderId="41" xfId="0" applyFont="1" applyBorder="1" applyAlignment="1">
      <alignment wrapText="1"/>
    </xf>
    <xf numFmtId="4" fontId="8" fillId="0" borderId="0" xfId="0" applyNumberFormat="1" applyFont="1" applyAlignment="1">
      <alignment horizontal="center"/>
    </xf>
    <xf numFmtId="0" fontId="53" fillId="0" borderId="100" xfId="0" applyFont="1" applyBorder="1" applyAlignment="1">
      <alignment horizontal="left" vertical="center" wrapText="1"/>
    </xf>
    <xf numFmtId="4" fontId="6" fillId="7" borderId="38" xfId="0" applyNumberFormat="1" applyFont="1" applyFill="1" applyBorder="1" applyAlignment="1">
      <alignment horizontal="center" vertical="center" wrapText="1"/>
    </xf>
    <xf numFmtId="4" fontId="32" fillId="0" borderId="0" xfId="0" applyNumberFormat="1" applyFont="1"/>
    <xf numFmtId="4" fontId="33" fillId="0" borderId="40" xfId="0" applyNumberFormat="1" applyFont="1" applyBorder="1"/>
    <xf numFmtId="4" fontId="32" fillId="0" borderId="104" xfId="0" applyNumberFormat="1" applyFont="1" applyBorder="1"/>
    <xf numFmtId="4" fontId="32" fillId="0" borderId="102" xfId="0" applyNumberFormat="1" applyFont="1" applyBorder="1" applyAlignment="1">
      <alignment vertical="center"/>
    </xf>
    <xf numFmtId="4" fontId="32" fillId="0" borderId="105" xfId="0" applyNumberFormat="1" applyFont="1" applyBorder="1"/>
    <xf numFmtId="4" fontId="32" fillId="0" borderId="45" xfId="0" applyNumberFormat="1" applyFont="1" applyBorder="1"/>
    <xf numFmtId="4" fontId="6" fillId="7" borderId="85" xfId="0" applyNumberFormat="1" applyFont="1" applyFill="1" applyBorder="1" applyAlignment="1">
      <alignment horizontal="center" vertical="center" wrapText="1"/>
    </xf>
    <xf numFmtId="168" fontId="32" fillId="0" borderId="103" xfId="0" applyNumberFormat="1" applyFont="1" applyBorder="1" applyAlignment="1">
      <alignment horizontal="center" vertical="center"/>
    </xf>
    <xf numFmtId="0" fontId="99" fillId="0" borderId="0" xfId="0" applyFont="1"/>
    <xf numFmtId="0" fontId="100" fillId="0" borderId="0" xfId="0" applyFont="1"/>
    <xf numFmtId="4" fontId="100" fillId="0" borderId="0" xfId="0" applyNumberFormat="1" applyFont="1"/>
    <xf numFmtId="0" fontId="100" fillId="0" borderId="0" xfId="0" applyFont="1" applyAlignment="1">
      <alignment horizontal="center"/>
    </xf>
    <xf numFmtId="4" fontId="16" fillId="8" borderId="119" xfId="0" applyNumberFormat="1" applyFont="1" applyFill="1" applyBorder="1" applyAlignment="1">
      <alignment horizontal="center" vertical="center" wrapText="1"/>
    </xf>
    <xf numFmtId="4" fontId="38" fillId="2" borderId="122" xfId="0" applyNumberFormat="1" applyFont="1" applyFill="1" applyBorder="1"/>
    <xf numFmtId="4" fontId="38" fillId="0" borderId="122" xfId="0" applyNumberFormat="1" applyFont="1" applyBorder="1"/>
    <xf numFmtId="4" fontId="48" fillId="0" borderId="122" xfId="0" applyNumberFormat="1" applyFont="1" applyBorder="1"/>
    <xf numFmtId="4" fontId="48" fillId="2" borderId="122" xfId="0" applyNumberFormat="1" applyFont="1" applyFill="1" applyBorder="1"/>
    <xf numFmtId="4" fontId="48" fillId="2" borderId="125" xfId="0" applyNumberFormat="1" applyFont="1" applyFill="1" applyBorder="1"/>
    <xf numFmtId="4" fontId="38" fillId="2" borderId="19" xfId="0" applyNumberFormat="1" applyFont="1" applyFill="1" applyBorder="1"/>
    <xf numFmtId="4" fontId="48" fillId="2" borderId="19" xfId="0" applyNumberFormat="1" applyFont="1" applyFill="1" applyBorder="1"/>
    <xf numFmtId="167" fontId="38" fillId="2" borderId="122" xfId="0" applyNumberFormat="1" applyFont="1" applyFill="1" applyBorder="1"/>
    <xf numFmtId="3" fontId="16" fillId="8" borderId="118" xfId="0" applyNumberFormat="1" applyFont="1" applyFill="1" applyBorder="1" applyAlignment="1">
      <alignment horizontal="center" vertical="center" wrapText="1"/>
    </xf>
    <xf numFmtId="3" fontId="0" fillId="0" borderId="122" xfId="0" applyNumberFormat="1" applyBorder="1"/>
    <xf numFmtId="3" fontId="50" fillId="2" borderId="122" xfId="0" applyNumberFormat="1" applyFont="1" applyFill="1" applyBorder="1"/>
    <xf numFmtId="3" fontId="38" fillId="3" borderId="122" xfId="0" applyNumberFormat="1" applyFont="1" applyFill="1" applyBorder="1"/>
    <xf numFmtId="3" fontId="48" fillId="3" borderId="122" xfId="0" applyNumberFormat="1" applyFont="1" applyFill="1" applyBorder="1"/>
    <xf numFmtId="3" fontId="48" fillId="0" borderId="122" xfId="0" applyNumberFormat="1" applyFont="1" applyBorder="1" applyAlignment="1">
      <alignment horizontal="right"/>
    </xf>
    <xf numFmtId="3" fontId="48" fillId="3" borderId="122" xfId="0" applyNumberFormat="1" applyFont="1" applyFill="1" applyBorder="1" applyAlignment="1">
      <alignment horizontal="right"/>
    </xf>
    <xf numFmtId="3" fontId="38" fillId="3" borderId="122" xfId="0" applyNumberFormat="1" applyFont="1" applyFill="1" applyBorder="1" applyAlignment="1">
      <alignment horizontal="right"/>
    </xf>
    <xf numFmtId="3" fontId="38" fillId="0" borderId="19" xfId="0" applyNumberFormat="1" applyFont="1" applyBorder="1"/>
    <xf numFmtId="3" fontId="48" fillId="0" borderId="20" xfId="0" applyNumberFormat="1" applyFont="1" applyBorder="1"/>
    <xf numFmtId="3" fontId="48" fillId="0" borderId="29" xfId="0" applyNumberFormat="1" applyFont="1" applyBorder="1"/>
    <xf numFmtId="3" fontId="4" fillId="0" borderId="0" xfId="0" applyNumberFormat="1" applyFont="1"/>
    <xf numFmtId="3" fontId="55" fillId="0" borderId="0" xfId="0" applyNumberFormat="1" applyFont="1"/>
    <xf numFmtId="3" fontId="44" fillId="0" borderId="0" xfId="0" applyNumberFormat="1" applyFont="1"/>
    <xf numFmtId="3" fontId="3" fillId="0" borderId="0" xfId="0" applyNumberFormat="1" applyFont="1"/>
    <xf numFmtId="0" fontId="102" fillId="0" borderId="0" xfId="0" applyFont="1"/>
    <xf numFmtId="0" fontId="101" fillId="0" borderId="0" xfId="0" applyFont="1"/>
    <xf numFmtId="3" fontId="101" fillId="0" borderId="0" xfId="0" applyNumberFormat="1" applyFont="1"/>
    <xf numFmtId="4" fontId="102" fillId="0" borderId="0" xfId="0" applyNumberFormat="1" applyFont="1"/>
    <xf numFmtId="4" fontId="40" fillId="0" borderId="4" xfId="0" applyNumberFormat="1" applyFont="1" applyBorder="1" applyAlignment="1">
      <alignment horizontal="right"/>
    </xf>
    <xf numFmtId="3" fontId="49" fillId="0" borderId="94" xfId="0" applyNumberFormat="1" applyFont="1" applyBorder="1"/>
    <xf numFmtId="3" fontId="49" fillId="0" borderId="176" xfId="0" applyNumberFormat="1" applyFont="1" applyBorder="1"/>
    <xf numFmtId="3" fontId="49" fillId="0" borderId="171" xfId="0" applyNumberFormat="1" applyFont="1" applyBorder="1"/>
    <xf numFmtId="4" fontId="49" fillId="0" borderId="103" xfId="0" applyNumberFormat="1" applyFont="1" applyBorder="1"/>
    <xf numFmtId="3" fontId="49" fillId="0" borderId="103" xfId="0" applyNumberFormat="1" applyFont="1" applyBorder="1"/>
    <xf numFmtId="3" fontId="50" fillId="0" borderId="122" xfId="5" applyNumberFormat="1" applyFont="1" applyBorder="1" applyAlignment="1">
      <alignment horizontal="right"/>
    </xf>
    <xf numFmtId="3" fontId="50" fillId="0" borderId="122" xfId="5" applyNumberFormat="1" applyFont="1" applyBorder="1"/>
    <xf numFmtId="0" fontId="49" fillId="0" borderId="122" xfId="5" applyFont="1" applyBorder="1" applyAlignment="1">
      <alignment horizontal="left"/>
    </xf>
    <xf numFmtId="3" fontId="49" fillId="0" borderId="122" xfId="5" applyNumberFormat="1" applyFont="1" applyBorder="1"/>
    <xf numFmtId="0" fontId="49" fillId="3" borderId="122" xfId="5" applyFont="1" applyFill="1" applyBorder="1" applyAlignment="1">
      <alignment horizontal="left"/>
    </xf>
    <xf numFmtId="3" fontId="49" fillId="3" borderId="122" xfId="5" applyNumberFormat="1" applyFont="1" applyFill="1" applyBorder="1"/>
    <xf numFmtId="3" fontId="50" fillId="3" borderId="122" xfId="5" applyNumberFormat="1" applyFont="1" applyFill="1" applyBorder="1"/>
    <xf numFmtId="0" fontId="103" fillId="3" borderId="122" xfId="5" applyFont="1" applyFill="1" applyBorder="1" applyAlignment="1">
      <alignment horizontal="left"/>
    </xf>
    <xf numFmtId="3" fontId="93" fillId="5" borderId="122" xfId="5" applyNumberFormat="1" applyFont="1" applyFill="1" applyBorder="1"/>
    <xf numFmtId="3" fontId="93" fillId="3" borderId="122" xfId="5" applyNumberFormat="1" applyFont="1" applyFill="1" applyBorder="1"/>
    <xf numFmtId="170" fontId="94" fillId="0" borderId="46" xfId="0" applyNumberFormat="1" applyFont="1" applyBorder="1" applyAlignment="1">
      <alignment horizontal="center"/>
    </xf>
    <xf numFmtId="170" fontId="50" fillId="0" borderId="46" xfId="0" applyNumberFormat="1" applyFont="1" applyBorder="1" applyAlignment="1">
      <alignment horizontal="center"/>
    </xf>
    <xf numFmtId="170" fontId="49" fillId="0" borderId="46" xfId="0" applyNumberFormat="1" applyFont="1" applyBorder="1" applyAlignment="1">
      <alignment horizontal="center"/>
    </xf>
    <xf numFmtId="170" fontId="50" fillId="0" borderId="46" xfId="0" applyNumberFormat="1" applyFont="1" applyBorder="1" applyAlignment="1">
      <alignment horizontal="center" vertical="center"/>
    </xf>
    <xf numFmtId="3" fontId="49" fillId="0" borderId="89" xfId="0" applyNumberFormat="1" applyFont="1" applyBorder="1"/>
    <xf numFmtId="170" fontId="49" fillId="0" borderId="108" xfId="0" applyNumberFormat="1" applyFont="1" applyBorder="1" applyAlignment="1">
      <alignment horizontal="center"/>
    </xf>
    <xf numFmtId="3" fontId="49" fillId="0" borderId="101" xfId="0" applyNumberFormat="1" applyFont="1" applyBorder="1"/>
    <xf numFmtId="4" fontId="8" fillId="0" borderId="0" xfId="0" applyNumberFormat="1" applyFont="1"/>
    <xf numFmtId="4" fontId="16" fillId="8" borderId="8" xfId="0" applyNumberFormat="1" applyFont="1" applyFill="1" applyBorder="1" applyAlignment="1">
      <alignment horizontal="center" vertical="center" wrapText="1"/>
    </xf>
    <xf numFmtId="4" fontId="10" fillId="4" borderId="94" xfId="0" applyNumberFormat="1" applyFont="1" applyFill="1" applyBorder="1" applyAlignment="1">
      <alignment horizontal="center" vertical="center" wrapText="1"/>
    </xf>
    <xf numFmtId="4" fontId="51" fillId="0" borderId="94" xfId="0" applyNumberFormat="1" applyFont="1" applyBorder="1" applyAlignment="1">
      <alignment horizontal="center"/>
    </xf>
    <xf numFmtId="4" fontId="38" fillId="0" borderId="94" xfId="0" applyNumberFormat="1" applyFont="1" applyBorder="1"/>
    <xf numFmtId="4" fontId="51" fillId="0" borderId="94" xfId="0" applyNumberFormat="1" applyFont="1" applyBorder="1"/>
    <xf numFmtId="4" fontId="48" fillId="0" borderId="94" xfId="0" applyNumberFormat="1" applyFont="1" applyBorder="1"/>
    <xf numFmtId="4" fontId="50" fillId="0" borderId="94" xfId="0" applyNumberFormat="1" applyFont="1" applyBorder="1"/>
    <xf numFmtId="4" fontId="49" fillId="0" borderId="94" xfId="0" applyNumberFormat="1" applyFont="1" applyBorder="1"/>
    <xf numFmtId="4" fontId="48" fillId="0" borderId="94" xfId="0" applyNumberFormat="1" applyFont="1" applyBorder="1" applyAlignment="1">
      <alignment horizontal="center"/>
    </xf>
    <xf numFmtId="4" fontId="48" fillId="0" borderId="8" xfId="0" applyNumberFormat="1" applyFont="1" applyBorder="1" applyAlignment="1">
      <alignment horizontal="center"/>
    </xf>
    <xf numFmtId="0" fontId="94" fillId="0" borderId="41" xfId="0" applyFont="1" applyBorder="1"/>
    <xf numFmtId="0" fontId="50" fillId="0" borderId="41" xfId="0" applyFont="1" applyBorder="1"/>
    <xf numFmtId="0" fontId="50" fillId="0" borderId="0" xfId="0" applyFont="1"/>
    <xf numFmtId="0" fontId="50" fillId="0" borderId="96" xfId="0" applyFont="1" applyBorder="1"/>
    <xf numFmtId="3" fontId="32" fillId="0" borderId="0" xfId="0" applyNumberFormat="1" applyFont="1" applyAlignment="1">
      <alignment vertical="center"/>
    </xf>
    <xf numFmtId="3" fontId="8" fillId="0" borderId="43" xfId="0" applyNumberFormat="1" applyFont="1" applyBorder="1"/>
    <xf numFmtId="3" fontId="33" fillId="0" borderId="40" xfId="0" applyNumberFormat="1" applyFont="1" applyBorder="1"/>
    <xf numFmtId="3" fontId="32" fillId="0" borderId="40" xfId="0" applyNumberFormat="1" applyFont="1" applyBorder="1" applyAlignment="1">
      <alignment vertical="center" wrapText="1"/>
    </xf>
    <xf numFmtId="3" fontId="0" fillId="0" borderId="13" xfId="0" applyNumberFormat="1" applyBorder="1"/>
    <xf numFmtId="3" fontId="0" fillId="0" borderId="8" xfId="0" applyNumberFormat="1" applyBorder="1"/>
    <xf numFmtId="3" fontId="0" fillId="0" borderId="14" xfId="0" applyNumberFormat="1" applyBorder="1"/>
    <xf numFmtId="3" fontId="0" fillId="0" borderId="31" xfId="0" applyNumberFormat="1" applyBorder="1"/>
    <xf numFmtId="3" fontId="0" fillId="0" borderId="29" xfId="0" applyNumberFormat="1" applyBorder="1"/>
    <xf numFmtId="3" fontId="0" fillId="0" borderId="6" xfId="0" applyNumberFormat="1" applyBorder="1"/>
    <xf numFmtId="3" fontId="32" fillId="0" borderId="77" xfId="0" applyNumberFormat="1" applyFont="1" applyBorder="1"/>
    <xf numFmtId="3" fontId="32" fillId="0" borderId="104" xfId="0" applyNumberFormat="1" applyFont="1" applyBorder="1"/>
    <xf numFmtId="3" fontId="33" fillId="0" borderId="46" xfId="0" applyNumberFormat="1" applyFont="1" applyBorder="1"/>
    <xf numFmtId="3" fontId="32" fillId="3" borderId="45" xfId="0" applyNumberFormat="1" applyFont="1" applyFill="1" applyBorder="1"/>
    <xf numFmtId="3" fontId="33" fillId="0" borderId="10" xfId="0" applyNumberFormat="1" applyFont="1" applyBorder="1"/>
    <xf numFmtId="3" fontId="33" fillId="0" borderId="101" xfId="0" applyNumberFormat="1" applyFont="1" applyBorder="1" applyAlignment="1">
      <alignment vertical="center"/>
    </xf>
    <xf numFmtId="3" fontId="32" fillId="3" borderId="102" xfId="0" applyNumberFormat="1" applyFont="1" applyFill="1" applyBorder="1" applyAlignment="1">
      <alignment vertical="center"/>
    </xf>
    <xf numFmtId="3" fontId="32" fillId="0" borderId="102" xfId="0" applyNumberFormat="1" applyFont="1" applyBorder="1" applyAlignment="1">
      <alignment vertical="center"/>
    </xf>
    <xf numFmtId="3" fontId="33" fillId="0" borderId="102" xfId="0" applyNumberFormat="1" applyFont="1" applyBorder="1" applyAlignment="1">
      <alignment vertical="center"/>
    </xf>
    <xf numFmtId="3" fontId="32" fillId="0" borderId="102" xfId="0" applyNumberFormat="1" applyFont="1" applyBorder="1" applyAlignment="1">
      <alignment vertical="center" wrapText="1"/>
    </xf>
    <xf numFmtId="3" fontId="32" fillId="0" borderId="45" xfId="0" applyNumberFormat="1" applyFont="1" applyBorder="1"/>
    <xf numFmtId="3" fontId="96" fillId="0" borderId="96" xfId="0" applyNumberFormat="1" applyFont="1" applyBorder="1"/>
    <xf numFmtId="3" fontId="8" fillId="3" borderId="103" xfId="0" applyNumberFormat="1" applyFont="1" applyFill="1" applyBorder="1"/>
    <xf numFmtId="3" fontId="8" fillId="0" borderId="102" xfId="0" applyNumberFormat="1" applyFont="1" applyBorder="1" applyAlignment="1">
      <alignment vertical="center" wrapText="1"/>
    </xf>
    <xf numFmtId="3" fontId="32" fillId="0" borderId="105" xfId="0" applyNumberFormat="1" applyFont="1" applyBorder="1"/>
    <xf numFmtId="3" fontId="33" fillId="0" borderId="106" xfId="0" applyNumberFormat="1" applyFont="1" applyBorder="1"/>
    <xf numFmtId="3" fontId="71" fillId="0" borderId="0" xfId="0" applyNumberFormat="1" applyFont="1"/>
    <xf numFmtId="3" fontId="11" fillId="0" borderId="0" xfId="0" applyNumberFormat="1" applyFont="1"/>
    <xf numFmtId="3" fontId="19" fillId="0" borderId="0" xfId="0" applyNumberFormat="1" applyFont="1"/>
    <xf numFmtId="3" fontId="18" fillId="0" borderId="0" xfId="0" applyNumberFormat="1" applyFont="1"/>
    <xf numFmtId="3" fontId="9" fillId="0" borderId="19" xfId="0" applyNumberFormat="1" applyFont="1" applyBorder="1" applyAlignment="1">
      <alignment vertical="center"/>
    </xf>
    <xf numFmtId="3" fontId="11" fillId="0" borderId="19" xfId="0" applyNumberFormat="1" applyFont="1" applyBorder="1" applyAlignment="1">
      <alignment vertical="center"/>
    </xf>
    <xf numFmtId="3" fontId="9" fillId="0" borderId="86" xfId="0" applyNumberFormat="1" applyFont="1" applyBorder="1"/>
    <xf numFmtId="3" fontId="11" fillId="0" borderId="83" xfId="0" applyNumberFormat="1" applyFont="1" applyBorder="1"/>
    <xf numFmtId="3" fontId="34" fillId="0" borderId="4" xfId="0" applyNumberFormat="1" applyFont="1" applyBorder="1" applyAlignment="1">
      <alignment horizontal="center" vertical="center"/>
    </xf>
    <xf numFmtId="3" fontId="34" fillId="0" borderId="50" xfId="0" applyNumberFormat="1" applyFont="1" applyBorder="1" applyAlignment="1">
      <alignment horizontal="center" vertical="center"/>
    </xf>
    <xf numFmtId="3" fontId="34" fillId="3" borderId="4" xfId="0" applyNumberFormat="1" applyFont="1" applyFill="1" applyBorder="1" applyAlignment="1">
      <alignment horizontal="center" vertical="center" wrapText="1"/>
    </xf>
    <xf numFmtId="3" fontId="34" fillId="3" borderId="4" xfId="0" applyNumberFormat="1" applyFont="1" applyFill="1" applyBorder="1" applyAlignment="1">
      <alignment horizontal="center" vertical="center"/>
    </xf>
    <xf numFmtId="3" fontId="6" fillId="0" borderId="50" xfId="0" applyNumberFormat="1" applyFont="1" applyBorder="1" applyAlignment="1">
      <alignment horizontal="right" vertical="center"/>
    </xf>
    <xf numFmtId="3" fontId="35" fillId="0" borderId="4" xfId="0" applyNumberFormat="1" applyFont="1" applyBorder="1" applyAlignment="1">
      <alignment horizontal="right" vertical="center"/>
    </xf>
    <xf numFmtId="3" fontId="0" fillId="0" borderId="50" xfId="0" applyNumberFormat="1" applyBorder="1" applyAlignment="1">
      <alignment horizontal="right"/>
    </xf>
    <xf numFmtId="3" fontId="53" fillId="0" borderId="4" xfId="0" applyNumberFormat="1" applyFont="1" applyBorder="1" applyAlignment="1">
      <alignment horizontal="right"/>
    </xf>
    <xf numFmtId="3" fontId="0" fillId="0" borderId="4" xfId="0" applyNumberFormat="1" applyBorder="1" applyAlignment="1">
      <alignment horizontal="center"/>
    </xf>
    <xf numFmtId="3" fontId="68" fillId="0" borderId="4" xfId="0" applyNumberFormat="1" applyFont="1" applyBorder="1" applyAlignment="1">
      <alignment horizontal="right"/>
    </xf>
    <xf numFmtId="3" fontId="68" fillId="0" borderId="50" xfId="0" applyNumberFormat="1" applyFont="1" applyBorder="1" applyAlignment="1">
      <alignment horizontal="right"/>
    </xf>
    <xf numFmtId="3" fontId="68" fillId="0" borderId="4" xfId="0" applyNumberFormat="1" applyFont="1" applyBorder="1"/>
    <xf numFmtId="3" fontId="43" fillId="0" borderId="4" xfId="0" applyNumberFormat="1" applyFont="1" applyBorder="1" applyAlignment="1">
      <alignment horizontal="right" vertical="center"/>
    </xf>
    <xf numFmtId="3" fontId="43" fillId="0" borderId="50" xfId="0" applyNumberFormat="1" applyFont="1" applyBorder="1" applyAlignment="1">
      <alignment horizontal="right" vertical="center"/>
    </xf>
    <xf numFmtId="3" fontId="68" fillId="0" borderId="0" xfId="0" applyNumberFormat="1" applyFont="1" applyAlignment="1">
      <alignment horizontal="right"/>
    </xf>
    <xf numFmtId="3" fontId="0" fillId="0" borderId="49" xfId="0" applyNumberFormat="1" applyBorder="1"/>
    <xf numFmtId="3" fontId="0" fillId="0" borderId="68" xfId="0" applyNumberFormat="1" applyBorder="1"/>
    <xf numFmtId="3" fontId="16" fillId="8" borderId="75" xfId="0" applyNumberFormat="1" applyFont="1" applyFill="1" applyBorder="1" applyAlignment="1">
      <alignment horizontal="center" vertical="center"/>
    </xf>
    <xf numFmtId="3" fontId="16" fillId="0" borderId="40" xfId="0" applyNumberFormat="1" applyFont="1" applyBorder="1" applyAlignment="1">
      <alignment horizontal="center"/>
    </xf>
    <xf numFmtId="0" fontId="38" fillId="3" borderId="117" xfId="5" applyFont="1" applyFill="1" applyBorder="1" applyAlignment="1">
      <alignment horizontal="left"/>
    </xf>
    <xf numFmtId="170" fontId="49" fillId="0" borderId="176" xfId="0" applyNumberFormat="1" applyFont="1" applyBorder="1" applyAlignment="1">
      <alignment horizontal="center"/>
    </xf>
    <xf numFmtId="4" fontId="16" fillId="8" borderId="51" xfId="0" applyNumberFormat="1" applyFont="1" applyFill="1" applyBorder="1" applyAlignment="1">
      <alignment horizontal="center" vertical="center" wrapText="1"/>
    </xf>
    <xf numFmtId="3" fontId="9" fillId="0" borderId="22" xfId="0" applyNumberFormat="1" applyFont="1" applyBorder="1" applyAlignment="1">
      <alignment horizontal="center"/>
    </xf>
    <xf numFmtId="0" fontId="10" fillId="0" borderId="0" xfId="0" applyFont="1" applyAlignment="1">
      <alignment horizontal="center"/>
    </xf>
    <xf numFmtId="3" fontId="9" fillId="0" borderId="18" xfId="0" applyNumberFormat="1" applyFont="1" applyBorder="1" applyAlignment="1">
      <alignment horizontal="center"/>
    </xf>
    <xf numFmtId="49" fontId="11" fillId="0" borderId="18" xfId="0" applyNumberFormat="1" applyFont="1" applyBorder="1" applyAlignment="1">
      <alignment horizontal="center"/>
    </xf>
    <xf numFmtId="49" fontId="9" fillId="0" borderId="18" xfId="0" applyNumberFormat="1" applyFont="1" applyBorder="1" applyAlignment="1">
      <alignment horizontal="center"/>
    </xf>
    <xf numFmtId="3" fontId="9" fillId="0" borderId="24" xfId="0" applyNumberFormat="1" applyFont="1" applyBorder="1" applyAlignment="1">
      <alignment horizontal="center"/>
    </xf>
    <xf numFmtId="3" fontId="11" fillId="0" borderId="18" xfId="0" applyNumberFormat="1" applyFont="1" applyBorder="1" applyAlignment="1">
      <alignment horizontal="center"/>
    </xf>
    <xf numFmtId="3" fontId="9" fillId="0" borderId="26" xfId="0" applyNumberFormat="1" applyFont="1" applyBorder="1" applyAlignment="1">
      <alignment horizontal="center"/>
    </xf>
    <xf numFmtId="3" fontId="12" fillId="0" borderId="22" xfId="0" applyNumberFormat="1" applyFont="1" applyBorder="1" applyAlignment="1">
      <alignment horizontal="center"/>
    </xf>
    <xf numFmtId="166" fontId="14" fillId="0" borderId="0" xfId="0" applyNumberFormat="1" applyFont="1" applyAlignment="1">
      <alignment horizontal="center"/>
    </xf>
    <xf numFmtId="166" fontId="17" fillId="0" borderId="0" xfId="0" applyNumberFormat="1" applyFont="1" applyAlignment="1">
      <alignment horizontal="center"/>
    </xf>
    <xf numFmtId="49" fontId="17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0" fontId="53" fillId="0" borderId="5" xfId="0" applyFont="1" applyBorder="1"/>
    <xf numFmtId="3" fontId="0" fillId="0" borderId="108" xfId="0" applyNumberFormat="1" applyBorder="1" applyAlignment="1">
      <alignment horizontal="right"/>
    </xf>
    <xf numFmtId="4" fontId="14" fillId="3" borderId="4" xfId="0" applyNumberFormat="1" applyFont="1" applyFill="1" applyBorder="1"/>
    <xf numFmtId="168" fontId="48" fillId="0" borderId="123" xfId="0" applyNumberFormat="1" applyFont="1" applyBorder="1" applyAlignment="1">
      <alignment horizontal="center"/>
    </xf>
    <xf numFmtId="167" fontId="48" fillId="2" borderId="122" xfId="0" applyNumberFormat="1" applyFont="1" applyFill="1" applyBorder="1"/>
    <xf numFmtId="0" fontId="75" fillId="7" borderId="13" xfId="0" applyFont="1" applyFill="1" applyBorder="1" applyAlignment="1">
      <alignment horizontal="center"/>
    </xf>
    <xf numFmtId="0" fontId="75" fillId="7" borderId="31" xfId="0" applyFont="1" applyFill="1" applyBorder="1" applyAlignment="1">
      <alignment horizontal="center"/>
    </xf>
    <xf numFmtId="0" fontId="6" fillId="0" borderId="0" xfId="0" applyFont="1" applyAlignment="1">
      <alignment horizontal="left"/>
    </xf>
    <xf numFmtId="0" fontId="73" fillId="7" borderId="36" xfId="0" applyFont="1" applyFill="1" applyBorder="1" applyAlignment="1">
      <alignment horizontal="center" vertical="center" wrapText="1"/>
    </xf>
    <xf numFmtId="0" fontId="73" fillId="7" borderId="5" xfId="0" applyFont="1" applyFill="1" applyBorder="1" applyAlignment="1">
      <alignment horizontal="center" vertical="center" wrapText="1"/>
    </xf>
    <xf numFmtId="0" fontId="73" fillId="7" borderId="14" xfId="0" applyFont="1" applyFill="1" applyBorder="1" applyAlignment="1">
      <alignment horizontal="center" vertical="center" wrapText="1"/>
    </xf>
    <xf numFmtId="0" fontId="9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6" fillId="8" borderId="115" xfId="0" applyFont="1" applyFill="1" applyBorder="1" applyAlignment="1">
      <alignment horizontal="center" vertical="center"/>
    </xf>
    <xf numFmtId="0" fontId="16" fillId="8" borderId="116" xfId="0" applyFont="1" applyFill="1" applyBorder="1" applyAlignment="1">
      <alignment horizontal="center" vertical="center"/>
    </xf>
    <xf numFmtId="0" fontId="98" fillId="9" borderId="0" xfId="0" applyFont="1" applyFill="1" applyAlignment="1">
      <alignment horizontal="center"/>
    </xf>
    <xf numFmtId="0" fontId="16" fillId="0" borderId="0" xfId="0" applyFont="1" applyAlignment="1">
      <alignment horizontal="left"/>
    </xf>
    <xf numFmtId="0" fontId="16" fillId="8" borderId="113" xfId="0" applyFont="1" applyFill="1" applyBorder="1" applyAlignment="1">
      <alignment horizontal="center" vertical="center"/>
    </xf>
    <xf numFmtId="0" fontId="16" fillId="8" borderId="117" xfId="0" applyFont="1" applyFill="1" applyBorder="1" applyAlignment="1">
      <alignment horizontal="center" vertical="center"/>
    </xf>
    <xf numFmtId="0" fontId="16" fillId="8" borderId="114" xfId="0" applyFont="1" applyFill="1" applyBorder="1" applyAlignment="1">
      <alignment horizontal="center" vertical="center" wrapText="1"/>
    </xf>
    <xf numFmtId="0" fontId="16" fillId="8" borderId="118" xfId="0" applyFont="1" applyFill="1" applyBorder="1" applyAlignment="1">
      <alignment horizontal="center" vertical="center" wrapText="1"/>
    </xf>
    <xf numFmtId="0" fontId="16" fillId="8" borderId="114" xfId="0" applyFont="1" applyFill="1" applyBorder="1" applyAlignment="1">
      <alignment horizontal="center" vertical="center"/>
    </xf>
    <xf numFmtId="3" fontId="16" fillId="8" borderId="114" xfId="0" applyNumberFormat="1" applyFont="1" applyFill="1" applyBorder="1" applyAlignment="1">
      <alignment horizontal="center" vertical="center"/>
    </xf>
    <xf numFmtId="0" fontId="9" fillId="0" borderId="45" xfId="0" applyFont="1" applyBorder="1" applyAlignment="1">
      <alignment horizontal="center"/>
    </xf>
    <xf numFmtId="0" fontId="9" fillId="0" borderId="40" xfId="0" applyFont="1" applyBorder="1" applyAlignment="1">
      <alignment horizontal="center"/>
    </xf>
    <xf numFmtId="0" fontId="9" fillId="0" borderId="77" xfId="0" applyFont="1" applyBorder="1" applyAlignment="1">
      <alignment horizontal="center"/>
    </xf>
    <xf numFmtId="0" fontId="16" fillId="8" borderId="71" xfId="0" applyFont="1" applyFill="1" applyBorder="1" applyAlignment="1">
      <alignment horizontal="center"/>
    </xf>
    <xf numFmtId="0" fontId="16" fillId="8" borderId="62" xfId="0" applyFont="1" applyFill="1" applyBorder="1" applyAlignment="1">
      <alignment horizontal="center"/>
    </xf>
    <xf numFmtId="0" fontId="16" fillId="8" borderId="72" xfId="0" applyFont="1" applyFill="1" applyBorder="1" applyAlignment="1">
      <alignment horizontal="center"/>
    </xf>
    <xf numFmtId="0" fontId="16" fillId="8" borderId="73" xfId="0" applyFont="1" applyFill="1" applyBorder="1" applyAlignment="1">
      <alignment horizontal="center"/>
    </xf>
    <xf numFmtId="0" fontId="16" fillId="8" borderId="78" xfId="0" applyFont="1" applyFill="1" applyBorder="1" applyAlignment="1">
      <alignment horizontal="center"/>
    </xf>
    <xf numFmtId="0" fontId="16" fillId="8" borderId="69" xfId="0" applyFont="1" applyFill="1" applyBorder="1" applyAlignment="1">
      <alignment horizontal="center" vertical="center" wrapText="1"/>
    </xf>
    <xf numFmtId="0" fontId="16" fillId="8" borderId="74" xfId="0" applyFont="1" applyFill="1" applyBorder="1" applyAlignment="1">
      <alignment horizontal="center" vertical="center" wrapText="1"/>
    </xf>
    <xf numFmtId="0" fontId="16" fillId="8" borderId="70" xfId="0" applyFont="1" applyFill="1" applyBorder="1" applyAlignment="1">
      <alignment horizontal="center" vertical="center" wrapText="1"/>
    </xf>
    <xf numFmtId="0" fontId="16" fillId="8" borderId="75" xfId="0" applyFont="1" applyFill="1" applyBorder="1" applyAlignment="1">
      <alignment horizontal="center" vertical="center" wrapText="1"/>
    </xf>
    <xf numFmtId="49" fontId="77" fillId="0" borderId="0" xfId="5" applyNumberFormat="1" applyAlignment="1">
      <alignment horizontal="center"/>
    </xf>
    <xf numFmtId="0" fontId="80" fillId="0" borderId="0" xfId="5" applyFont="1" applyAlignment="1">
      <alignment horizontal="center"/>
    </xf>
    <xf numFmtId="0" fontId="82" fillId="0" borderId="0" xfId="5" applyFont="1" applyAlignment="1">
      <alignment horizontal="center"/>
    </xf>
    <xf numFmtId="0" fontId="9" fillId="0" borderId="0" xfId="5" applyFont="1" applyAlignment="1">
      <alignment horizontal="center"/>
    </xf>
    <xf numFmtId="0" fontId="83" fillId="8" borderId="126" xfId="5" applyFont="1" applyFill="1" applyBorder="1" applyAlignment="1">
      <alignment horizontal="center" vertical="center"/>
    </xf>
    <xf numFmtId="0" fontId="83" fillId="8" borderId="129" xfId="5" applyFont="1" applyFill="1" applyBorder="1" applyAlignment="1">
      <alignment horizontal="center" vertical="center"/>
    </xf>
    <xf numFmtId="0" fontId="83" fillId="8" borderId="115" xfId="5" applyFont="1" applyFill="1" applyBorder="1" applyAlignment="1">
      <alignment horizontal="center" vertical="center"/>
    </xf>
    <xf numFmtId="0" fontId="83" fillId="8" borderId="127" xfId="5" applyFont="1" applyFill="1" applyBorder="1" applyAlignment="1">
      <alignment horizontal="center" vertical="center" wrapText="1"/>
    </xf>
    <xf numFmtId="0" fontId="83" fillId="8" borderId="131" xfId="5" applyFont="1" applyFill="1" applyBorder="1" applyAlignment="1">
      <alignment horizontal="center" vertical="center" wrapText="1"/>
    </xf>
    <xf numFmtId="0" fontId="83" fillId="8" borderId="128" xfId="5" applyFont="1" applyFill="1" applyBorder="1" applyAlignment="1">
      <alignment horizontal="center" vertical="center" wrapText="1"/>
    </xf>
    <xf numFmtId="0" fontId="83" fillId="8" borderId="132" xfId="5" applyFont="1" applyFill="1" applyBorder="1" applyAlignment="1">
      <alignment horizontal="center" vertical="center" wrapText="1"/>
    </xf>
    <xf numFmtId="0" fontId="16" fillId="8" borderId="36" xfId="0" applyFont="1" applyFill="1" applyBorder="1" applyAlignment="1">
      <alignment horizontal="center" vertical="center" wrapText="1"/>
    </xf>
    <xf numFmtId="0" fontId="16" fillId="8" borderId="5" xfId="0" applyFont="1" applyFill="1" applyBorder="1" applyAlignment="1">
      <alignment horizontal="center" vertical="center" wrapText="1"/>
    </xf>
    <xf numFmtId="0" fontId="16" fillId="8" borderId="47" xfId="0" applyFont="1" applyFill="1" applyBorder="1" applyAlignment="1">
      <alignment horizontal="center" vertical="center" wrapText="1"/>
    </xf>
    <xf numFmtId="0" fontId="16" fillId="8" borderId="13" xfId="0" applyFont="1" applyFill="1" applyBorder="1" applyAlignment="1">
      <alignment horizontal="center" vertical="center" wrapText="1"/>
    </xf>
    <xf numFmtId="0" fontId="16" fillId="8" borderId="136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16" fillId="8" borderId="60" xfId="0" applyFont="1" applyFill="1" applyBorder="1" applyAlignment="1">
      <alignment horizontal="center" vertical="center" wrapText="1"/>
    </xf>
    <xf numFmtId="0" fontId="16" fillId="8" borderId="44" xfId="0" applyFont="1" applyFill="1" applyBorder="1" applyAlignment="1">
      <alignment horizontal="center" vertical="center" wrapText="1"/>
    </xf>
    <xf numFmtId="0" fontId="16" fillId="8" borderId="65" xfId="0" applyFont="1" applyFill="1" applyBorder="1" applyAlignment="1">
      <alignment horizontal="center" vertical="center" wrapText="1"/>
    </xf>
    <xf numFmtId="0" fontId="16" fillId="8" borderId="66" xfId="0" applyFont="1" applyFill="1" applyBorder="1" applyAlignment="1">
      <alignment horizontal="center" vertical="center" wrapText="1"/>
    </xf>
    <xf numFmtId="0" fontId="16" fillId="8" borderId="61" xfId="0" applyFont="1" applyFill="1" applyBorder="1" applyAlignment="1">
      <alignment horizontal="center" vertical="center"/>
    </xf>
    <xf numFmtId="0" fontId="16" fillId="8" borderId="62" xfId="0" applyFont="1" applyFill="1" applyBorder="1" applyAlignment="1">
      <alignment horizontal="center" vertical="center"/>
    </xf>
    <xf numFmtId="0" fontId="16" fillId="8" borderId="63" xfId="0" applyFont="1" applyFill="1" applyBorder="1" applyAlignment="1">
      <alignment horizontal="center" vertical="center"/>
    </xf>
    <xf numFmtId="0" fontId="16" fillId="8" borderId="61" xfId="0" applyFont="1" applyFill="1" applyBorder="1" applyAlignment="1">
      <alignment horizontal="center" vertical="center" wrapText="1"/>
    </xf>
    <xf numFmtId="0" fontId="16" fillId="8" borderId="6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6" fontId="16" fillId="8" borderId="143" xfId="0" applyNumberFormat="1" applyFont="1" applyFill="1" applyBorder="1" applyAlignment="1">
      <alignment horizontal="center" vertical="center" wrapText="1"/>
    </xf>
    <xf numFmtId="166" fontId="16" fillId="8" borderId="147" xfId="0" applyNumberFormat="1" applyFont="1" applyFill="1" applyBorder="1" applyAlignment="1">
      <alignment horizontal="center" vertical="center" wrapText="1"/>
    </xf>
    <xf numFmtId="3" fontId="16" fillId="8" borderId="143" xfId="0" applyNumberFormat="1" applyFont="1" applyFill="1" applyBorder="1" applyAlignment="1">
      <alignment horizontal="center" vertical="center" wrapText="1"/>
    </xf>
    <xf numFmtId="3" fontId="16" fillId="8" borderId="147" xfId="0" applyNumberFormat="1" applyFont="1" applyFill="1" applyBorder="1" applyAlignment="1">
      <alignment horizontal="center" vertical="center" wrapText="1"/>
    </xf>
    <xf numFmtId="0" fontId="16" fillId="8" borderId="138" xfId="0" applyFont="1" applyFill="1" applyBorder="1" applyAlignment="1">
      <alignment horizontal="center" vertical="center"/>
    </xf>
    <xf numFmtId="0" fontId="16" fillId="8" borderId="41" xfId="0" applyFont="1" applyFill="1" applyBorder="1" applyAlignment="1">
      <alignment horizontal="center" vertical="center"/>
    </xf>
    <xf numFmtId="0" fontId="16" fillId="8" borderId="44" xfId="0" applyFont="1" applyFill="1" applyBorder="1" applyAlignment="1">
      <alignment horizontal="center" vertical="center"/>
    </xf>
    <xf numFmtId="0" fontId="16" fillId="8" borderId="88" xfId="0" applyFont="1" applyFill="1" applyBorder="1" applyAlignment="1">
      <alignment horizontal="center" vertical="center"/>
    </xf>
    <xf numFmtId="0" fontId="16" fillId="8" borderId="4" xfId="0" applyFont="1" applyFill="1" applyBorder="1" applyAlignment="1">
      <alignment horizontal="center" vertical="center"/>
    </xf>
    <xf numFmtId="0" fontId="16" fillId="8" borderId="140" xfId="0" applyFont="1" applyFill="1" applyBorder="1" applyAlignment="1">
      <alignment horizontal="center" vertical="center"/>
    </xf>
    <xf numFmtId="4" fontId="16" fillId="7" borderId="88" xfId="0" applyNumberFormat="1" applyFont="1" applyFill="1" applyBorder="1" applyAlignment="1">
      <alignment horizontal="center" vertical="center" wrapText="1"/>
    </xf>
    <xf numFmtId="4" fontId="16" fillId="7" borderId="4" xfId="0" applyNumberFormat="1" applyFont="1" applyFill="1" applyBorder="1" applyAlignment="1">
      <alignment horizontal="center" vertical="center" wrapText="1"/>
    </xf>
    <xf numFmtId="4" fontId="16" fillId="7" borderId="140" xfId="0" applyNumberFormat="1" applyFont="1" applyFill="1" applyBorder="1" applyAlignment="1">
      <alignment horizontal="center" vertical="center" wrapText="1"/>
    </xf>
    <xf numFmtId="49" fontId="16" fillId="8" borderId="146" xfId="0" applyNumberFormat="1" applyFont="1" applyFill="1" applyBorder="1" applyAlignment="1">
      <alignment horizontal="center" vertical="center" wrapText="1"/>
    </xf>
    <xf numFmtId="49" fontId="16" fillId="8" borderId="148" xfId="0" applyNumberFormat="1" applyFont="1" applyFill="1" applyBorder="1" applyAlignment="1">
      <alignment horizontal="center" vertical="center" wrapText="1"/>
    </xf>
    <xf numFmtId="49" fontId="16" fillId="8" borderId="149" xfId="0" applyNumberFormat="1" applyFont="1" applyFill="1" applyBorder="1" applyAlignment="1">
      <alignment horizontal="center" vertical="center" wrapText="1"/>
    </xf>
    <xf numFmtId="4" fontId="16" fillId="8" borderId="144" xfId="0" applyNumberFormat="1" applyFont="1" applyFill="1" applyBorder="1" applyAlignment="1">
      <alignment horizontal="center" vertical="center"/>
    </xf>
    <xf numFmtId="4" fontId="16" fillId="8" borderId="145" xfId="0" applyNumberFormat="1" applyFont="1" applyFill="1" applyBorder="1" applyAlignment="1">
      <alignment horizontal="center" vertical="center"/>
    </xf>
    <xf numFmtId="0" fontId="96" fillId="0" borderId="0" xfId="0" applyFont="1" applyAlignment="1">
      <alignment horizontal="center"/>
    </xf>
    <xf numFmtId="0" fontId="16" fillId="8" borderId="139" xfId="0" applyFont="1" applyFill="1" applyBorder="1" applyAlignment="1">
      <alignment horizontal="center" vertical="center"/>
    </xf>
    <xf numFmtId="0" fontId="16" fillId="8" borderId="135" xfId="0" applyFont="1" applyFill="1" applyBorder="1" applyAlignment="1">
      <alignment horizontal="center" vertical="center"/>
    </xf>
    <xf numFmtId="0" fontId="16" fillId="8" borderId="137" xfId="0" applyFont="1" applyFill="1" applyBorder="1" applyAlignment="1">
      <alignment horizontal="center" vertical="center"/>
    </xf>
    <xf numFmtId="0" fontId="16" fillId="8" borderId="138" xfId="0" applyFont="1" applyFill="1" applyBorder="1" applyAlignment="1">
      <alignment horizontal="center" vertical="center" wrapText="1"/>
    </xf>
    <xf numFmtId="0" fontId="16" fillId="8" borderId="88" xfId="0" applyFont="1" applyFill="1" applyBorder="1" applyAlignment="1">
      <alignment horizontal="center" vertical="center" wrapText="1"/>
    </xf>
    <xf numFmtId="0" fontId="16" fillId="8" borderId="140" xfId="0" applyFont="1" applyFill="1" applyBorder="1" applyAlignment="1">
      <alignment horizontal="center" vertical="center" wrapText="1"/>
    </xf>
    <xf numFmtId="0" fontId="16" fillId="8" borderId="142" xfId="0" applyFont="1" applyFill="1" applyBorder="1" applyAlignment="1">
      <alignment horizontal="center" vertical="center" wrapText="1"/>
    </xf>
    <xf numFmtId="0" fontId="16" fillId="8" borderId="110" xfId="0" applyFont="1" applyFill="1" applyBorder="1" applyAlignment="1">
      <alignment horizontal="center" vertical="center" wrapText="1"/>
    </xf>
    <xf numFmtId="4" fontId="16" fillId="8" borderId="139" xfId="0" applyNumberFormat="1" applyFont="1" applyFill="1" applyBorder="1" applyAlignment="1">
      <alignment horizontal="center" vertical="center" wrapText="1"/>
    </xf>
    <xf numFmtId="4" fontId="16" fillId="8" borderId="137" xfId="0" applyNumberFormat="1" applyFont="1" applyFill="1" applyBorder="1" applyAlignment="1">
      <alignment horizontal="center" vertical="center" wrapText="1"/>
    </xf>
    <xf numFmtId="0" fontId="6" fillId="7" borderId="11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0" fontId="6" fillId="7" borderId="37" xfId="0" applyFont="1" applyFill="1" applyBorder="1" applyAlignment="1">
      <alignment horizontal="center" vertical="center"/>
    </xf>
    <xf numFmtId="0" fontId="6" fillId="7" borderId="36" xfId="0" applyFont="1" applyFill="1" applyBorder="1" applyAlignment="1">
      <alignment horizontal="center" vertical="center"/>
    </xf>
    <xf numFmtId="0" fontId="6" fillId="7" borderId="14" xfId="0" applyFont="1" applyFill="1" applyBorder="1" applyAlignment="1">
      <alignment horizontal="center" vertical="center"/>
    </xf>
    <xf numFmtId="168" fontId="6" fillId="7" borderId="47" xfId="0" applyNumberFormat="1" applyFont="1" applyFill="1" applyBorder="1" applyAlignment="1">
      <alignment horizontal="center" vertical="center" wrapText="1"/>
    </xf>
    <xf numFmtId="168" fontId="6" fillId="7" borderId="13" xfId="0" applyNumberFormat="1" applyFont="1" applyFill="1" applyBorder="1" applyAlignment="1">
      <alignment horizontal="center" vertical="center" wrapText="1"/>
    </xf>
    <xf numFmtId="4" fontId="6" fillId="7" borderId="111" xfId="0" applyNumberFormat="1" applyFont="1" applyFill="1" applyBorder="1" applyAlignment="1">
      <alignment horizontal="center" vertical="center" wrapText="1"/>
    </xf>
    <xf numFmtId="4" fontId="6" fillId="7" borderId="112" xfId="0" applyNumberFormat="1" applyFont="1" applyFill="1" applyBorder="1" applyAlignment="1">
      <alignment horizontal="center" vertical="center" wrapText="1"/>
    </xf>
    <xf numFmtId="166" fontId="16" fillId="0" borderId="0" xfId="0" applyNumberFormat="1" applyFont="1" applyAlignment="1">
      <alignment horizontal="left"/>
    </xf>
    <xf numFmtId="166" fontId="17" fillId="0" borderId="0" xfId="0" applyNumberFormat="1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" fillId="7" borderId="15" xfId="0" applyFont="1" applyFill="1" applyBorder="1" applyAlignment="1">
      <alignment horizontal="center" vertical="center" wrapText="1"/>
    </xf>
    <xf numFmtId="0" fontId="6" fillId="7" borderId="18" xfId="0" applyFont="1" applyFill="1" applyBorder="1" applyAlignment="1">
      <alignment horizontal="center" vertical="center" wrapText="1"/>
    </xf>
    <xf numFmtId="0" fontId="6" fillId="7" borderId="16" xfId="0" applyFont="1" applyFill="1" applyBorder="1" applyAlignment="1">
      <alignment horizontal="center" vertical="center"/>
    </xf>
    <xf numFmtId="0" fontId="6" fillId="7" borderId="19" xfId="0" applyFont="1" applyFill="1" applyBorder="1" applyAlignment="1">
      <alignment horizontal="center" vertical="center"/>
    </xf>
    <xf numFmtId="0" fontId="6" fillId="7" borderId="17" xfId="0" applyFont="1" applyFill="1" applyBorder="1" applyAlignment="1">
      <alignment horizontal="center"/>
    </xf>
    <xf numFmtId="0" fontId="6" fillId="7" borderId="2" xfId="0" applyFont="1" applyFill="1" applyBorder="1" applyAlignment="1">
      <alignment horizontal="center"/>
    </xf>
    <xf numFmtId="0" fontId="6" fillId="7" borderId="22" xfId="0" applyFont="1" applyFill="1" applyBorder="1" applyAlignment="1">
      <alignment horizontal="center"/>
    </xf>
    <xf numFmtId="0" fontId="6" fillId="7" borderId="28" xfId="0" applyFont="1" applyFill="1" applyBorder="1" applyAlignment="1">
      <alignment horizontal="center" vertical="center" wrapText="1"/>
    </xf>
    <xf numFmtId="0" fontId="6" fillId="7" borderId="30" xfId="0" applyFont="1" applyFill="1" applyBorder="1" applyAlignment="1">
      <alignment horizontal="center" vertical="center" wrapText="1"/>
    </xf>
    <xf numFmtId="0" fontId="6" fillId="7" borderId="97" xfId="0" applyFont="1" applyFill="1" applyBorder="1" applyAlignment="1">
      <alignment horizontal="center" vertical="center" wrapText="1"/>
    </xf>
    <xf numFmtId="0" fontId="6" fillId="7" borderId="98" xfId="0" applyFont="1" applyFill="1" applyBorder="1" applyAlignment="1">
      <alignment horizontal="center" vertical="center" wrapText="1"/>
    </xf>
    <xf numFmtId="0" fontId="6" fillId="7" borderId="99" xfId="0" applyFont="1" applyFill="1" applyBorder="1" applyAlignment="1">
      <alignment horizontal="center" vertical="center" wrapText="1"/>
    </xf>
  </cellXfs>
  <cellStyles count="7">
    <cellStyle name="Euro" xfId="2" xr:uid="{00000000-0005-0000-0000-000000000000}"/>
    <cellStyle name="Moneda" xfId="1" builtinId="4"/>
    <cellStyle name="Normal" xfId="0" builtinId="0"/>
    <cellStyle name="Normal 2" xfId="3" xr:uid="{00000000-0005-0000-0000-000003000000}"/>
    <cellStyle name="Normal 2 2" xfId="4" xr:uid="{00000000-0005-0000-0000-000004000000}"/>
    <cellStyle name="Normal 3" xfId="5" xr:uid="{00000000-0005-0000-0000-000005000000}"/>
    <cellStyle name="Normal 3 2" xfId="6" xr:uid="{00000000-0005-0000-0000-00000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2323DC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33CC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66CC"/>
      <color rgb="FF0000CC"/>
      <color rgb="FFFFFFCC"/>
      <color rgb="FFFFFF99"/>
      <color rgb="FF062948"/>
      <color rgb="FF000099"/>
      <color rgb="FF000066"/>
      <color rgb="FFFFCCFF"/>
      <color rgb="FF003399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106680</xdr:rowOff>
    </xdr:from>
    <xdr:to>
      <xdr:col>5</xdr:col>
      <xdr:colOff>30480</xdr:colOff>
      <xdr:row>2</xdr:row>
      <xdr:rowOff>236220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268605"/>
          <a:ext cx="5574030" cy="2914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A" sz="14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RESUMEN DEL PRESUPUESTO AL MES DE</a:t>
          </a:r>
          <a:r>
            <a:rPr lang="es-PA" sz="14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MARZO </a:t>
          </a:r>
          <a:r>
            <a:rPr lang="es-PA" sz="14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2026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0" name="Line 1">
          <a:extLst>
            <a:ext uri="{FF2B5EF4-FFF2-40B4-BE49-F238E27FC236}">
              <a16:creationId xmlns:a16="http://schemas.microsoft.com/office/drawing/2014/main" id="{00000000-0008-0000-0C00-0000A4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1" name="Line 1">
          <a:extLst>
            <a:ext uri="{FF2B5EF4-FFF2-40B4-BE49-F238E27FC236}">
              <a16:creationId xmlns:a16="http://schemas.microsoft.com/office/drawing/2014/main" id="{00000000-0008-0000-0C00-0000A5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2" name="Line 1">
          <a:extLst>
            <a:ext uri="{FF2B5EF4-FFF2-40B4-BE49-F238E27FC236}">
              <a16:creationId xmlns:a16="http://schemas.microsoft.com/office/drawing/2014/main" id="{00000000-0008-0000-0C00-0000A6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3" name="Line 1">
          <a:extLst>
            <a:ext uri="{FF2B5EF4-FFF2-40B4-BE49-F238E27FC236}">
              <a16:creationId xmlns:a16="http://schemas.microsoft.com/office/drawing/2014/main" id="{00000000-0008-0000-0C00-0000A7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4" name="Line 1">
          <a:extLst>
            <a:ext uri="{FF2B5EF4-FFF2-40B4-BE49-F238E27FC236}">
              <a16:creationId xmlns:a16="http://schemas.microsoft.com/office/drawing/2014/main" id="{00000000-0008-0000-0C00-0000A8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5" name="Line 1">
          <a:extLst>
            <a:ext uri="{FF2B5EF4-FFF2-40B4-BE49-F238E27FC236}">
              <a16:creationId xmlns:a16="http://schemas.microsoft.com/office/drawing/2014/main" id="{00000000-0008-0000-0C00-0000A9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39</xdr:row>
      <xdr:rowOff>0</xdr:rowOff>
    </xdr:from>
    <xdr:to>
      <xdr:col>0</xdr:col>
      <xdr:colOff>238125</xdr:colOff>
      <xdr:row>40</xdr:row>
      <xdr:rowOff>38100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D00-00008BC60000}"/>
            </a:ext>
          </a:extLst>
        </xdr:cNvPr>
        <xdr:cNvSpPr txBox="1">
          <a:spLocks noChangeArrowheads="1"/>
        </xdr:cNvSpPr>
      </xdr:nvSpPr>
      <xdr:spPr>
        <a:xfrm>
          <a:off x="133350" y="90678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52</xdr:row>
      <xdr:rowOff>28575</xdr:rowOff>
    </xdr:from>
    <xdr:to>
      <xdr:col>3</xdr:col>
      <xdr:colOff>800100</xdr:colOff>
      <xdr:row>55</xdr:row>
      <xdr:rowOff>104775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SpPr txBox="1"/>
      </xdr:nvSpPr>
      <xdr:spPr>
        <a:xfrm>
          <a:off x="47625" y="12760325"/>
          <a:ext cx="6400800" cy="5619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A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pre05\COPIA%20MAYRA\EJECUCION%20PRESUP%2020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-A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GRESOS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Pto"/>
      <sheetName val="FINANC. PTO"/>
      <sheetName val="C-1"/>
      <sheetName val="C-2"/>
      <sheetName val="C-3"/>
      <sheetName val="C-4"/>
      <sheetName val="Transf"/>
      <sheetName val="C-5"/>
      <sheetName val="C-8"/>
      <sheetName val="C-6"/>
      <sheetName val="C-7"/>
      <sheetName val="C-9"/>
      <sheetName val="C-10"/>
      <sheetName val="Ing.corr-k"/>
      <sheetName val="CA1"/>
      <sheetName val="CA2"/>
      <sheetName val="C-A3"/>
      <sheetName val="C-A4"/>
      <sheetName val="C-A5"/>
      <sheetName val="C-A6"/>
      <sheetName val="C-A6C"/>
      <sheetName val="C-A7"/>
      <sheetName val="C-A8A"/>
      <sheetName val="INVxOBJETO"/>
      <sheetName val="TRASLADO"/>
      <sheetName val="PTO LEY 2020-2021"/>
      <sheetName val="POR GRUPO"/>
      <sheetName val="Hoja4"/>
      <sheetName val="Hoja5"/>
      <sheetName val="Hoja1"/>
      <sheetName val="Hoja2"/>
      <sheetName val="C-A8"/>
      <sheetName val="Hoja6"/>
      <sheetName val="C-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1">
          <cell r="B11" t="str">
            <v xml:space="preserve"> I  Ingresos Corrientes</v>
          </cell>
          <cell r="D11">
            <v>141094806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6" tint="0.39997558519241921"/>
  </sheetPr>
  <dimension ref="A1:H35"/>
  <sheetViews>
    <sheetView showGridLines="0" showZeros="0" tabSelected="1" topLeftCell="A10" workbookViewId="0">
      <selection activeCell="I21" sqref="I21"/>
    </sheetView>
  </sheetViews>
  <sheetFormatPr baseColWidth="10" defaultColWidth="11.42578125" defaultRowHeight="12.75"/>
  <cols>
    <col min="1" max="1" width="35.7109375" style="4" customWidth="1"/>
    <col min="2" max="2" width="15.28515625" customWidth="1"/>
    <col min="3" max="3" width="5" hidden="1" customWidth="1"/>
    <col min="4" max="4" width="16" customWidth="1"/>
    <col min="5" max="5" width="16.7109375" customWidth="1"/>
  </cols>
  <sheetData>
    <row r="1" spans="1:7">
      <c r="A1"/>
    </row>
    <row r="2" spans="1:7">
      <c r="A2"/>
    </row>
    <row r="3" spans="1:7" ht="31.9" customHeight="1">
      <c r="A3"/>
    </row>
    <row r="4" spans="1:7" ht="6.95" customHeight="1">
      <c r="A4" s="826" t="s">
        <v>0</v>
      </c>
      <c r="B4" s="381"/>
      <c r="C4" s="381"/>
      <c r="D4" s="381"/>
      <c r="E4" s="381"/>
    </row>
    <row r="5" spans="1:7">
      <c r="A5" s="827"/>
      <c r="B5" s="823" t="s">
        <v>1</v>
      </c>
      <c r="C5" s="824"/>
      <c r="D5" s="824"/>
      <c r="E5" s="824"/>
    </row>
    <row r="6" spans="1:7" ht="20.25" customHeight="1">
      <c r="A6" s="827"/>
      <c r="B6" s="382" t="s">
        <v>2</v>
      </c>
      <c r="C6" s="382" t="s">
        <v>3</v>
      </c>
      <c r="D6" s="383" t="s">
        <v>4</v>
      </c>
      <c r="E6" s="382" t="s">
        <v>5</v>
      </c>
    </row>
    <row r="7" spans="1:7" ht="6.6" customHeight="1">
      <c r="A7" s="828"/>
      <c r="B7" s="384"/>
      <c r="C7" s="384"/>
      <c r="D7" s="385"/>
      <c r="E7" s="384"/>
    </row>
    <row r="8" spans="1:7" ht="13.15" customHeight="1">
      <c r="A8" s="5"/>
      <c r="B8" s="110"/>
      <c r="C8" s="110"/>
      <c r="D8" s="233"/>
    </row>
    <row r="9" spans="1:7" ht="24.6" customHeight="1">
      <c r="A9" s="234" t="s">
        <v>6</v>
      </c>
      <c r="B9" s="235">
        <f>SUM(B11:B13)</f>
        <v>179349116</v>
      </c>
      <c r="C9" s="235">
        <f>SUM(C11:C13)</f>
        <v>0</v>
      </c>
      <c r="D9" s="236">
        <f>SUM(D11:D13)</f>
        <v>179349116</v>
      </c>
      <c r="E9" s="235">
        <f>SUM(E11:E13)</f>
        <v>28862010.530000001</v>
      </c>
    </row>
    <row r="10" spans="1:7" ht="15">
      <c r="A10" s="237"/>
      <c r="B10" s="238"/>
      <c r="C10" s="239"/>
      <c r="D10" s="238"/>
      <c r="E10" s="239"/>
    </row>
    <row r="11" spans="1:7">
      <c r="A11" s="240" t="s">
        <v>7</v>
      </c>
      <c r="B11" s="241">
        <f>+'RECAUDACION ING'!C11</f>
        <v>133140570</v>
      </c>
      <c r="C11" s="242"/>
      <c r="D11" s="241">
        <f>'RECAUDACION ING'!D11</f>
        <v>133140570</v>
      </c>
      <c r="E11" s="242">
        <f>'RECAUDACION ING'!G11</f>
        <v>27762010.530000001</v>
      </c>
    </row>
    <row r="12" spans="1:7">
      <c r="A12" s="240"/>
      <c r="B12" s="241"/>
      <c r="C12" s="242"/>
      <c r="D12" s="241"/>
      <c r="E12" s="242"/>
      <c r="F12" s="243"/>
    </row>
    <row r="13" spans="1:7">
      <c r="A13" s="240" t="s">
        <v>8</v>
      </c>
      <c r="B13" s="241">
        <f>+'RECAUDACION ING'!C36</f>
        <v>46208546</v>
      </c>
      <c r="C13" s="242"/>
      <c r="D13" s="241">
        <f>'RECAUDACION ING'!D36</f>
        <v>46208546</v>
      </c>
      <c r="E13" s="819">
        <f>'RECAUDACION ING'!G42</f>
        <v>1100000</v>
      </c>
      <c r="G13" s="1"/>
    </row>
    <row r="14" spans="1:7" ht="15">
      <c r="A14" s="237"/>
      <c r="B14" s="244"/>
      <c r="C14" s="245"/>
      <c r="D14" s="244"/>
      <c r="E14" s="245"/>
    </row>
    <row r="15" spans="1:7" ht="15">
      <c r="A15" s="237"/>
      <c r="B15" s="244"/>
      <c r="C15" s="245"/>
      <c r="D15" s="244"/>
      <c r="E15" s="245"/>
    </row>
    <row r="16" spans="1:7" ht="22.15" customHeight="1">
      <c r="A16" s="234" t="s">
        <v>9</v>
      </c>
      <c r="B16" s="246">
        <f>+B18+B25</f>
        <v>179349116</v>
      </c>
      <c r="C16" s="247">
        <f>+C18+C25</f>
        <v>0</v>
      </c>
      <c r="D16" s="246">
        <f>+D18+D25</f>
        <v>179349116</v>
      </c>
      <c r="E16" s="247">
        <f>+E18+E25</f>
        <v>35734793.359999999</v>
      </c>
    </row>
    <row r="17" spans="1:8" ht="16.899999999999999" customHeight="1">
      <c r="A17" s="237"/>
      <c r="B17" s="244"/>
      <c r="C17" s="245"/>
      <c r="D17" s="244"/>
      <c r="E17" s="245"/>
    </row>
    <row r="18" spans="1:8" ht="24.6" customHeight="1">
      <c r="A18" s="248" t="s">
        <v>10</v>
      </c>
      <c r="B18" s="249">
        <f>+B19+B21+B23</f>
        <v>133140570</v>
      </c>
      <c r="C18" s="249">
        <f>SUM(C19:C23)</f>
        <v>0</v>
      </c>
      <c r="D18" s="250">
        <f>SUM(D19:D23)</f>
        <v>133140570</v>
      </c>
      <c r="E18" s="249">
        <f>E19+E21+E23</f>
        <v>30014125.289999999</v>
      </c>
      <c r="F18" s="1" t="s">
        <v>11</v>
      </c>
      <c r="H18" t="s">
        <v>12</v>
      </c>
    </row>
    <row r="19" spans="1:8" ht="22.5" customHeight="1">
      <c r="A19" s="5" t="s">
        <v>13</v>
      </c>
      <c r="B19" s="242">
        <f>+'ESTRUCTURA PROG'!C11</f>
        <v>46252935</v>
      </c>
      <c r="C19" s="242"/>
      <c r="D19" s="241">
        <f>+'ESTRUCTURA PROG'!D11</f>
        <v>46873355</v>
      </c>
      <c r="E19" s="242">
        <f>+'ESTRUCTURA PROG'!G11</f>
        <v>10666198.979999999</v>
      </c>
      <c r="H19" t="s">
        <v>12</v>
      </c>
    </row>
    <row r="20" spans="1:8">
      <c r="A20" s="5"/>
      <c r="B20" s="242">
        <f>+'PROYECTROS INV'!E1</f>
        <v>0</v>
      </c>
      <c r="C20" s="242"/>
      <c r="D20" s="241"/>
      <c r="E20" s="242">
        <f>+'PROYECTROS INV'!G1</f>
        <v>0</v>
      </c>
      <c r="H20" t="s">
        <v>12</v>
      </c>
    </row>
    <row r="21" spans="1:8">
      <c r="A21" s="5" t="s">
        <v>14</v>
      </c>
      <c r="B21" s="242">
        <f>+'ESTRUCTURA PROG'!C21</f>
        <v>71448026</v>
      </c>
      <c r="C21" s="242"/>
      <c r="D21" s="241">
        <f>+'ESTRUCTURA PROG'!D21</f>
        <v>71539714</v>
      </c>
      <c r="E21" s="242">
        <f>+'ESTRUCTURA PROG'!G21</f>
        <v>16327327.66</v>
      </c>
      <c r="H21" t="s">
        <v>12</v>
      </c>
    </row>
    <row r="22" spans="1:8">
      <c r="A22" s="5" t="s">
        <v>12</v>
      </c>
      <c r="B22" s="242">
        <f>+'PROYECTROS INV'!E3</f>
        <v>0</v>
      </c>
      <c r="C22" s="242"/>
      <c r="D22" s="241"/>
      <c r="E22" s="242">
        <f>+'PROYECTROS INV'!G3</f>
        <v>0</v>
      </c>
      <c r="H22" t="s">
        <v>12</v>
      </c>
    </row>
    <row r="23" spans="1:8">
      <c r="A23" s="5" t="s">
        <v>15</v>
      </c>
      <c r="B23" s="242">
        <f>+'ESTRUCTURA PROG'!C29</f>
        <v>15439609</v>
      </c>
      <c r="C23" s="242"/>
      <c r="D23" s="241">
        <f>+'ESTRUCTURA PROG'!D29</f>
        <v>14727501</v>
      </c>
      <c r="E23" s="242">
        <f>+'ESTRUCTURA PROG'!G29</f>
        <v>3020598.65</v>
      </c>
    </row>
    <row r="24" spans="1:8" ht="27.6" customHeight="1">
      <c r="A24" s="237"/>
      <c r="B24" s="245"/>
      <c r="C24" s="245"/>
      <c r="D24" s="244"/>
      <c r="E24" s="245"/>
    </row>
    <row r="25" spans="1:8" ht="21" customHeight="1">
      <c r="A25" s="248" t="s">
        <v>16</v>
      </c>
      <c r="B25" s="249">
        <f>+B26+B28+B30+B32</f>
        <v>46208546</v>
      </c>
      <c r="C25" s="249">
        <f>SUM(C26:C30)</f>
        <v>0</v>
      </c>
      <c r="D25" s="250">
        <f>SUM(D26:D32)</f>
        <v>46208546</v>
      </c>
      <c r="E25" s="249">
        <f>+E26+E28+E30+E32</f>
        <v>5720668.0700000003</v>
      </c>
      <c r="F25" s="1" t="s">
        <v>12</v>
      </c>
    </row>
    <row r="26" spans="1:8" ht="23.25" customHeight="1">
      <c r="A26" s="5" t="s">
        <v>17</v>
      </c>
      <c r="B26" s="242">
        <f>+'PROYECTROS INV'!B8</f>
        <v>39203856</v>
      </c>
      <c r="C26" s="242"/>
      <c r="D26" s="241">
        <f>+'PROYECTROS INV'!D8</f>
        <v>38062122</v>
      </c>
      <c r="E26" s="242">
        <f>+'PROYECTROS INV'!G8</f>
        <v>2232662.09</v>
      </c>
    </row>
    <row r="27" spans="1:8">
      <c r="A27" s="5"/>
      <c r="B27" s="242"/>
      <c r="C27" s="242"/>
      <c r="D27" s="241"/>
      <c r="E27" s="242" t="s">
        <v>12</v>
      </c>
    </row>
    <row r="28" spans="1:8">
      <c r="A28" s="5" t="s">
        <v>18</v>
      </c>
      <c r="B28" s="242">
        <f>+'PROYECTROS INV'!B20</f>
        <v>1955170</v>
      </c>
      <c r="C28" s="242"/>
      <c r="D28" s="241">
        <f>+'PROYECTROS INV'!D20</f>
        <v>2151916</v>
      </c>
      <c r="E28" s="242">
        <f>+'PROYECTROS INV'!G20</f>
        <v>649902.22</v>
      </c>
    </row>
    <row r="29" spans="1:8">
      <c r="A29" s="5"/>
      <c r="B29" s="1"/>
      <c r="C29" s="1"/>
      <c r="D29" s="251"/>
      <c r="E29" s="1" t="s">
        <v>12</v>
      </c>
    </row>
    <row r="30" spans="1:8">
      <c r="A30" s="5" t="s">
        <v>19</v>
      </c>
      <c r="B30" s="242">
        <f>+'PROYECTROS INV'!B37</f>
        <v>3949520</v>
      </c>
      <c r="C30" s="242"/>
      <c r="D30" s="241">
        <f>+'PROYECTROS INV'!D37</f>
        <v>4295558</v>
      </c>
      <c r="E30" s="242">
        <f>+'PROYECTROS INV'!G37</f>
        <v>1944995.24</v>
      </c>
    </row>
    <row r="31" spans="1:8">
      <c r="A31" s="5"/>
      <c r="B31" s="241"/>
      <c r="C31" s="242"/>
      <c r="D31" s="241"/>
      <c r="E31" s="242"/>
    </row>
    <row r="32" spans="1:8">
      <c r="A32" s="5" t="s">
        <v>609</v>
      </c>
      <c r="B32" s="242">
        <f>+'PROYECTROS INV'!B47</f>
        <v>1100000</v>
      </c>
      <c r="C32" s="242">
        <v>1100000</v>
      </c>
      <c r="D32" s="241">
        <f>+'PROYECTROS INV'!D47</f>
        <v>1698950</v>
      </c>
      <c r="E32" s="242">
        <f>+'PROYECTROS INV'!G47</f>
        <v>893108.52</v>
      </c>
    </row>
    <row r="33" spans="1:5" ht="15">
      <c r="A33" s="237"/>
      <c r="B33" s="387"/>
      <c r="C33" s="31"/>
      <c r="D33" s="252"/>
      <c r="E33" s="253"/>
    </row>
    <row r="34" spans="1:5">
      <c r="A34" s="65"/>
      <c r="B34" s="65"/>
      <c r="C34" s="65"/>
      <c r="D34" s="65"/>
      <c r="E34" s="65"/>
    </row>
    <row r="35" spans="1:5">
      <c r="A35" s="825" t="s">
        <v>20</v>
      </c>
      <c r="B35" s="825"/>
    </row>
  </sheetData>
  <mergeCells count="3">
    <mergeCell ref="B5:E5"/>
    <mergeCell ref="A35:B35"/>
    <mergeCell ref="A4:A7"/>
  </mergeCells>
  <pageMargins left="0.94488188976377996" right="0.74803149606299202" top="0.98425196850393704" bottom="0.98425196850393704" header="0" footer="0"/>
  <pageSetup scale="80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 tint="0.39997558519241921"/>
  </sheetPr>
  <dimension ref="A1:R464"/>
  <sheetViews>
    <sheetView showGridLines="0" showZeros="0" zoomScale="77" zoomScaleNormal="77" workbookViewId="0">
      <selection activeCell="U37" sqref="U37"/>
    </sheetView>
  </sheetViews>
  <sheetFormatPr baseColWidth="10" defaultColWidth="11.42578125" defaultRowHeight="13.5"/>
  <cols>
    <col min="1" max="1" width="6.140625" style="3" customWidth="1"/>
    <col min="2" max="2" width="59.42578125" customWidth="1"/>
    <col min="3" max="3" width="12.5703125" customWidth="1"/>
    <col min="4" max="4" width="14.28515625" hidden="1" customWidth="1"/>
    <col min="5" max="5" width="14.140625" style="26" customWidth="1"/>
    <col min="6" max="6" width="14.28515625" style="26" customWidth="1"/>
    <col min="7" max="7" width="0.140625" hidden="1" customWidth="1"/>
    <col min="8" max="8" width="18.28515625" style="26" customWidth="1"/>
    <col min="9" max="9" width="14.28515625" style="26" customWidth="1"/>
    <col min="10" max="10" width="13.140625" style="26" customWidth="1"/>
    <col min="11" max="11" width="10.85546875" customWidth="1"/>
    <col min="12" max="12" width="10.85546875" hidden="1" customWidth="1"/>
    <col min="13" max="13" width="16.140625" style="7" hidden="1" customWidth="1"/>
    <col min="14" max="14" width="13.140625" style="311" customWidth="1"/>
    <col min="15" max="15" width="15.85546875" style="3" customWidth="1"/>
    <col min="16" max="16" width="12" style="26" hidden="1" customWidth="1"/>
    <col min="17" max="17" width="11.28515625" customWidth="1"/>
  </cols>
  <sheetData>
    <row r="1" spans="1:18" ht="16.899999999999999" customHeight="1">
      <c r="A1" s="921" t="s">
        <v>58</v>
      </c>
      <c r="B1" s="921"/>
      <c r="C1" s="921"/>
      <c r="D1" s="921"/>
      <c r="E1" s="921"/>
      <c r="F1" s="921"/>
      <c r="G1" s="921"/>
      <c r="H1" s="921"/>
      <c r="I1" s="921"/>
      <c r="J1" s="921"/>
      <c r="K1" s="921"/>
      <c r="L1" s="921"/>
      <c r="M1" s="921"/>
      <c r="N1" s="921"/>
      <c r="O1" s="921"/>
    </row>
    <row r="2" spans="1:18" ht="18" customHeight="1">
      <c r="A2" s="830" t="s">
        <v>59</v>
      </c>
      <c r="B2" s="830"/>
      <c r="C2" s="830"/>
      <c r="D2" s="830"/>
      <c r="E2" s="830"/>
      <c r="F2" s="830"/>
      <c r="G2" s="830"/>
      <c r="H2" s="830"/>
      <c r="I2" s="830"/>
      <c r="J2" s="830"/>
      <c r="K2" s="830"/>
      <c r="L2" s="830"/>
      <c r="M2" s="830"/>
      <c r="N2" s="830"/>
      <c r="O2" s="830"/>
    </row>
    <row r="3" spans="1:18" ht="15.6" customHeight="1">
      <c r="A3" s="831" t="s">
        <v>489</v>
      </c>
      <c r="B3" s="831"/>
      <c r="C3" s="831"/>
      <c r="D3" s="831"/>
      <c r="E3" s="831"/>
      <c r="F3" s="831"/>
      <c r="G3" s="831"/>
      <c r="H3" s="831"/>
      <c r="I3" s="831"/>
      <c r="J3" s="831"/>
      <c r="K3" s="831"/>
      <c r="L3" s="831"/>
      <c r="M3" s="831"/>
      <c r="N3" s="831"/>
      <c r="O3" s="831"/>
      <c r="P3" s="323"/>
    </row>
    <row r="4" spans="1:18" ht="19.899999999999999" customHeight="1">
      <c r="A4" s="922" t="s">
        <v>629</v>
      </c>
      <c r="B4" s="922"/>
      <c r="C4" s="922"/>
      <c r="D4" s="922"/>
      <c r="E4" s="922"/>
      <c r="F4" s="922"/>
      <c r="G4" s="922"/>
      <c r="H4" s="922"/>
      <c r="I4" s="922"/>
      <c r="J4" s="922"/>
      <c r="K4" s="922"/>
      <c r="L4" s="922"/>
      <c r="M4" s="922"/>
      <c r="N4" s="922"/>
      <c r="O4" s="922"/>
      <c r="P4" s="324"/>
    </row>
    <row r="5" spans="1:18" ht="3" hidden="1" customHeight="1">
      <c r="A5" s="806"/>
      <c r="B5" s="9"/>
      <c r="C5" s="9"/>
      <c r="D5" s="9"/>
      <c r="E5" s="661"/>
      <c r="F5" s="661"/>
      <c r="G5" s="9"/>
      <c r="H5" s="661"/>
      <c r="I5" s="661"/>
      <c r="J5" s="661"/>
      <c r="K5" s="9"/>
      <c r="L5" s="9"/>
      <c r="M5" s="9"/>
      <c r="N5" s="306"/>
      <c r="O5" s="275"/>
    </row>
    <row r="6" spans="1:18" ht="10.9" customHeight="1">
      <c r="A6" s="806"/>
      <c r="B6" s="9"/>
      <c r="C6" s="9"/>
      <c r="D6" s="9"/>
      <c r="E6" s="661"/>
      <c r="F6" s="661"/>
      <c r="G6" s="9"/>
      <c r="H6" s="661"/>
      <c r="I6" s="661"/>
      <c r="J6" s="661"/>
      <c r="K6" s="9"/>
      <c r="L6" s="9"/>
      <c r="M6" s="9"/>
      <c r="N6" s="306"/>
      <c r="O6" s="275"/>
    </row>
    <row r="7" spans="1:18" ht="16.5" customHeight="1">
      <c r="A7" s="923" t="s">
        <v>182</v>
      </c>
      <c r="B7" s="925" t="s">
        <v>0</v>
      </c>
      <c r="C7" s="927" t="s">
        <v>48</v>
      </c>
      <c r="D7" s="928"/>
      <c r="E7" s="928"/>
      <c r="F7" s="928"/>
      <c r="G7" s="928"/>
      <c r="H7" s="928"/>
      <c r="I7" s="928"/>
      <c r="J7" s="929"/>
      <c r="K7" s="932" t="s">
        <v>602</v>
      </c>
      <c r="L7" s="933"/>
      <c r="M7" s="933"/>
      <c r="N7" s="934"/>
      <c r="O7" s="930" t="s">
        <v>40</v>
      </c>
    </row>
    <row r="8" spans="1:18" ht="27" customHeight="1">
      <c r="A8" s="924"/>
      <c r="B8" s="926"/>
      <c r="C8" s="339" t="s">
        <v>2</v>
      </c>
      <c r="D8" s="339" t="s">
        <v>533</v>
      </c>
      <c r="E8" s="339" t="s">
        <v>3</v>
      </c>
      <c r="F8" s="339" t="s">
        <v>25</v>
      </c>
      <c r="G8" s="339" t="s">
        <v>64</v>
      </c>
      <c r="H8" s="339" t="s">
        <v>41</v>
      </c>
      <c r="I8" s="664" t="s">
        <v>46</v>
      </c>
      <c r="J8" s="339" t="s">
        <v>42</v>
      </c>
      <c r="K8" s="388" t="s">
        <v>50</v>
      </c>
      <c r="L8" s="340"/>
      <c r="M8" s="340"/>
      <c r="N8" s="389" t="s">
        <v>604</v>
      </c>
      <c r="O8" s="931"/>
    </row>
    <row r="9" spans="1:18" ht="23.25" customHeight="1">
      <c r="A9" s="805" t="s">
        <v>188</v>
      </c>
      <c r="B9" s="10" t="s">
        <v>189</v>
      </c>
      <c r="C9" s="11">
        <f>+C10+C12+C13</f>
        <v>208467</v>
      </c>
      <c r="D9" s="11">
        <f>+D10+D12+D13</f>
        <v>0</v>
      </c>
      <c r="E9" s="11">
        <f>E10+E12+E13</f>
        <v>288467</v>
      </c>
      <c r="F9" s="11">
        <f>F10+F12+F13</f>
        <v>152887</v>
      </c>
      <c r="G9" s="11">
        <f>G10+G13+G12</f>
        <v>21612.780000000002</v>
      </c>
      <c r="H9" s="11">
        <f>H10+H13+H12</f>
        <v>66244.53</v>
      </c>
      <c r="I9" s="11">
        <f>I10+I13+I12</f>
        <v>57513.89</v>
      </c>
      <c r="J9" s="11">
        <f>J10+J12+J13+J18</f>
        <v>62930.21</v>
      </c>
      <c r="K9" s="11">
        <f>F9-H9</f>
        <v>86642.47</v>
      </c>
      <c r="L9" s="11" t="e">
        <f>+L10+L12</f>
        <v>#REF!</v>
      </c>
      <c r="M9" s="11" t="e">
        <f>+#REF!*100/#REF!</f>
        <v>#REF!</v>
      </c>
      <c r="N9" s="304">
        <f>E9-H9</f>
        <v>222222.47</v>
      </c>
      <c r="O9" s="341">
        <f>H9/F9*100</f>
        <v>43.329079647059594</v>
      </c>
      <c r="P9" s="26">
        <v>44631.75</v>
      </c>
    </row>
    <row r="10" spans="1:18" ht="18" customHeight="1">
      <c r="A10" s="807" t="s">
        <v>190</v>
      </c>
      <c r="B10" s="12" t="s">
        <v>191</v>
      </c>
      <c r="C10" s="13">
        <f t="shared" ref="C10:J10" si="0">SUM(C11:C11)</f>
        <v>166800</v>
      </c>
      <c r="D10" s="13">
        <f t="shared" si="0"/>
        <v>0</v>
      </c>
      <c r="E10" s="13">
        <f t="shared" si="0"/>
        <v>229302</v>
      </c>
      <c r="F10" s="13">
        <f t="shared" si="0"/>
        <v>115009</v>
      </c>
      <c r="G10" s="13">
        <f t="shared" si="0"/>
        <v>17486</v>
      </c>
      <c r="H10" s="13">
        <f>P10+G10</f>
        <v>51875.16</v>
      </c>
      <c r="I10" s="13">
        <f t="shared" si="0"/>
        <v>51875.16</v>
      </c>
      <c r="J10" s="13">
        <f t="shared" si="0"/>
        <v>51875.16</v>
      </c>
      <c r="K10" s="13">
        <f t="shared" ref="K10:K116" si="1">F10-H10</f>
        <v>63133.84</v>
      </c>
      <c r="L10" s="15" t="e">
        <f>+L11+L13</f>
        <v>#REF!</v>
      </c>
      <c r="M10" s="15" t="e">
        <f>+#REF!*100/#REF!</f>
        <v>#REF!</v>
      </c>
      <c r="N10" s="232">
        <f t="shared" ref="N10:N114" si="2">E10-H10</f>
        <v>177426.84</v>
      </c>
      <c r="O10" s="373">
        <f>+H10/F10*100</f>
        <v>45.105304802232872</v>
      </c>
      <c r="P10" s="108">
        <v>34389.160000000003</v>
      </c>
    </row>
    <row r="11" spans="1:18" ht="18" customHeight="1">
      <c r="A11" s="808" t="s">
        <v>490</v>
      </c>
      <c r="B11" s="14" t="s">
        <v>491</v>
      </c>
      <c r="C11" s="15">
        <v>166800</v>
      </c>
      <c r="D11" s="15"/>
      <c r="E11" s="15">
        <v>229302</v>
      </c>
      <c r="F11" s="15">
        <v>115009</v>
      </c>
      <c r="G11" s="15">
        <v>17486</v>
      </c>
      <c r="H11" s="15">
        <f>P11+G11</f>
        <v>51875.16</v>
      </c>
      <c r="I11" s="15">
        <v>51875.16</v>
      </c>
      <c r="J11" s="15">
        <v>51875.16</v>
      </c>
      <c r="K11" s="15">
        <f t="shared" si="1"/>
        <v>63133.84</v>
      </c>
      <c r="L11" s="15" t="e">
        <f>+L12+L20</f>
        <v>#REF!</v>
      </c>
      <c r="M11" s="15" t="e">
        <f>+#REF!*100/#REF!</f>
        <v>#REF!</v>
      </c>
      <c r="N11" s="303">
        <f t="shared" si="2"/>
        <v>177426.84</v>
      </c>
      <c r="O11" s="342">
        <f>H11/F11*100</f>
        <v>45.105304802232872</v>
      </c>
      <c r="P11" s="26">
        <v>34389.160000000003</v>
      </c>
      <c r="R11" s="162"/>
    </row>
    <row r="12" spans="1:18" ht="18" customHeight="1">
      <c r="A12" s="809" t="s">
        <v>207</v>
      </c>
      <c r="B12" s="12" t="s">
        <v>492</v>
      </c>
      <c r="C12" s="13">
        <v>13902</v>
      </c>
      <c r="D12" s="13"/>
      <c r="E12" s="13">
        <v>20642</v>
      </c>
      <c r="F12" s="13">
        <v>16008</v>
      </c>
      <c r="G12" s="13">
        <v>1280.95</v>
      </c>
      <c r="H12" s="13">
        <f>P12+G12</f>
        <v>5638.73</v>
      </c>
      <c r="I12" s="775">
        <v>5638.73</v>
      </c>
      <c r="J12" s="13">
        <v>5638.73</v>
      </c>
      <c r="K12" s="13">
        <f t="shared" si="1"/>
        <v>10369.27</v>
      </c>
      <c r="L12" s="13" t="e">
        <f>+L13+#REF!</f>
        <v>#REF!</v>
      </c>
      <c r="M12" s="13" t="e">
        <f>+#REF!*100/#REF!</f>
        <v>#REF!</v>
      </c>
      <c r="N12" s="232"/>
      <c r="O12" s="373">
        <f>H12/F12*100</f>
        <v>35.224450274862569</v>
      </c>
      <c r="P12" s="108">
        <v>4357.78</v>
      </c>
    </row>
    <row r="13" spans="1:18" ht="19.5" customHeight="1">
      <c r="A13" s="809" t="s">
        <v>209</v>
      </c>
      <c r="B13" s="13" t="s">
        <v>493</v>
      </c>
      <c r="C13" s="13">
        <f>C14+C15+C16+C17</f>
        <v>27765</v>
      </c>
      <c r="D13" s="13"/>
      <c r="E13" s="13">
        <f>E14+E15+E16+E17</f>
        <v>38523</v>
      </c>
      <c r="F13" s="13">
        <f>F14+F15+F16+F17</f>
        <v>21870</v>
      </c>
      <c r="G13" s="13">
        <f>G14+G15+G16+G17</f>
        <v>2845.8300000000004</v>
      </c>
      <c r="H13" s="13">
        <f>H14+H15+H16+H17</f>
        <v>8730.64</v>
      </c>
      <c r="I13" s="13"/>
      <c r="J13" s="13">
        <f>J14+J15+J16+J17</f>
        <v>5416.3200000000006</v>
      </c>
      <c r="K13" s="13">
        <f t="shared" si="1"/>
        <v>13139.36</v>
      </c>
      <c r="L13" s="13" t="e">
        <f>+L20+#REF!</f>
        <v>#REF!</v>
      </c>
      <c r="M13" s="13" t="e">
        <f>+#REF!*100/#REF!</f>
        <v>#REF!</v>
      </c>
      <c r="N13" s="232">
        <f t="shared" si="2"/>
        <v>29792.36</v>
      </c>
      <c r="O13" s="373">
        <f>H13/F13*100</f>
        <v>39.920621856424319</v>
      </c>
      <c r="P13" s="108">
        <v>5884.8100000000013</v>
      </c>
    </row>
    <row r="14" spans="1:18" ht="15" customHeight="1">
      <c r="A14" s="808" t="s">
        <v>211</v>
      </c>
      <c r="B14" s="15" t="s">
        <v>494</v>
      </c>
      <c r="C14" s="15">
        <v>23595</v>
      </c>
      <c r="D14" s="15"/>
      <c r="E14" s="15">
        <v>32777</v>
      </c>
      <c r="F14" s="15">
        <v>18934</v>
      </c>
      <c r="G14" s="15">
        <v>2408.65</v>
      </c>
      <c r="H14" s="15">
        <f>P14+G14</f>
        <v>7433.68</v>
      </c>
      <c r="I14" s="15"/>
      <c r="J14" s="15">
        <v>4556.54</v>
      </c>
      <c r="K14" s="15">
        <f>F14-H14</f>
        <v>11500.32</v>
      </c>
      <c r="L14" s="15"/>
      <c r="M14" s="15"/>
      <c r="N14" s="303">
        <f t="shared" si="2"/>
        <v>25343.32</v>
      </c>
      <c r="O14" s="342">
        <f t="shared" ref="O14:O19" si="3">H14/F14*100</f>
        <v>39.261011936199431</v>
      </c>
      <c r="P14" s="26">
        <v>5025.0300000000007</v>
      </c>
    </row>
    <row r="15" spans="1:18" ht="15" customHeight="1">
      <c r="A15" s="808" t="s">
        <v>213</v>
      </c>
      <c r="B15" s="15" t="s">
        <v>495</v>
      </c>
      <c r="C15" s="15">
        <v>2502</v>
      </c>
      <c r="D15" s="15"/>
      <c r="E15" s="15">
        <v>3444</v>
      </c>
      <c r="F15" s="15">
        <v>1746</v>
      </c>
      <c r="G15" s="15">
        <v>262.3</v>
      </c>
      <c r="H15" s="15">
        <f t="shared" ref="H15:H17" si="4">P15+G15</f>
        <v>778.15000000000009</v>
      </c>
      <c r="I15" s="15"/>
      <c r="J15" s="15">
        <v>515.85</v>
      </c>
      <c r="K15" s="15">
        <f>+F15-H15</f>
        <v>967.84999999999991</v>
      </c>
      <c r="L15" s="15"/>
      <c r="M15" s="15"/>
      <c r="N15" s="303">
        <f t="shared" si="2"/>
        <v>2665.85</v>
      </c>
      <c r="O15" s="342">
        <f t="shared" si="3"/>
        <v>44.567583046964494</v>
      </c>
      <c r="P15" s="26">
        <v>515.85</v>
      </c>
    </row>
    <row r="16" spans="1:18" ht="19.5" customHeight="1">
      <c r="A16" s="808" t="s">
        <v>215</v>
      </c>
      <c r="B16" s="15" t="s">
        <v>496</v>
      </c>
      <c r="C16" s="15">
        <v>1168</v>
      </c>
      <c r="D16" s="15"/>
      <c r="E16" s="15">
        <v>1610</v>
      </c>
      <c r="F16" s="15">
        <v>816</v>
      </c>
      <c r="G16" s="15">
        <v>122.42</v>
      </c>
      <c r="H16" s="15">
        <f t="shared" si="4"/>
        <v>363.18</v>
      </c>
      <c r="I16" s="15"/>
      <c r="J16" s="15">
        <v>240.76</v>
      </c>
      <c r="K16" s="15">
        <f>+F16-H16</f>
        <v>452.82</v>
      </c>
      <c r="L16" s="15"/>
      <c r="M16" s="15"/>
      <c r="N16" s="303">
        <f t="shared" si="2"/>
        <v>1246.82</v>
      </c>
      <c r="O16" s="342">
        <f t="shared" si="3"/>
        <v>44.507352941176471</v>
      </c>
      <c r="P16" s="26">
        <v>240.76</v>
      </c>
    </row>
    <row r="17" spans="1:17" ht="15.75" customHeight="1">
      <c r="A17" s="808" t="s">
        <v>217</v>
      </c>
      <c r="B17" s="15" t="s">
        <v>497</v>
      </c>
      <c r="C17" s="15">
        <v>500</v>
      </c>
      <c r="D17" s="15"/>
      <c r="E17" s="15">
        <v>692</v>
      </c>
      <c r="F17" s="15">
        <v>374</v>
      </c>
      <c r="G17" s="15">
        <v>52.46</v>
      </c>
      <c r="H17" s="15">
        <f t="shared" si="4"/>
        <v>155.63</v>
      </c>
      <c r="I17" s="15"/>
      <c r="J17" s="15">
        <v>103.17</v>
      </c>
      <c r="K17" s="15">
        <f>+F17-H17</f>
        <v>218.37</v>
      </c>
      <c r="L17" s="15"/>
      <c r="M17" s="15"/>
      <c r="N17" s="303">
        <f t="shared" si="2"/>
        <v>536.37</v>
      </c>
      <c r="O17" s="342">
        <f t="shared" si="3"/>
        <v>41.612299465240646</v>
      </c>
      <c r="P17" s="26">
        <v>103.17</v>
      </c>
    </row>
    <row r="18" spans="1:17" ht="0.75" customHeight="1">
      <c r="A18" s="809" t="s">
        <v>219</v>
      </c>
      <c r="B18" s="13" t="s">
        <v>596</v>
      </c>
      <c r="C18" s="13"/>
      <c r="D18" s="13"/>
      <c r="E18" s="13">
        <f>E19</f>
        <v>897000</v>
      </c>
      <c r="F18" s="13">
        <f>F19</f>
        <v>897000</v>
      </c>
      <c r="G18" s="13">
        <f>G19</f>
        <v>361900</v>
      </c>
      <c r="H18" s="13">
        <f>H19</f>
        <v>361900</v>
      </c>
      <c r="I18" s="13">
        <f>I19</f>
        <v>361900</v>
      </c>
      <c r="J18" s="13"/>
      <c r="K18" s="13">
        <f>+F18-H18</f>
        <v>535100</v>
      </c>
      <c r="L18" s="13"/>
      <c r="M18" s="13"/>
      <c r="N18" s="232">
        <f t="shared" si="2"/>
        <v>535100</v>
      </c>
      <c r="O18" s="342">
        <f t="shared" si="3"/>
        <v>40.345596432552952</v>
      </c>
      <c r="P18" s="108">
        <v>361900</v>
      </c>
    </row>
    <row r="19" spans="1:17" ht="5.25" hidden="1" customHeight="1">
      <c r="A19" s="809" t="s">
        <v>221</v>
      </c>
      <c r="B19" s="13" t="s">
        <v>222</v>
      </c>
      <c r="C19" s="15"/>
      <c r="D19" s="15"/>
      <c r="E19" s="15">
        <v>897000</v>
      </c>
      <c r="F19" s="15">
        <v>897000</v>
      </c>
      <c r="G19" s="15">
        <v>361900</v>
      </c>
      <c r="H19" s="15">
        <v>361900</v>
      </c>
      <c r="I19" s="15">
        <v>361900</v>
      </c>
      <c r="J19" s="15">
        <v>361900</v>
      </c>
      <c r="K19" s="15">
        <f>+F19-H19</f>
        <v>535100</v>
      </c>
      <c r="L19" s="15"/>
      <c r="M19" s="15"/>
      <c r="N19" s="303">
        <f t="shared" si="2"/>
        <v>535100</v>
      </c>
      <c r="O19" s="342">
        <f t="shared" si="3"/>
        <v>40.345596432552952</v>
      </c>
      <c r="P19" s="26">
        <v>361900</v>
      </c>
    </row>
    <row r="20" spans="1:17" ht="17.25" customHeight="1">
      <c r="A20" s="810" t="s">
        <v>236</v>
      </c>
      <c r="B20" s="18" t="s">
        <v>237</v>
      </c>
      <c r="C20" s="19">
        <f>C30+C35</f>
        <v>35516907</v>
      </c>
      <c r="D20" s="19">
        <f>+D23+D25+D28+D30+D33+D35+D41</f>
        <v>0</v>
      </c>
      <c r="E20" s="19">
        <f>E21+E30+E35</f>
        <v>34836363</v>
      </c>
      <c r="F20" s="19">
        <f>F30+F35+F21</f>
        <v>6512838</v>
      </c>
      <c r="G20" s="19">
        <f>G30+G33+G35+G21</f>
        <v>48523.380000000005</v>
      </c>
      <c r="H20" s="19">
        <f>H30+H35</f>
        <v>76920.89</v>
      </c>
      <c r="I20" s="19">
        <f>I30+I35</f>
        <v>15076.01</v>
      </c>
      <c r="J20" s="19"/>
      <c r="K20" s="19">
        <f t="shared" si="1"/>
        <v>6435917.1100000003</v>
      </c>
      <c r="L20" s="19" t="e">
        <f>+#REF!+L25</f>
        <v>#REF!</v>
      </c>
      <c r="M20" s="19" t="e">
        <f>+#REF!*100/#REF!</f>
        <v>#REF!</v>
      </c>
      <c r="N20" s="305">
        <f t="shared" si="2"/>
        <v>34759442.109999999</v>
      </c>
      <c r="O20" s="343">
        <f>H20/F20*100</f>
        <v>1.1810656122568994</v>
      </c>
      <c r="P20" s="26">
        <v>28397.510000000002</v>
      </c>
    </row>
    <row r="21" spans="1:17" ht="19.5" customHeight="1">
      <c r="A21" s="811">
        <v>110</v>
      </c>
      <c r="B21" s="14" t="s">
        <v>498</v>
      </c>
      <c r="C21" s="15">
        <v>3106</v>
      </c>
      <c r="D21" s="15"/>
      <c r="E21" s="15">
        <f>E22</f>
        <v>3106</v>
      </c>
      <c r="F21" s="15">
        <f>F22</f>
        <v>3106</v>
      </c>
      <c r="G21" s="15">
        <v>0</v>
      </c>
      <c r="H21" s="15">
        <v>0</v>
      </c>
      <c r="I21" s="15"/>
      <c r="J21" s="15">
        <v>0</v>
      </c>
      <c r="K21" s="15">
        <v>0</v>
      </c>
      <c r="L21" s="15"/>
      <c r="M21" s="15"/>
      <c r="N21" s="303"/>
      <c r="O21" s="342" t="s">
        <v>12</v>
      </c>
      <c r="P21" s="26">
        <v>0</v>
      </c>
    </row>
    <row r="22" spans="1:17" ht="17.25" customHeight="1">
      <c r="A22" s="811">
        <v>116</v>
      </c>
      <c r="B22" s="14" t="s">
        <v>622</v>
      </c>
      <c r="C22" s="15">
        <v>3106</v>
      </c>
      <c r="D22" s="15"/>
      <c r="E22" s="15">
        <v>3106</v>
      </c>
      <c r="F22" s="15">
        <v>3106</v>
      </c>
      <c r="G22" s="15"/>
      <c r="H22" s="15"/>
      <c r="I22" s="15"/>
      <c r="J22" s="776"/>
      <c r="K22" s="15"/>
      <c r="L22" s="15"/>
      <c r="M22" s="15"/>
      <c r="N22" s="303"/>
      <c r="O22" s="342"/>
    </row>
    <row r="23" spans="1:17" ht="27" hidden="1" customHeight="1">
      <c r="A23" s="807">
        <v>130</v>
      </c>
      <c r="B23" s="12" t="s">
        <v>499</v>
      </c>
      <c r="C23" s="15"/>
      <c r="D23" s="15"/>
      <c r="E23" s="15"/>
      <c r="F23" s="15"/>
      <c r="G23" s="15">
        <v>0</v>
      </c>
      <c r="H23" s="15"/>
      <c r="I23" s="15"/>
      <c r="J23" s="1"/>
      <c r="K23" s="15">
        <f t="shared" si="1"/>
        <v>0</v>
      </c>
      <c r="L23" s="15"/>
      <c r="M23" s="15"/>
      <c r="N23" s="303">
        <f>E23-H23</f>
        <v>0</v>
      </c>
      <c r="O23" s="342"/>
    </row>
    <row r="24" spans="1:17" ht="15" hidden="1" customHeight="1">
      <c r="A24" s="811">
        <v>132</v>
      </c>
      <c r="B24" s="14" t="s">
        <v>534</v>
      </c>
      <c r="C24" s="15"/>
      <c r="D24" s="15"/>
      <c r="E24" s="15"/>
      <c r="F24" s="15"/>
      <c r="G24" s="15"/>
      <c r="H24" s="15"/>
      <c r="I24" s="15"/>
      <c r="J24" s="1"/>
      <c r="K24" s="15"/>
      <c r="L24" s="15"/>
      <c r="M24" s="15"/>
      <c r="N24" s="303">
        <f t="shared" ref="N24:N41" si="5">E24-H24</f>
        <v>0</v>
      </c>
      <c r="O24" s="342"/>
    </row>
    <row r="25" spans="1:17" ht="14.25" hidden="1" customHeight="1">
      <c r="A25" s="807" t="s">
        <v>273</v>
      </c>
      <c r="B25" s="13" t="s">
        <v>274</v>
      </c>
      <c r="C25" s="15"/>
      <c r="D25" s="15"/>
      <c r="E25" s="15"/>
      <c r="F25" s="15"/>
      <c r="G25" s="15">
        <v>0</v>
      </c>
      <c r="H25" s="15">
        <v>0</v>
      </c>
      <c r="I25" s="15"/>
      <c r="J25" s="15"/>
      <c r="K25" s="15">
        <f t="shared" si="1"/>
        <v>0</v>
      </c>
      <c r="L25" s="15" t="e">
        <f>+#REF!+L35</f>
        <v>#REF!</v>
      </c>
      <c r="M25" s="15" t="e">
        <f>+#REF!*100/#REF!</f>
        <v>#REF!</v>
      </c>
      <c r="N25" s="303">
        <f t="shared" si="5"/>
        <v>0</v>
      </c>
      <c r="O25" s="342" t="s">
        <v>12</v>
      </c>
      <c r="P25" s="26">
        <v>0</v>
      </c>
    </row>
    <row r="26" spans="1:17" ht="14.25" hidden="1" customHeight="1">
      <c r="A26" s="811">
        <v>141</v>
      </c>
      <c r="B26" s="15" t="s">
        <v>535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303">
        <f t="shared" si="5"/>
        <v>0</v>
      </c>
      <c r="O26" s="342"/>
    </row>
    <row r="27" spans="1:17" ht="17.25" hidden="1" customHeight="1">
      <c r="A27" s="811">
        <v>142</v>
      </c>
      <c r="B27" s="15" t="s">
        <v>536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303">
        <f t="shared" si="5"/>
        <v>0</v>
      </c>
      <c r="O27" s="342"/>
    </row>
    <row r="28" spans="1:17" ht="13.5" hidden="1" customHeight="1">
      <c r="A28" s="807">
        <v>150</v>
      </c>
      <c r="B28" s="13" t="s">
        <v>588</v>
      </c>
      <c r="C28" s="15"/>
      <c r="D28" s="15"/>
      <c r="E28" s="15"/>
      <c r="F28" s="15"/>
      <c r="G28" s="15"/>
      <c r="H28" s="15"/>
      <c r="I28" s="15"/>
      <c r="J28" s="15"/>
      <c r="K28" s="15">
        <f t="shared" si="1"/>
        <v>0</v>
      </c>
      <c r="L28" s="15"/>
      <c r="M28" s="15"/>
      <c r="N28" s="303">
        <f t="shared" si="5"/>
        <v>0</v>
      </c>
      <c r="O28" s="342"/>
    </row>
    <row r="29" spans="1:17" ht="2.25" hidden="1" customHeight="1">
      <c r="A29" s="811">
        <v>152</v>
      </c>
      <c r="B29" s="15" t="s">
        <v>589</v>
      </c>
      <c r="C29" s="15"/>
      <c r="D29" s="15"/>
      <c r="E29" s="15"/>
      <c r="F29" s="15"/>
      <c r="G29" s="15"/>
      <c r="H29" s="15"/>
      <c r="I29" s="776"/>
      <c r="J29" s="15"/>
      <c r="K29" s="15"/>
      <c r="L29" s="15"/>
      <c r="M29" s="15"/>
      <c r="N29" s="303">
        <f t="shared" si="5"/>
        <v>0</v>
      </c>
      <c r="O29" s="342"/>
      <c r="Q29" s="26"/>
    </row>
    <row r="30" spans="1:17" ht="15" customHeight="1">
      <c r="A30" s="807" t="s">
        <v>286</v>
      </c>
      <c r="B30" s="13" t="s">
        <v>623</v>
      </c>
      <c r="C30" s="13">
        <f>C31+C32</f>
        <v>35316907</v>
      </c>
      <c r="D30" s="15"/>
      <c r="E30" s="13">
        <f t="shared" ref="E30:J30" si="6">E31+E32</f>
        <v>34332658</v>
      </c>
      <c r="F30" s="13">
        <f t="shared" si="6"/>
        <v>6079133</v>
      </c>
      <c r="G30" s="13">
        <f t="shared" si="6"/>
        <v>29477.38</v>
      </c>
      <c r="H30" s="13">
        <f t="shared" si="6"/>
        <v>34556.89</v>
      </c>
      <c r="I30" s="13">
        <f t="shared" si="6"/>
        <v>5079.51</v>
      </c>
      <c r="J30" s="777">
        <f t="shared" si="6"/>
        <v>0</v>
      </c>
      <c r="K30" s="13">
        <f t="shared" si="1"/>
        <v>6044576.1100000003</v>
      </c>
      <c r="L30" s="13" t="e">
        <f>+L35+L44</f>
        <v>#REF!</v>
      </c>
      <c r="M30" s="13" t="e">
        <f>+#REF!*100/#REF!</f>
        <v>#REF!</v>
      </c>
      <c r="N30" s="232">
        <f t="shared" si="5"/>
        <v>34298101.109999999</v>
      </c>
      <c r="O30" s="373">
        <f>H30/F30*100</f>
        <v>0.56845096167496256</v>
      </c>
      <c r="P30" s="26">
        <v>5079.51</v>
      </c>
      <c r="Q30" s="26"/>
    </row>
    <row r="31" spans="1:17" ht="18" customHeight="1">
      <c r="A31" s="811">
        <v>165</v>
      </c>
      <c r="B31" s="15" t="s">
        <v>537</v>
      </c>
      <c r="C31" s="15">
        <v>35700</v>
      </c>
      <c r="D31" s="15"/>
      <c r="E31" s="15">
        <v>199486</v>
      </c>
      <c r="F31" s="15">
        <v>170926</v>
      </c>
      <c r="G31" s="15"/>
      <c r="H31" s="15">
        <v>5079.51</v>
      </c>
      <c r="I31" s="778">
        <v>5079.51</v>
      </c>
      <c r="J31" s="15"/>
      <c r="K31" s="15">
        <f>F31-G31</f>
        <v>170926</v>
      </c>
      <c r="L31" s="15"/>
      <c r="M31" s="15"/>
      <c r="N31" s="303">
        <f t="shared" si="5"/>
        <v>194406.49</v>
      </c>
      <c r="O31" s="342">
        <f>H31/F31*100</f>
        <v>2.971759708879866</v>
      </c>
      <c r="P31" s="26">
        <v>5079.51</v>
      </c>
    </row>
    <row r="32" spans="1:17" ht="16.5" customHeight="1">
      <c r="A32" s="811">
        <v>169</v>
      </c>
      <c r="B32" s="15" t="s">
        <v>538</v>
      </c>
      <c r="C32" s="15">
        <v>35281207</v>
      </c>
      <c r="D32" s="15"/>
      <c r="E32" s="15">
        <v>34133172</v>
      </c>
      <c r="F32" s="15">
        <v>5908207</v>
      </c>
      <c r="G32" s="15">
        <v>29477.38</v>
      </c>
      <c r="H32" s="15">
        <f>P32+G32</f>
        <v>29477.38</v>
      </c>
      <c r="I32" s="778"/>
      <c r="J32" s="15"/>
      <c r="K32" s="15">
        <f>F32-H32</f>
        <v>5878729.6200000001</v>
      </c>
      <c r="L32" s="15"/>
      <c r="M32" s="15"/>
      <c r="N32" s="303">
        <f t="shared" si="5"/>
        <v>34103694.619999997</v>
      </c>
      <c r="O32" s="342">
        <f>H32/F32*100</f>
        <v>0.49892260037605318</v>
      </c>
    </row>
    <row r="33" spans="1:16" ht="18" hidden="1" customHeight="1">
      <c r="A33" s="807">
        <v>170</v>
      </c>
      <c r="B33" s="13" t="s">
        <v>539</v>
      </c>
      <c r="C33" s="15"/>
      <c r="D33" s="15"/>
      <c r="E33" s="15"/>
      <c r="F33" s="15"/>
      <c r="G33" s="15"/>
      <c r="H33" s="15"/>
      <c r="I33" s="15"/>
      <c r="J33" s="15"/>
      <c r="K33" s="15">
        <f t="shared" si="1"/>
        <v>0</v>
      </c>
      <c r="L33" s="15"/>
      <c r="M33" s="15"/>
      <c r="N33" s="303">
        <f t="shared" si="5"/>
        <v>0</v>
      </c>
      <c r="O33" s="342"/>
    </row>
    <row r="34" spans="1:16" ht="18" hidden="1" customHeight="1">
      <c r="A34" s="807">
        <v>171</v>
      </c>
      <c r="B34" s="15" t="s">
        <v>540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303">
        <f t="shared" si="5"/>
        <v>0</v>
      </c>
      <c r="O34" s="342"/>
    </row>
    <row r="35" spans="1:16" ht="18" customHeight="1">
      <c r="A35" s="807" t="s">
        <v>300</v>
      </c>
      <c r="B35" s="13" t="s">
        <v>541</v>
      </c>
      <c r="C35" s="13">
        <f>C36+C37+C38+C39</f>
        <v>200000</v>
      </c>
      <c r="D35" s="15"/>
      <c r="E35" s="13">
        <f>E36+E37+E39+E42</f>
        <v>500599</v>
      </c>
      <c r="F35" s="13">
        <f>F36+F37+F39+F42</f>
        <v>430599</v>
      </c>
      <c r="G35" s="13">
        <f t="shared" ref="G35:J35" si="7">G36+G37+G39</f>
        <v>19046</v>
      </c>
      <c r="H35" s="13">
        <f t="shared" si="7"/>
        <v>42364</v>
      </c>
      <c r="I35" s="13">
        <f t="shared" si="7"/>
        <v>9996.5</v>
      </c>
      <c r="J35" s="13">
        <f t="shared" si="7"/>
        <v>0</v>
      </c>
      <c r="K35" s="13">
        <f t="shared" si="1"/>
        <v>388235</v>
      </c>
      <c r="L35" s="13" t="e">
        <f>+L43+L46</f>
        <v>#REF!</v>
      </c>
      <c r="M35" s="13" t="e">
        <f>+#REF!*100/#REF!</f>
        <v>#REF!</v>
      </c>
      <c r="N35" s="232">
        <f t="shared" si="5"/>
        <v>458235</v>
      </c>
      <c r="O35" s="373">
        <f>H35/F35*100</f>
        <v>9.8383879200834183</v>
      </c>
      <c r="P35" s="26">
        <v>23318</v>
      </c>
    </row>
    <row r="36" spans="1:16" ht="18" customHeight="1">
      <c r="A36" s="811">
        <v>181</v>
      </c>
      <c r="B36" s="15" t="s">
        <v>542</v>
      </c>
      <c r="C36" s="15">
        <v>100000</v>
      </c>
      <c r="D36" s="15"/>
      <c r="E36" s="15">
        <v>207195</v>
      </c>
      <c r="F36" s="15">
        <v>187195</v>
      </c>
      <c r="G36" s="15">
        <v>17334</v>
      </c>
      <c r="H36" s="15">
        <f>P36+G36</f>
        <v>17334</v>
      </c>
      <c r="I36" s="776"/>
      <c r="J36" s="15"/>
      <c r="K36" s="15">
        <f t="shared" ref="K36:K42" si="8">F36-G36</f>
        <v>169861</v>
      </c>
      <c r="L36" s="15"/>
      <c r="M36" s="15"/>
      <c r="N36" s="303">
        <f t="shared" si="5"/>
        <v>189861</v>
      </c>
      <c r="O36" s="342">
        <f t="shared" ref="O36:O41" si="9">H36/F36*100</f>
        <v>9.2598627100082798</v>
      </c>
    </row>
    <row r="37" spans="1:16" ht="18" customHeight="1">
      <c r="A37" s="811">
        <v>182</v>
      </c>
      <c r="B37" s="15" t="s">
        <v>543</v>
      </c>
      <c r="C37" s="15"/>
      <c r="D37" s="15"/>
      <c r="E37" s="15">
        <v>4000</v>
      </c>
      <c r="F37" s="15">
        <v>4000</v>
      </c>
      <c r="G37" s="15"/>
      <c r="H37" s="15">
        <f>P37+G37</f>
        <v>2889</v>
      </c>
      <c r="I37" s="776"/>
      <c r="J37" s="15"/>
      <c r="K37" s="15">
        <f t="shared" si="8"/>
        <v>4000</v>
      </c>
      <c r="L37" s="15"/>
      <c r="M37" s="15"/>
      <c r="N37" s="303">
        <f t="shared" si="5"/>
        <v>1111</v>
      </c>
      <c r="O37" s="342">
        <f t="shared" si="9"/>
        <v>72.224999999999994</v>
      </c>
      <c r="P37" s="26">
        <v>2889</v>
      </c>
    </row>
    <row r="38" spans="1:16" ht="18" hidden="1" customHeight="1">
      <c r="A38" s="811">
        <v>184</v>
      </c>
      <c r="B38" s="15" t="s">
        <v>544</v>
      </c>
      <c r="C38" s="15"/>
      <c r="D38" s="15"/>
      <c r="E38" s="15"/>
      <c r="F38" s="15"/>
      <c r="G38" s="15"/>
      <c r="H38" s="15"/>
      <c r="I38" s="776"/>
      <c r="J38" s="15"/>
      <c r="K38" s="15">
        <f t="shared" si="8"/>
        <v>0</v>
      </c>
      <c r="L38" s="15"/>
      <c r="M38" s="15"/>
      <c r="N38" s="303">
        <f t="shared" si="5"/>
        <v>0</v>
      </c>
      <c r="O38" s="342" t="e">
        <f t="shared" si="9"/>
        <v>#DIV/0!</v>
      </c>
    </row>
    <row r="39" spans="1:16" ht="17.25" customHeight="1">
      <c r="A39" s="811">
        <v>189</v>
      </c>
      <c r="B39" s="15" t="s">
        <v>592</v>
      </c>
      <c r="C39" s="15">
        <v>100000</v>
      </c>
      <c r="D39" s="15"/>
      <c r="E39" s="15">
        <v>159652</v>
      </c>
      <c r="F39" s="15">
        <v>109652</v>
      </c>
      <c r="G39" s="15">
        <v>1712</v>
      </c>
      <c r="H39" s="15">
        <f>P39+G39</f>
        <v>22141</v>
      </c>
      <c r="I39" s="776">
        <v>9996.5</v>
      </c>
      <c r="J39" s="15"/>
      <c r="K39" s="15">
        <f t="shared" si="8"/>
        <v>107940</v>
      </c>
      <c r="L39" s="15"/>
      <c r="M39" s="15"/>
      <c r="N39" s="303">
        <f t="shared" si="5"/>
        <v>137511</v>
      </c>
      <c r="O39" s="342">
        <f t="shared" si="9"/>
        <v>20.192062160288916</v>
      </c>
      <c r="P39" s="26">
        <v>20429</v>
      </c>
    </row>
    <row r="40" spans="1:16" ht="18" hidden="1" customHeight="1">
      <c r="A40" s="807">
        <v>190</v>
      </c>
      <c r="B40" s="13" t="s">
        <v>545</v>
      </c>
      <c r="C40" s="15"/>
      <c r="D40" s="15"/>
      <c r="E40" s="13" t="e">
        <f>#REF!</f>
        <v>#REF!</v>
      </c>
      <c r="F40" s="13">
        <f>F41</f>
        <v>7977.87</v>
      </c>
      <c r="G40" s="15"/>
      <c r="H40" s="13">
        <f>H41</f>
        <v>7977.87</v>
      </c>
      <c r="I40" s="777">
        <f>I41</f>
        <v>7977.87</v>
      </c>
      <c r="J40" s="15">
        <f>J41</f>
        <v>7977.87</v>
      </c>
      <c r="K40" s="15">
        <f t="shared" si="8"/>
        <v>7977.87</v>
      </c>
      <c r="L40" s="15"/>
      <c r="M40" s="15"/>
      <c r="N40" s="303" t="e">
        <f t="shared" si="5"/>
        <v>#REF!</v>
      </c>
      <c r="O40" s="342">
        <f t="shared" si="9"/>
        <v>100</v>
      </c>
      <c r="P40" s="26">
        <v>7977.87</v>
      </c>
    </row>
    <row r="41" spans="1:16" ht="2.25" customHeight="1">
      <c r="A41" s="811">
        <v>197</v>
      </c>
      <c r="B41" s="15" t="s">
        <v>546</v>
      </c>
      <c r="C41" s="15"/>
      <c r="D41" s="15"/>
      <c r="E41" s="15"/>
      <c r="F41" s="15">
        <v>7977.87</v>
      </c>
      <c r="G41" s="15"/>
      <c r="H41" s="15">
        <f>P41+G41</f>
        <v>7977.87</v>
      </c>
      <c r="I41" s="778">
        <v>7977.87</v>
      </c>
      <c r="J41" s="15">
        <v>7977.87</v>
      </c>
      <c r="K41" s="15">
        <f t="shared" si="8"/>
        <v>7977.87</v>
      </c>
      <c r="L41" s="15"/>
      <c r="M41" s="15"/>
      <c r="N41" s="303">
        <f t="shared" si="5"/>
        <v>-7977.87</v>
      </c>
      <c r="O41" s="342">
        <f t="shared" si="9"/>
        <v>100</v>
      </c>
      <c r="P41" s="26">
        <v>7977.87</v>
      </c>
    </row>
    <row r="42" spans="1:16" ht="12" customHeight="1">
      <c r="A42" s="811">
        <v>199</v>
      </c>
      <c r="B42" s="15" t="s">
        <v>628</v>
      </c>
      <c r="C42" s="15"/>
      <c r="D42" s="15"/>
      <c r="E42" s="15">
        <v>129752</v>
      </c>
      <c r="F42" s="15">
        <v>129752</v>
      </c>
      <c r="G42" s="15"/>
      <c r="H42" s="15"/>
      <c r="I42" s="778"/>
      <c r="J42" s="15"/>
      <c r="K42" s="15">
        <f t="shared" si="8"/>
        <v>129752</v>
      </c>
      <c r="L42" s="15"/>
      <c r="M42" s="15"/>
      <c r="N42" s="303"/>
      <c r="O42" s="342"/>
    </row>
    <row r="43" spans="1:16" ht="20.25" customHeight="1">
      <c r="A43" s="805" t="s">
        <v>318</v>
      </c>
      <c r="B43" s="10" t="s">
        <v>547</v>
      </c>
      <c r="C43" s="11">
        <f t="shared" ref="C43:J43" si="10">C49+C54+C59+C62+C64</f>
        <v>693300</v>
      </c>
      <c r="D43" s="11">
        <f t="shared" si="10"/>
        <v>0</v>
      </c>
      <c r="E43" s="11">
        <f t="shared" si="10"/>
        <v>678803</v>
      </c>
      <c r="F43" s="11">
        <f t="shared" si="10"/>
        <v>408253</v>
      </c>
      <c r="G43" s="11">
        <f t="shared" si="10"/>
        <v>43289.26</v>
      </c>
      <c r="H43" s="11">
        <f>H54+H59+H64</f>
        <v>46282</v>
      </c>
      <c r="I43" s="11">
        <f t="shared" si="10"/>
        <v>722.2</v>
      </c>
      <c r="J43" s="11">
        <f t="shared" si="10"/>
        <v>0</v>
      </c>
      <c r="K43" s="11">
        <f t="shared" si="1"/>
        <v>361971</v>
      </c>
      <c r="L43" s="11" t="e">
        <f>+L44+L47</f>
        <v>#REF!</v>
      </c>
      <c r="M43" s="11" t="e">
        <f>+#REF!*100/#REF!</f>
        <v>#REF!</v>
      </c>
      <c r="N43" s="304">
        <f t="shared" si="2"/>
        <v>632521</v>
      </c>
      <c r="O43" s="343">
        <f>H43/F43*100</f>
        <v>11.336597649006865</v>
      </c>
      <c r="P43" s="26">
        <v>2992.74</v>
      </c>
    </row>
    <row r="44" spans="1:16" ht="18.75" hidden="1" customHeight="1">
      <c r="A44" s="807" t="s">
        <v>326</v>
      </c>
      <c r="B44" s="13" t="s">
        <v>327</v>
      </c>
      <c r="C44" s="15">
        <v>8822</v>
      </c>
      <c r="D44" s="15"/>
      <c r="E44" s="15"/>
      <c r="F44" s="15"/>
      <c r="G44" s="13"/>
      <c r="H44" s="13"/>
      <c r="I44" s="13"/>
      <c r="J44" s="13"/>
      <c r="K44" s="13">
        <f t="shared" si="1"/>
        <v>0</v>
      </c>
      <c r="L44" s="13" t="e">
        <f>+L46+L48</f>
        <v>#REF!</v>
      </c>
      <c r="M44" s="13" t="e">
        <f>+#REF!*100/#REF!</f>
        <v>#REF!</v>
      </c>
      <c r="N44" s="303">
        <f t="shared" si="2"/>
        <v>0</v>
      </c>
      <c r="O44" s="342"/>
    </row>
    <row r="45" spans="1:16" ht="18.75" hidden="1" customHeight="1">
      <c r="A45" s="811">
        <v>211</v>
      </c>
      <c r="B45" s="15" t="s">
        <v>329</v>
      </c>
      <c r="C45" s="15"/>
      <c r="D45" s="15"/>
      <c r="E45" s="15"/>
      <c r="F45" s="15"/>
      <c r="G45" s="13"/>
      <c r="H45" s="13"/>
      <c r="I45" s="13"/>
      <c r="J45" s="13"/>
      <c r="K45" s="13"/>
      <c r="L45" s="13"/>
      <c r="M45" s="13"/>
      <c r="N45" s="303"/>
      <c r="O45" s="342"/>
    </row>
    <row r="46" spans="1:16" ht="16.5" hidden="1" customHeight="1">
      <c r="A46" s="811" t="s">
        <v>338</v>
      </c>
      <c r="B46" s="15" t="s">
        <v>339</v>
      </c>
      <c r="C46" s="13">
        <v>0</v>
      </c>
      <c r="D46" s="13"/>
      <c r="E46" s="13"/>
      <c r="F46" s="13"/>
      <c r="G46" s="13"/>
      <c r="H46" s="13"/>
      <c r="I46" s="13"/>
      <c r="J46" s="13"/>
      <c r="K46" s="13">
        <f t="shared" si="1"/>
        <v>0</v>
      </c>
      <c r="L46" s="13" t="e">
        <f>+L47+L49</f>
        <v>#REF!</v>
      </c>
      <c r="M46" s="13" t="e">
        <f>+#REF!*100/#REF!</f>
        <v>#REF!</v>
      </c>
      <c r="N46" s="303">
        <f t="shared" si="2"/>
        <v>0</v>
      </c>
      <c r="O46" s="342"/>
    </row>
    <row r="47" spans="1:16" ht="15" hidden="1">
      <c r="A47" s="807">
        <v>230</v>
      </c>
      <c r="B47" s="12" t="s">
        <v>500</v>
      </c>
      <c r="C47" s="15">
        <v>12038</v>
      </c>
      <c r="D47" s="15"/>
      <c r="E47" s="15"/>
      <c r="F47" s="15"/>
      <c r="G47" s="15"/>
      <c r="H47" s="15"/>
      <c r="I47" s="15"/>
      <c r="J47" s="15"/>
      <c r="K47" s="15">
        <f t="shared" si="1"/>
        <v>0</v>
      </c>
      <c r="L47" s="15" t="e">
        <f>+L48+L54</f>
        <v>#REF!</v>
      </c>
      <c r="M47" s="15" t="e">
        <f>+#REF!*100/#REF!</f>
        <v>#REF!</v>
      </c>
      <c r="N47" s="303">
        <f t="shared" si="2"/>
        <v>0</v>
      </c>
      <c r="O47" s="342"/>
    </row>
    <row r="48" spans="1:16" ht="18.75" hidden="1" customHeight="1">
      <c r="A48" s="811">
        <v>239</v>
      </c>
      <c r="B48" s="15" t="s">
        <v>548</v>
      </c>
      <c r="C48" s="15"/>
      <c r="D48" s="15"/>
      <c r="E48" s="15">
        <f>SUM(C48:C48)</f>
        <v>0</v>
      </c>
      <c r="F48" s="15"/>
      <c r="G48" s="15">
        <v>0</v>
      </c>
      <c r="H48" s="15">
        <v>0</v>
      </c>
      <c r="I48" s="15"/>
      <c r="J48" s="15">
        <v>0</v>
      </c>
      <c r="K48" s="15" t="s">
        <v>12</v>
      </c>
      <c r="L48" s="15" t="e">
        <f>+L49+L59</f>
        <v>#REF!</v>
      </c>
      <c r="M48" s="15" t="e">
        <f>+#REF!*100/#REF!</f>
        <v>#REF!</v>
      </c>
      <c r="N48" s="303">
        <f t="shared" si="2"/>
        <v>0</v>
      </c>
      <c r="O48" s="342"/>
      <c r="P48" s="26">
        <v>0</v>
      </c>
    </row>
    <row r="49" spans="1:16" s="6" customFormat="1" ht="18.75" customHeight="1">
      <c r="A49" s="807">
        <v>250</v>
      </c>
      <c r="B49" s="13" t="s">
        <v>501</v>
      </c>
      <c r="C49" s="13">
        <f>C50+C51</f>
        <v>21000</v>
      </c>
      <c r="D49" s="15"/>
      <c r="E49" s="779">
        <f>E50+E51+E52+E53</f>
        <v>55335</v>
      </c>
      <c r="F49" s="779">
        <f>F50+F51+F52+F53</f>
        <v>38535</v>
      </c>
      <c r="G49" s="779">
        <f>G50+G51+G52+G53</f>
        <v>0</v>
      </c>
      <c r="H49" s="13">
        <f>H50+H51+H52+H53</f>
        <v>0</v>
      </c>
      <c r="I49" s="13">
        <f>I50+I51+I52+I53</f>
        <v>0</v>
      </c>
      <c r="J49" s="13">
        <f>J50+J51+J53</f>
        <v>0</v>
      </c>
      <c r="K49" s="13">
        <f t="shared" si="1"/>
        <v>38535</v>
      </c>
      <c r="L49" s="13" t="e">
        <f>+L54+L62</f>
        <v>#REF!</v>
      </c>
      <c r="M49" s="13" t="e">
        <f>+#REF!*100/#REF!</f>
        <v>#REF!</v>
      </c>
      <c r="N49" s="232">
        <f t="shared" si="2"/>
        <v>55335</v>
      </c>
      <c r="O49" s="342">
        <f t="shared" ref="O49:O51" si="11">H49/F49*100</f>
        <v>0</v>
      </c>
      <c r="P49" s="108">
        <v>0</v>
      </c>
    </row>
    <row r="50" spans="1:16" s="6" customFormat="1" ht="18.75" customHeight="1">
      <c r="A50" s="811">
        <v>254</v>
      </c>
      <c r="B50" s="15" t="s">
        <v>549</v>
      </c>
      <c r="C50" s="15">
        <v>1000</v>
      </c>
      <c r="D50" s="15"/>
      <c r="E50" s="780">
        <v>800</v>
      </c>
      <c r="F50" s="780"/>
      <c r="G50" s="15"/>
      <c r="H50" s="15"/>
      <c r="I50" s="15"/>
      <c r="J50" s="15"/>
      <c r="K50" s="15">
        <f>F50-G50</f>
        <v>0</v>
      </c>
      <c r="L50" s="15"/>
      <c r="M50" s="15"/>
      <c r="N50" s="303">
        <f t="shared" si="2"/>
        <v>800</v>
      </c>
      <c r="O50" s="342"/>
      <c r="P50" s="108"/>
    </row>
    <row r="51" spans="1:16" s="6" customFormat="1" ht="18.75" customHeight="1">
      <c r="A51" s="811">
        <v>255</v>
      </c>
      <c r="B51" s="15" t="s">
        <v>550</v>
      </c>
      <c r="C51" s="15">
        <v>20000</v>
      </c>
      <c r="D51" s="15"/>
      <c r="E51" s="780">
        <v>54100</v>
      </c>
      <c r="F51" s="780">
        <v>38100</v>
      </c>
      <c r="G51" s="15"/>
      <c r="H51" s="15"/>
      <c r="I51" s="15"/>
      <c r="J51" s="15"/>
      <c r="K51" s="15">
        <f>F51-G51</f>
        <v>38100</v>
      </c>
      <c r="L51" s="15"/>
      <c r="M51" s="15"/>
      <c r="N51" s="303">
        <f t="shared" si="2"/>
        <v>54100</v>
      </c>
      <c r="O51" s="342">
        <f t="shared" si="11"/>
        <v>0</v>
      </c>
      <c r="P51" s="108"/>
    </row>
    <row r="52" spans="1:16" s="6" customFormat="1" ht="18.75" hidden="1" customHeight="1">
      <c r="A52" s="811">
        <v>256</v>
      </c>
      <c r="B52" s="15" t="s">
        <v>551</v>
      </c>
      <c r="C52" s="15"/>
      <c r="D52" s="15"/>
      <c r="E52" s="780"/>
      <c r="F52" s="780"/>
      <c r="G52" s="15"/>
      <c r="H52" s="15"/>
      <c r="I52" s="15"/>
      <c r="J52" s="15"/>
      <c r="K52" s="15"/>
      <c r="L52" s="15"/>
      <c r="M52" s="15"/>
      <c r="N52" s="303">
        <f t="shared" si="2"/>
        <v>0</v>
      </c>
      <c r="O52" s="342"/>
      <c r="P52" s="108"/>
    </row>
    <row r="53" spans="1:16" s="6" customFormat="1" ht="15.75" customHeight="1">
      <c r="A53" s="811">
        <v>259</v>
      </c>
      <c r="B53" s="15" t="s">
        <v>552</v>
      </c>
      <c r="C53" s="15"/>
      <c r="D53" s="15"/>
      <c r="E53" s="780">
        <v>435</v>
      </c>
      <c r="F53" s="780">
        <v>435</v>
      </c>
      <c r="G53" s="15"/>
      <c r="H53" s="15"/>
      <c r="I53" s="15"/>
      <c r="J53" s="15"/>
      <c r="K53" s="15"/>
      <c r="L53" s="15"/>
      <c r="M53" s="15"/>
      <c r="N53" s="303"/>
      <c r="O53" s="342"/>
      <c r="P53" s="108"/>
    </row>
    <row r="54" spans="1:16" ht="18" customHeight="1">
      <c r="A54" s="807" t="s">
        <v>382</v>
      </c>
      <c r="B54" s="13" t="s">
        <v>383</v>
      </c>
      <c r="C54" s="13">
        <f>C55+C57+C58</f>
        <v>668800</v>
      </c>
      <c r="D54" s="15"/>
      <c r="E54" s="13">
        <f>E55+E56+E57+E58</f>
        <v>614079</v>
      </c>
      <c r="F54" s="13">
        <f>F55+F56+F57+F58</f>
        <v>362039</v>
      </c>
      <c r="G54" s="13">
        <f>G55+G56+G57+G58</f>
        <v>42044.36</v>
      </c>
      <c r="H54" s="13">
        <f>H55+H57+H58</f>
        <v>42766.559999999998</v>
      </c>
      <c r="I54" s="13">
        <f>I55+I56+I57+I58</f>
        <v>722.2</v>
      </c>
      <c r="J54" s="13">
        <f>J55+J56+J57+J58</f>
        <v>0</v>
      </c>
      <c r="K54" s="13">
        <f t="shared" si="1"/>
        <v>319272.44</v>
      </c>
      <c r="L54" s="13" t="e">
        <f>+L59+L64</f>
        <v>#REF!</v>
      </c>
      <c r="M54" s="13" t="e">
        <f>+#REF!*100/#REF!</f>
        <v>#REF!</v>
      </c>
      <c r="N54" s="232">
        <f t="shared" si="2"/>
        <v>571312.43999999994</v>
      </c>
      <c r="O54" s="373">
        <f>H54/F54*100</f>
        <v>11.812694212501967</v>
      </c>
      <c r="P54" s="26">
        <v>722.2</v>
      </c>
    </row>
    <row r="55" spans="1:16" ht="18" customHeight="1">
      <c r="A55" s="811">
        <v>262</v>
      </c>
      <c r="B55" s="15" t="s">
        <v>553</v>
      </c>
      <c r="C55" s="15">
        <v>40000</v>
      </c>
      <c r="D55" s="15"/>
      <c r="E55" s="15">
        <v>68318</v>
      </c>
      <c r="F55" s="15">
        <v>36318</v>
      </c>
      <c r="G55" s="15"/>
      <c r="H55" s="15">
        <v>625.95000000000005</v>
      </c>
      <c r="I55" s="15">
        <v>625.95000000000005</v>
      </c>
      <c r="J55" s="15"/>
      <c r="K55" s="15"/>
      <c r="L55" s="15"/>
      <c r="M55" s="15"/>
      <c r="N55" s="303">
        <f t="shared" si="2"/>
        <v>67692.05</v>
      </c>
      <c r="O55" s="342">
        <f t="shared" ref="O55:O58" si="12">H55/F55*100</f>
        <v>1.7235255245332894</v>
      </c>
      <c r="P55" s="26">
        <v>625.95000000000005</v>
      </c>
    </row>
    <row r="56" spans="1:16" ht="18" hidden="1" customHeight="1">
      <c r="A56" s="811">
        <v>263</v>
      </c>
      <c r="B56" s="15" t="s">
        <v>590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303">
        <f t="shared" si="2"/>
        <v>0</v>
      </c>
      <c r="O56" s="342" t="e">
        <f t="shared" si="12"/>
        <v>#DIV/0!</v>
      </c>
    </row>
    <row r="57" spans="1:16" ht="18" customHeight="1">
      <c r="A57" s="811">
        <v>265</v>
      </c>
      <c r="B57" s="15" t="s">
        <v>554</v>
      </c>
      <c r="C57" s="15">
        <v>613000</v>
      </c>
      <c r="D57" s="15"/>
      <c r="E57" s="15">
        <v>532961</v>
      </c>
      <c r="F57" s="15">
        <v>325561</v>
      </c>
      <c r="G57" s="15">
        <v>42044.36</v>
      </c>
      <c r="H57" s="15">
        <f>P57+G57</f>
        <v>42140.61</v>
      </c>
      <c r="I57" s="15">
        <v>96.25</v>
      </c>
      <c r="J57" s="15"/>
      <c r="K57" s="15"/>
      <c r="L57" s="15"/>
      <c r="M57" s="15"/>
      <c r="N57" s="303">
        <f t="shared" si="2"/>
        <v>490820.39</v>
      </c>
      <c r="O57" s="342">
        <f t="shared" si="12"/>
        <v>12.943998206173344</v>
      </c>
      <c r="P57" s="26">
        <v>96.25</v>
      </c>
    </row>
    <row r="58" spans="1:16" ht="18" customHeight="1">
      <c r="A58" s="811">
        <v>269</v>
      </c>
      <c r="B58" s="15" t="s">
        <v>555</v>
      </c>
      <c r="C58" s="15">
        <v>15800</v>
      </c>
      <c r="D58" s="15"/>
      <c r="E58" s="15">
        <v>12800</v>
      </c>
      <c r="F58" s="15">
        <v>160</v>
      </c>
      <c r="G58" s="15"/>
      <c r="H58" s="15"/>
      <c r="I58" s="15"/>
      <c r="J58" s="15"/>
      <c r="K58" s="15"/>
      <c r="L58" s="15"/>
      <c r="M58" s="15"/>
      <c r="N58" s="303">
        <f t="shared" si="2"/>
        <v>12800</v>
      </c>
      <c r="O58" s="342">
        <f t="shared" si="12"/>
        <v>0</v>
      </c>
    </row>
    <row r="59" spans="1:16" ht="18" customHeight="1">
      <c r="A59" s="807" t="s">
        <v>392</v>
      </c>
      <c r="B59" s="13" t="s">
        <v>393</v>
      </c>
      <c r="C59" s="13">
        <f>C60+C61</f>
        <v>2700</v>
      </c>
      <c r="D59" s="15"/>
      <c r="E59" s="13">
        <f t="shared" ref="E59:J59" si="13">E60+E61</f>
        <v>4945</v>
      </c>
      <c r="F59" s="13">
        <f t="shared" si="13"/>
        <v>3235</v>
      </c>
      <c r="G59" s="13">
        <f t="shared" si="13"/>
        <v>1244.9000000000001</v>
      </c>
      <c r="H59" s="13">
        <f t="shared" si="13"/>
        <v>1244.9000000000001</v>
      </c>
      <c r="I59" s="13">
        <f t="shared" si="13"/>
        <v>0</v>
      </c>
      <c r="J59" s="13">
        <f t="shared" si="13"/>
        <v>0</v>
      </c>
      <c r="K59" s="13">
        <f t="shared" si="1"/>
        <v>1990.1</v>
      </c>
      <c r="L59" s="13" t="e">
        <f>+L62+L70</f>
        <v>#REF!</v>
      </c>
      <c r="M59" s="13" t="e">
        <f>+#REF!*100/#REF!</f>
        <v>#REF!</v>
      </c>
      <c r="N59" s="232">
        <f t="shared" si="2"/>
        <v>3700.1</v>
      </c>
      <c r="O59" s="373">
        <f>H59/F59*100</f>
        <v>38.482225656877901</v>
      </c>
      <c r="P59" s="26">
        <v>0</v>
      </c>
    </row>
    <row r="60" spans="1:16" ht="18" customHeight="1">
      <c r="A60" s="811">
        <v>274</v>
      </c>
      <c r="B60" s="15" t="s">
        <v>556</v>
      </c>
      <c r="C60" s="15">
        <v>1500</v>
      </c>
      <c r="D60" s="15"/>
      <c r="E60" s="15">
        <v>3745</v>
      </c>
      <c r="F60" s="15">
        <v>2995</v>
      </c>
      <c r="G60" s="15">
        <v>1244.9000000000001</v>
      </c>
      <c r="H60" s="15">
        <f>P60+G60</f>
        <v>1244.9000000000001</v>
      </c>
      <c r="I60" s="15"/>
      <c r="J60" s="15"/>
      <c r="K60" s="15"/>
      <c r="L60" s="15"/>
      <c r="M60" s="15"/>
      <c r="N60" s="303">
        <f t="shared" si="2"/>
        <v>2500.1</v>
      </c>
      <c r="O60" s="342">
        <f t="shared" ref="O60:O62" si="14">H60/F60*100</f>
        <v>41.565943238731222</v>
      </c>
    </row>
    <row r="61" spans="1:16" ht="18" customHeight="1">
      <c r="A61" s="811">
        <v>279</v>
      </c>
      <c r="B61" s="15" t="s">
        <v>557</v>
      </c>
      <c r="C61" s="15">
        <v>1200</v>
      </c>
      <c r="D61" s="15"/>
      <c r="E61" s="15">
        <v>1200</v>
      </c>
      <c r="F61" s="15">
        <v>240</v>
      </c>
      <c r="G61" s="15"/>
      <c r="H61" s="15"/>
      <c r="I61" s="15"/>
      <c r="J61" s="15"/>
      <c r="K61" s="15"/>
      <c r="L61" s="15"/>
      <c r="M61" s="15"/>
      <c r="N61" s="303">
        <f t="shared" si="2"/>
        <v>1200</v>
      </c>
      <c r="O61" s="342">
        <f t="shared" si="14"/>
        <v>0</v>
      </c>
    </row>
    <row r="62" spans="1:16" ht="17.25" customHeight="1">
      <c r="A62" s="807" t="s">
        <v>406</v>
      </c>
      <c r="B62" s="13" t="s">
        <v>407</v>
      </c>
      <c r="C62" s="13">
        <f>C63</f>
        <v>800</v>
      </c>
      <c r="D62" s="13">
        <f t="shared" ref="D62:E62" si="15">D63</f>
        <v>0</v>
      </c>
      <c r="E62" s="13">
        <f t="shared" si="15"/>
        <v>2172</v>
      </c>
      <c r="F62" s="13">
        <v>2172</v>
      </c>
      <c r="G62" s="13"/>
      <c r="H62" s="13">
        <f>H63</f>
        <v>0</v>
      </c>
      <c r="I62" s="13">
        <f>I63</f>
        <v>0</v>
      </c>
      <c r="J62" s="13">
        <f>J63</f>
        <v>0</v>
      </c>
      <c r="K62" s="13">
        <f t="shared" si="1"/>
        <v>2172</v>
      </c>
      <c r="L62" s="13" t="e">
        <f>+L64+L71</f>
        <v>#REF!</v>
      </c>
      <c r="M62" s="13" t="e">
        <f>+#REF!*100/#REF!</f>
        <v>#REF!</v>
      </c>
      <c r="N62" s="232">
        <f t="shared" si="2"/>
        <v>2172</v>
      </c>
      <c r="O62" s="342">
        <f t="shared" si="14"/>
        <v>0</v>
      </c>
      <c r="P62" s="26">
        <v>0</v>
      </c>
    </row>
    <row r="63" spans="1:16" ht="18.75" hidden="1" customHeight="1">
      <c r="A63" s="811">
        <v>280</v>
      </c>
      <c r="B63" s="15" t="s">
        <v>407</v>
      </c>
      <c r="C63" s="15">
        <v>800</v>
      </c>
      <c r="D63" s="15"/>
      <c r="E63" s="15">
        <v>2172</v>
      </c>
      <c r="F63" s="15">
        <v>160</v>
      </c>
      <c r="G63" s="15"/>
      <c r="H63" s="15"/>
      <c r="I63" s="15"/>
      <c r="J63" s="15"/>
      <c r="K63" s="15"/>
      <c r="L63" s="15"/>
      <c r="M63" s="15"/>
      <c r="N63" s="303">
        <f t="shared" si="2"/>
        <v>2172</v>
      </c>
      <c r="O63" s="342"/>
    </row>
    <row r="64" spans="1:16" ht="21" customHeight="1">
      <c r="A64" s="807">
        <v>290</v>
      </c>
      <c r="B64" s="13" t="s">
        <v>502</v>
      </c>
      <c r="C64" s="13"/>
      <c r="D64" s="15"/>
      <c r="E64" s="13">
        <f>E67+E68</f>
        <v>2272</v>
      </c>
      <c r="F64" s="13">
        <f>F67+F68</f>
        <v>2272</v>
      </c>
      <c r="G64" s="13"/>
      <c r="H64" s="13">
        <f>H67+H68</f>
        <v>2270.54</v>
      </c>
      <c r="I64" s="13">
        <f>I65+I66+I67+I68+I69</f>
        <v>0</v>
      </c>
      <c r="J64" s="13"/>
      <c r="K64" s="13">
        <f t="shared" si="1"/>
        <v>1.4600000000000364</v>
      </c>
      <c r="L64" s="16" t="e">
        <f>+L70+L80</f>
        <v>#REF!</v>
      </c>
      <c r="M64" s="16" t="e">
        <f>+#REF!*100/#REF!</f>
        <v>#REF!</v>
      </c>
      <c r="N64" s="232">
        <f t="shared" si="2"/>
        <v>1.4600000000000364</v>
      </c>
      <c r="O64" s="342">
        <f>H64/F64*100</f>
        <v>99.935739436619713</v>
      </c>
      <c r="P64" s="26">
        <v>2270.54</v>
      </c>
    </row>
    <row r="65" spans="1:16" ht="19.5" hidden="1" customHeight="1">
      <c r="A65" s="811">
        <v>295</v>
      </c>
      <c r="B65" s="14" t="s">
        <v>558</v>
      </c>
      <c r="C65" s="14"/>
      <c r="D65" s="17"/>
      <c r="E65" s="15">
        <v>780</v>
      </c>
      <c r="F65" s="15">
        <v>780</v>
      </c>
      <c r="G65" s="17"/>
      <c r="H65" s="15">
        <v>779.38</v>
      </c>
      <c r="I65" s="17"/>
      <c r="J65" s="15">
        <v>753.89</v>
      </c>
      <c r="K65" s="17"/>
      <c r="L65" s="17"/>
      <c r="M65" s="17"/>
      <c r="N65" s="307">
        <f t="shared" si="2"/>
        <v>0.62000000000000455</v>
      </c>
      <c r="O65" s="342">
        <f t="shared" ref="O65:O68" si="16">H65/F65*100</f>
        <v>99.920512820512812</v>
      </c>
      <c r="P65" s="26">
        <v>779.38</v>
      </c>
    </row>
    <row r="66" spans="1:16" ht="19.5" hidden="1" customHeight="1">
      <c r="A66" s="811">
        <v>296</v>
      </c>
      <c r="B66" s="14" t="s">
        <v>559</v>
      </c>
      <c r="C66" s="14"/>
      <c r="D66" s="17"/>
      <c r="E66" s="15">
        <v>504</v>
      </c>
      <c r="F66" s="15">
        <v>504</v>
      </c>
      <c r="G66" s="17"/>
      <c r="H66" s="15">
        <v>503.72</v>
      </c>
      <c r="I66" s="17"/>
      <c r="J66" s="15">
        <v>503.72</v>
      </c>
      <c r="K66" s="17"/>
      <c r="L66" s="17"/>
      <c r="M66" s="17"/>
      <c r="N66" s="307">
        <f t="shared" si="2"/>
        <v>0.27999999999997272</v>
      </c>
      <c r="O66" s="342">
        <f t="shared" si="16"/>
        <v>99.944444444444443</v>
      </c>
      <c r="P66" s="26">
        <v>503.72</v>
      </c>
    </row>
    <row r="67" spans="1:16" ht="19.5" customHeight="1">
      <c r="A67" s="811">
        <v>297</v>
      </c>
      <c r="B67" s="14" t="s">
        <v>560</v>
      </c>
      <c r="C67" s="303"/>
      <c r="D67" s="17"/>
      <c r="E67" s="15">
        <v>2177</v>
      </c>
      <c r="F67" s="15">
        <v>2177</v>
      </c>
      <c r="G67" s="15"/>
      <c r="H67" s="15">
        <f>P67+G67</f>
        <v>2176.38</v>
      </c>
      <c r="I67" s="15"/>
      <c r="J67" s="15"/>
      <c r="K67" s="17"/>
      <c r="L67" s="17"/>
      <c r="M67" s="17"/>
      <c r="N67" s="303">
        <f t="shared" si="2"/>
        <v>0.61999999999989086</v>
      </c>
      <c r="O67" s="342">
        <f t="shared" si="16"/>
        <v>99.971520440973833</v>
      </c>
      <c r="P67" s="26">
        <v>2176.38</v>
      </c>
    </row>
    <row r="68" spans="1:16" ht="18.75" customHeight="1">
      <c r="A68" s="811">
        <v>298</v>
      </c>
      <c r="B68" s="14" t="s">
        <v>561</v>
      </c>
      <c r="C68" s="303"/>
      <c r="D68" s="17"/>
      <c r="E68" s="15">
        <v>95</v>
      </c>
      <c r="F68" s="15">
        <v>95</v>
      </c>
      <c r="G68" s="15"/>
      <c r="H68" s="15">
        <v>94.16</v>
      </c>
      <c r="I68" s="15"/>
      <c r="J68" s="15"/>
      <c r="K68" s="17"/>
      <c r="L68" s="17"/>
      <c r="M68" s="17"/>
      <c r="N68" s="303">
        <f t="shared" si="2"/>
        <v>0.84000000000000341</v>
      </c>
      <c r="O68" s="342">
        <f t="shared" si="16"/>
        <v>99.115789473684202</v>
      </c>
      <c r="P68" s="26">
        <v>94.16</v>
      </c>
    </row>
    <row r="69" spans="1:16" ht="19.5" hidden="1" customHeight="1">
      <c r="A69" s="811">
        <v>299</v>
      </c>
      <c r="B69" s="14" t="s">
        <v>562</v>
      </c>
      <c r="C69" s="14"/>
      <c r="D69" s="17"/>
      <c r="E69" s="15">
        <v>62.6</v>
      </c>
      <c r="F69" s="15">
        <v>62.6</v>
      </c>
      <c r="G69" s="17"/>
      <c r="H69" s="15">
        <v>62.6</v>
      </c>
      <c r="I69" s="17"/>
      <c r="J69" s="15">
        <v>62.6</v>
      </c>
      <c r="K69" s="17"/>
      <c r="L69" s="17"/>
      <c r="M69" s="17"/>
      <c r="N69" s="307">
        <f t="shared" si="2"/>
        <v>0</v>
      </c>
      <c r="O69" s="344"/>
      <c r="P69" s="26">
        <v>62.6</v>
      </c>
    </row>
    <row r="70" spans="1:16" ht="18" customHeight="1">
      <c r="A70" s="812" t="s">
        <v>458</v>
      </c>
      <c r="B70" s="20" t="s">
        <v>503</v>
      </c>
      <c r="C70" s="21">
        <f>C71+C82+C83+C87+C89+C90+C91</f>
        <v>6075690</v>
      </c>
      <c r="D70" s="21">
        <f>SUM(D71:D92)</f>
        <v>0</v>
      </c>
      <c r="E70" s="21">
        <f>E71+E80+E82+E83+E87+E89+E90+E91+E92</f>
        <v>6685244</v>
      </c>
      <c r="F70" s="21">
        <f>F71+F80+F82+F83+F87+F89+F90+F91+F92</f>
        <v>4171492</v>
      </c>
      <c r="G70" s="781">
        <f>G71+G80+G82+G83+G89+G90+G91+G92</f>
        <v>2103413.13</v>
      </c>
      <c r="H70" s="21">
        <f>H71+H80+H82+H83+H87+H89+H90+H91+H92</f>
        <v>2984950.6500000004</v>
      </c>
      <c r="I70" s="21">
        <f>I71+I80+I82+I83+I87+I89+I90+I91+I92</f>
        <v>695124.55</v>
      </c>
      <c r="J70" s="21">
        <f>J71+J80+J82+J83+J87+J89+J90+J91+J92</f>
        <v>286195.09999999998</v>
      </c>
      <c r="K70" s="21">
        <f t="shared" si="1"/>
        <v>1186541.3499999996</v>
      </c>
      <c r="L70" s="21" t="e">
        <f>+L71+L82</f>
        <v>#REF!</v>
      </c>
      <c r="M70" s="21" t="e">
        <f>+#REF!*100/#REF!</f>
        <v>#REF!</v>
      </c>
      <c r="N70" s="308">
        <f t="shared" si="2"/>
        <v>3700293.3499999996</v>
      </c>
      <c r="O70" s="345">
        <f>H70/F70*100</f>
        <v>71.555948087638683</v>
      </c>
      <c r="P70" s="26">
        <v>881537.52</v>
      </c>
    </row>
    <row r="71" spans="1:16" ht="18" customHeight="1">
      <c r="A71" s="807">
        <v>300</v>
      </c>
      <c r="B71" s="12" t="s">
        <v>563</v>
      </c>
      <c r="C71" s="13">
        <f>C72+C74</f>
        <v>133000</v>
      </c>
      <c r="D71" s="15"/>
      <c r="E71" s="13">
        <f>E72+E73+E74+E75+E76+E77+E78+E79</f>
        <v>295208</v>
      </c>
      <c r="F71" s="13">
        <f>F72+F73+F74+F75+F76+F77+F78+F79</f>
        <v>188808</v>
      </c>
      <c r="G71" s="13">
        <f>G75+G78</f>
        <v>179695.94</v>
      </c>
      <c r="H71" s="13">
        <f>H72+H75+H78</f>
        <v>184845.17</v>
      </c>
      <c r="I71" s="13">
        <f>I72+I73+I74+I75+I76+I77+I78+I79</f>
        <v>5029</v>
      </c>
      <c r="J71" s="13">
        <f>J72+J73+J74+J75+J76+J77+J78+J79</f>
        <v>0</v>
      </c>
      <c r="K71" s="13">
        <f t="shared" si="1"/>
        <v>3962.8299999999872</v>
      </c>
      <c r="L71" s="13" t="e">
        <f>+L80+L83</f>
        <v>#REF!</v>
      </c>
      <c r="M71" s="13" t="e">
        <f>+#REF!*100/#REF!</f>
        <v>#REF!</v>
      </c>
      <c r="N71" s="232">
        <f t="shared" si="2"/>
        <v>110362.82999999999</v>
      </c>
      <c r="O71" s="373">
        <f>H71/F71*100</f>
        <v>97.901132367272581</v>
      </c>
      <c r="P71" s="26">
        <v>5149.2299999999996</v>
      </c>
    </row>
    <row r="72" spans="1:16" ht="17.25" customHeight="1">
      <c r="A72" s="811">
        <v>301</v>
      </c>
      <c r="B72" s="14" t="s">
        <v>564</v>
      </c>
      <c r="C72" s="15">
        <v>100000</v>
      </c>
      <c r="D72" s="15"/>
      <c r="E72" s="15">
        <v>85324</v>
      </c>
      <c r="F72" s="15">
        <v>5324</v>
      </c>
      <c r="G72" s="15"/>
      <c r="H72" s="15">
        <f>P72+G72</f>
        <v>5149.2299999999996</v>
      </c>
      <c r="I72" s="15">
        <v>5029</v>
      </c>
      <c r="J72" s="15"/>
      <c r="K72" s="15">
        <f t="shared" si="1"/>
        <v>174.77000000000044</v>
      </c>
      <c r="L72" s="13"/>
      <c r="M72" s="13"/>
      <c r="N72" s="303">
        <f t="shared" si="2"/>
        <v>80174.77</v>
      </c>
      <c r="O72" s="342">
        <f t="shared" ref="O72:O80" si="17">H72/F72*100</f>
        <v>96.717317806160779</v>
      </c>
      <c r="P72" s="26">
        <v>5149.2299999999996</v>
      </c>
    </row>
    <row r="73" spans="1:16" ht="15.75" customHeight="1">
      <c r="A73" s="811">
        <v>302</v>
      </c>
      <c r="B73" s="14" t="s">
        <v>565</v>
      </c>
      <c r="C73" s="15"/>
      <c r="D73" s="15"/>
      <c r="E73" s="15">
        <v>1000</v>
      </c>
      <c r="F73" s="15">
        <v>1000</v>
      </c>
      <c r="G73" s="15"/>
      <c r="H73" s="15">
        <f t="shared" ref="H73:H74" si="18">P73+G73</f>
        <v>0</v>
      </c>
      <c r="I73" s="15"/>
      <c r="J73" s="15"/>
      <c r="K73" s="15">
        <f t="shared" si="1"/>
        <v>1000</v>
      </c>
      <c r="L73" s="13"/>
      <c r="M73" s="13"/>
      <c r="N73" s="303">
        <f t="shared" si="2"/>
        <v>1000</v>
      </c>
      <c r="O73" s="342">
        <f t="shared" si="17"/>
        <v>0</v>
      </c>
    </row>
    <row r="74" spans="1:16" ht="20.25" customHeight="1">
      <c r="A74" s="811">
        <v>303</v>
      </c>
      <c r="B74" s="14" t="s">
        <v>566</v>
      </c>
      <c r="C74" s="15">
        <v>33000</v>
      </c>
      <c r="D74" s="15"/>
      <c r="E74" s="15">
        <v>29000</v>
      </c>
      <c r="F74" s="15">
        <v>2600</v>
      </c>
      <c r="G74" s="15"/>
      <c r="H74" s="15">
        <f t="shared" si="18"/>
        <v>0</v>
      </c>
      <c r="I74" s="15"/>
      <c r="J74" s="15"/>
      <c r="K74" s="15"/>
      <c r="L74" s="13"/>
      <c r="M74" s="13"/>
      <c r="N74" s="303"/>
      <c r="O74" s="342">
        <f t="shared" si="17"/>
        <v>0</v>
      </c>
    </row>
    <row r="75" spans="1:16" ht="14.25" customHeight="1">
      <c r="A75" s="811">
        <v>304</v>
      </c>
      <c r="B75" s="14" t="s">
        <v>567</v>
      </c>
      <c r="C75" s="15"/>
      <c r="D75" s="15"/>
      <c r="E75" s="15">
        <v>23324</v>
      </c>
      <c r="F75" s="15">
        <v>23324</v>
      </c>
      <c r="G75" s="15">
        <v>23324</v>
      </c>
      <c r="H75" s="15">
        <f>P75+G75</f>
        <v>23324</v>
      </c>
      <c r="I75" s="15"/>
      <c r="J75" s="15"/>
      <c r="K75" s="15">
        <f t="shared" si="1"/>
        <v>0</v>
      </c>
      <c r="L75" s="13"/>
      <c r="M75" s="13"/>
      <c r="N75" s="303">
        <f t="shared" si="2"/>
        <v>0</v>
      </c>
      <c r="O75" s="342">
        <f t="shared" si="17"/>
        <v>100</v>
      </c>
    </row>
    <row r="76" spans="1:16" ht="0.75" hidden="1" customHeight="1">
      <c r="A76" s="811">
        <v>305</v>
      </c>
      <c r="B76" s="14" t="s">
        <v>568</v>
      </c>
      <c r="C76" s="15"/>
      <c r="D76" s="15"/>
      <c r="E76" s="15"/>
      <c r="F76" s="15"/>
      <c r="G76" s="15"/>
      <c r="H76" s="15">
        <f t="shared" ref="H76:H79" si="19">P76+G76</f>
        <v>0</v>
      </c>
      <c r="I76" s="15"/>
      <c r="J76" s="15"/>
      <c r="K76" s="15">
        <f t="shared" si="1"/>
        <v>0</v>
      </c>
      <c r="L76" s="13"/>
      <c r="M76" s="13"/>
      <c r="N76" s="303">
        <f t="shared" si="2"/>
        <v>0</v>
      </c>
      <c r="O76" s="342" t="e">
        <f t="shared" si="17"/>
        <v>#DIV/0!</v>
      </c>
    </row>
    <row r="77" spans="1:16" ht="0.75" hidden="1" customHeight="1">
      <c r="A77" s="811">
        <v>307</v>
      </c>
      <c r="B77" s="14" t="s">
        <v>569</v>
      </c>
      <c r="C77" s="15"/>
      <c r="D77" s="15"/>
      <c r="E77" s="15"/>
      <c r="F77" s="15"/>
      <c r="G77" s="15">
        <v>156371.94</v>
      </c>
      <c r="H77" s="15">
        <f t="shared" si="19"/>
        <v>156371.94</v>
      </c>
      <c r="I77" s="15"/>
      <c r="J77" s="15"/>
      <c r="K77" s="15">
        <f t="shared" si="1"/>
        <v>-156371.94</v>
      </c>
      <c r="L77" s="13"/>
      <c r="M77" s="13"/>
      <c r="N77" s="303">
        <f t="shared" si="2"/>
        <v>-156371.94</v>
      </c>
      <c r="O77" s="342" t="e">
        <f t="shared" si="17"/>
        <v>#DIV/0!</v>
      </c>
    </row>
    <row r="78" spans="1:16" ht="14.25" customHeight="1">
      <c r="A78" s="811">
        <v>308</v>
      </c>
      <c r="B78" s="14" t="s">
        <v>591</v>
      </c>
      <c r="C78" s="15"/>
      <c r="D78" s="15"/>
      <c r="E78" s="15">
        <v>156560</v>
      </c>
      <c r="F78" s="15">
        <v>156560</v>
      </c>
      <c r="G78" s="15">
        <v>156371.94</v>
      </c>
      <c r="H78" s="15">
        <f t="shared" si="19"/>
        <v>156371.94</v>
      </c>
      <c r="I78" s="15"/>
      <c r="J78" s="15"/>
      <c r="K78" s="15">
        <f t="shared" si="1"/>
        <v>188.05999999999767</v>
      </c>
      <c r="L78" s="13"/>
      <c r="M78" s="13"/>
      <c r="N78" s="303">
        <f t="shared" si="2"/>
        <v>188.05999999999767</v>
      </c>
      <c r="O78" s="342">
        <f t="shared" si="17"/>
        <v>99.87987991824221</v>
      </c>
    </row>
    <row r="79" spans="1:16" ht="14.25" hidden="1" customHeight="1">
      <c r="A79" s="811">
        <v>309</v>
      </c>
      <c r="B79" s="14" t="s">
        <v>570</v>
      </c>
      <c r="C79" s="15"/>
      <c r="D79" s="15"/>
      <c r="E79" s="15"/>
      <c r="F79" s="15"/>
      <c r="G79" s="15"/>
      <c r="H79" s="15">
        <f t="shared" si="19"/>
        <v>0</v>
      </c>
      <c r="I79" s="15"/>
      <c r="J79" s="15"/>
      <c r="K79" s="15">
        <f t="shared" si="1"/>
        <v>0</v>
      </c>
      <c r="L79" s="13"/>
      <c r="M79" s="13"/>
      <c r="N79" s="303">
        <f t="shared" si="2"/>
        <v>0</v>
      </c>
      <c r="O79" s="342" t="e">
        <f t="shared" si="17"/>
        <v>#DIV/0!</v>
      </c>
    </row>
    <row r="80" spans="1:16" ht="18" customHeight="1">
      <c r="A80" s="807">
        <v>310</v>
      </c>
      <c r="B80" s="12" t="s">
        <v>571</v>
      </c>
      <c r="C80" s="15"/>
      <c r="D80" s="15"/>
      <c r="E80" s="13">
        <v>149479</v>
      </c>
      <c r="F80" s="13">
        <v>149479</v>
      </c>
      <c r="G80" s="13">
        <v>48471</v>
      </c>
      <c r="H80" s="13">
        <f>P80+G80</f>
        <v>149479</v>
      </c>
      <c r="I80" s="13">
        <v>101008</v>
      </c>
      <c r="J80" s="13">
        <f t="shared" ref="J80" si="20">J81</f>
        <v>0</v>
      </c>
      <c r="K80" s="15">
        <f t="shared" si="1"/>
        <v>0</v>
      </c>
      <c r="L80" s="15" t="e">
        <f>+L82+L87</f>
        <v>#REF!</v>
      </c>
      <c r="M80" s="15" t="e">
        <f>+#REF!*100/#REF!</f>
        <v>#REF!</v>
      </c>
      <c r="N80" s="303">
        <f t="shared" si="2"/>
        <v>0</v>
      </c>
      <c r="O80" s="373">
        <f t="shared" si="17"/>
        <v>100</v>
      </c>
      <c r="P80" s="325">
        <v>101008</v>
      </c>
    </row>
    <row r="81" spans="1:16" ht="0.75" customHeight="1">
      <c r="A81" s="811">
        <v>314</v>
      </c>
      <c r="B81" s="14" t="s">
        <v>572</v>
      </c>
      <c r="C81" s="15"/>
      <c r="D81" s="15"/>
      <c r="E81" s="15">
        <v>149479</v>
      </c>
      <c r="F81" s="15">
        <v>101008</v>
      </c>
      <c r="G81" s="15">
        <v>56710</v>
      </c>
      <c r="H81" s="15">
        <f>P81+G81</f>
        <v>157718</v>
      </c>
      <c r="I81" s="15">
        <v>56710</v>
      </c>
      <c r="J81" s="15"/>
      <c r="K81" s="15"/>
      <c r="L81" s="15"/>
      <c r="M81" s="15"/>
      <c r="N81" s="303"/>
      <c r="O81" s="342"/>
      <c r="P81" s="325">
        <v>101008</v>
      </c>
    </row>
    <row r="82" spans="1:16" ht="18" customHeight="1">
      <c r="A82" s="807">
        <v>320</v>
      </c>
      <c r="B82" s="13" t="s">
        <v>573</v>
      </c>
      <c r="C82" s="13">
        <v>1700000</v>
      </c>
      <c r="D82" s="15"/>
      <c r="E82" s="13">
        <v>1639277</v>
      </c>
      <c r="F82" s="13">
        <v>999277</v>
      </c>
      <c r="G82" s="13">
        <v>313665.91999999998</v>
      </c>
      <c r="H82" s="13">
        <f>P82+G82</f>
        <v>580428.14999999991</v>
      </c>
      <c r="I82" s="13">
        <v>161793.73000000001</v>
      </c>
      <c r="J82" s="13"/>
      <c r="K82" s="13">
        <f t="shared" si="1"/>
        <v>418848.85000000009</v>
      </c>
      <c r="L82" s="13" t="e">
        <f>+L83+L89</f>
        <v>#REF!</v>
      </c>
      <c r="M82" s="13" t="e">
        <f>+#REF!*100/#REF!</f>
        <v>#REF!</v>
      </c>
      <c r="N82" s="232">
        <f t="shared" si="2"/>
        <v>1058848.8500000001</v>
      </c>
      <c r="O82" s="373">
        <f>H82/F82*100</f>
        <v>58.084810317859805</v>
      </c>
      <c r="P82" s="26">
        <v>266762.23</v>
      </c>
    </row>
    <row r="83" spans="1:16" ht="17.25" customHeight="1">
      <c r="A83" s="807">
        <v>330</v>
      </c>
      <c r="B83" s="13" t="s">
        <v>505</v>
      </c>
      <c r="C83" s="13">
        <f>C84+C85</f>
        <v>1822120</v>
      </c>
      <c r="D83" s="13">
        <f t="shared" ref="D83" si="21">D84+D85</f>
        <v>0</v>
      </c>
      <c r="E83" s="13">
        <f>E85+E86</f>
        <v>1627935</v>
      </c>
      <c r="F83" s="13">
        <f>F85+F86</f>
        <v>170239</v>
      </c>
      <c r="G83" s="13">
        <f>G85+G86</f>
        <v>141175.67999999999</v>
      </c>
      <c r="H83" s="13">
        <f>H84+H85+H86</f>
        <v>160827.20000000001</v>
      </c>
      <c r="I83" s="13">
        <f>I84+I85</f>
        <v>17029.310000000001</v>
      </c>
      <c r="J83" s="13">
        <f>J84+J85</f>
        <v>0</v>
      </c>
      <c r="K83" s="13">
        <f t="shared" si="1"/>
        <v>9411.7999999999884</v>
      </c>
      <c r="L83" s="13" t="e">
        <f>+L87+L90</f>
        <v>#REF!</v>
      </c>
      <c r="M83" s="13" t="e">
        <f>+#REF!*100/#REF!</f>
        <v>#REF!</v>
      </c>
      <c r="N83" s="232">
        <f>E83-H83</f>
        <v>1467107.8</v>
      </c>
      <c r="O83" s="373">
        <f>H83/F83*100</f>
        <v>94.47141959245532</v>
      </c>
      <c r="P83" s="26">
        <v>19651.52</v>
      </c>
    </row>
    <row r="84" spans="1:16" ht="18" hidden="1" customHeight="1">
      <c r="A84" s="811">
        <v>331</v>
      </c>
      <c r="B84" s="15" t="s">
        <v>574</v>
      </c>
      <c r="C84" s="15"/>
      <c r="D84" s="15"/>
      <c r="E84" s="15"/>
      <c r="F84" s="15"/>
      <c r="G84" s="15"/>
      <c r="H84" s="15"/>
      <c r="I84" s="15"/>
      <c r="J84" s="15"/>
      <c r="K84" s="15">
        <f t="shared" si="1"/>
        <v>0</v>
      </c>
      <c r="L84" s="15"/>
      <c r="M84" s="15"/>
      <c r="N84" s="303">
        <f>E84-H84</f>
        <v>0</v>
      </c>
      <c r="O84" s="342" t="e">
        <f>H84/F84*100</f>
        <v>#DIV/0!</v>
      </c>
    </row>
    <row r="85" spans="1:16" ht="18" customHeight="1">
      <c r="A85" s="811">
        <v>332</v>
      </c>
      <c r="B85" s="15" t="s">
        <v>504</v>
      </c>
      <c r="C85" s="15">
        <v>1822120</v>
      </c>
      <c r="D85" s="15"/>
      <c r="E85" s="15">
        <v>1512375</v>
      </c>
      <c r="F85" s="15">
        <v>54679</v>
      </c>
      <c r="G85" s="15">
        <v>25615.68</v>
      </c>
      <c r="H85" s="15">
        <f>P85+G85</f>
        <v>45267.199999999997</v>
      </c>
      <c r="I85" s="15">
        <v>17029.310000000001</v>
      </c>
      <c r="J85" s="15"/>
      <c r="K85" s="15">
        <f t="shared" si="1"/>
        <v>9411.8000000000029</v>
      </c>
      <c r="L85" s="15"/>
      <c r="M85" s="15"/>
      <c r="N85" s="303">
        <f>E85-H85</f>
        <v>1467107.8</v>
      </c>
      <c r="O85" s="342">
        <f>H85/F85*100</f>
        <v>82.787176063936784</v>
      </c>
      <c r="P85" s="26">
        <v>19651.52</v>
      </c>
    </row>
    <row r="86" spans="1:16" ht="18" customHeight="1">
      <c r="A86" s="811">
        <v>339</v>
      </c>
      <c r="B86" s="15" t="s">
        <v>575</v>
      </c>
      <c r="C86" s="15"/>
      <c r="D86" s="15"/>
      <c r="E86" s="15">
        <v>115560</v>
      </c>
      <c r="F86" s="15">
        <v>115560</v>
      </c>
      <c r="G86" s="15">
        <v>115560</v>
      </c>
      <c r="H86" s="15">
        <f>P86+G86</f>
        <v>115560</v>
      </c>
      <c r="I86" s="15"/>
      <c r="J86" s="15"/>
      <c r="K86" s="15"/>
      <c r="L86" s="15"/>
      <c r="M86" s="15"/>
      <c r="N86" s="303"/>
      <c r="O86" s="342">
        <f t="shared" ref="O86:O89" si="22">H86/F86*100</f>
        <v>100</v>
      </c>
    </row>
    <row r="87" spans="1:16" ht="17.25" customHeight="1">
      <c r="A87" s="807">
        <v>340</v>
      </c>
      <c r="B87" s="13" t="s">
        <v>244</v>
      </c>
      <c r="C87" s="13">
        <v>74570</v>
      </c>
      <c r="D87" s="15"/>
      <c r="E87" s="13">
        <v>59656</v>
      </c>
      <c r="F87" s="13">
        <v>600</v>
      </c>
      <c r="G87" s="15"/>
      <c r="H87" s="13">
        <f>H88</f>
        <v>0</v>
      </c>
      <c r="I87" s="13">
        <f>I88</f>
        <v>0</v>
      </c>
      <c r="J87" s="13">
        <f>J88</f>
        <v>0</v>
      </c>
      <c r="K87" s="13">
        <f t="shared" si="1"/>
        <v>600</v>
      </c>
      <c r="L87" s="13" t="e">
        <f>+L89+L91</f>
        <v>#REF!</v>
      </c>
      <c r="M87" s="13" t="e">
        <f>+#REF!*100/#REF!</f>
        <v>#REF!</v>
      </c>
      <c r="N87" s="232">
        <f t="shared" si="2"/>
        <v>59656</v>
      </c>
      <c r="O87" s="342">
        <f t="shared" si="22"/>
        <v>0</v>
      </c>
      <c r="P87" s="26">
        <v>0</v>
      </c>
    </row>
    <row r="88" spans="1:16" ht="0.75" customHeight="1">
      <c r="A88" s="811">
        <v>340</v>
      </c>
      <c r="B88" s="15" t="s">
        <v>244</v>
      </c>
      <c r="C88" s="15"/>
      <c r="D88" s="15"/>
      <c r="E88" s="15"/>
      <c r="F88" s="15"/>
      <c r="G88" s="15"/>
      <c r="H88" s="15"/>
      <c r="I88" s="15"/>
      <c r="J88" s="15"/>
      <c r="K88" s="15">
        <f t="shared" si="1"/>
        <v>0</v>
      </c>
      <c r="L88" s="15"/>
      <c r="M88" s="15"/>
      <c r="N88" s="303"/>
      <c r="O88" s="342" t="e">
        <f t="shared" si="22"/>
        <v>#DIV/0!</v>
      </c>
    </row>
    <row r="89" spans="1:16" ht="18" customHeight="1">
      <c r="A89" s="807">
        <v>350</v>
      </c>
      <c r="B89" s="13" t="s">
        <v>506</v>
      </c>
      <c r="C89" s="13">
        <v>99000</v>
      </c>
      <c r="D89" s="13"/>
      <c r="E89" s="13">
        <v>99200</v>
      </c>
      <c r="F89" s="13">
        <v>79400</v>
      </c>
      <c r="G89" s="13">
        <v>9129.2000000000007</v>
      </c>
      <c r="H89" s="13">
        <f>P89+G89</f>
        <v>9129.2000000000007</v>
      </c>
      <c r="I89" s="13"/>
      <c r="J89" s="13"/>
      <c r="K89" s="13">
        <f t="shared" si="1"/>
        <v>70270.8</v>
      </c>
      <c r="L89" s="13" t="e">
        <f>+L90+#REF!</f>
        <v>#REF!</v>
      </c>
      <c r="M89" s="13" t="e">
        <f>+#REF!*100/#REF!</f>
        <v>#REF!</v>
      </c>
      <c r="N89" s="232">
        <f t="shared" si="2"/>
        <v>90070.8</v>
      </c>
      <c r="O89" s="373">
        <f t="shared" si="22"/>
        <v>11.49773299748111</v>
      </c>
    </row>
    <row r="90" spans="1:16" ht="18" customHeight="1">
      <c r="A90" s="807">
        <v>370</v>
      </c>
      <c r="B90" s="13" t="s">
        <v>507</v>
      </c>
      <c r="C90" s="13">
        <v>782000</v>
      </c>
      <c r="D90" s="13"/>
      <c r="E90" s="13">
        <v>828900</v>
      </c>
      <c r="F90" s="13">
        <v>598100</v>
      </c>
      <c r="G90" s="13">
        <v>100601.86</v>
      </c>
      <c r="H90" s="13">
        <f>P90+G90</f>
        <v>210020.53999999998</v>
      </c>
      <c r="I90" s="13">
        <v>108008.42</v>
      </c>
      <c r="J90" s="13">
        <v>7345.55</v>
      </c>
      <c r="K90" s="13">
        <f t="shared" si="1"/>
        <v>388079.46</v>
      </c>
      <c r="L90" s="13" t="e">
        <f>+L91+#REF!</f>
        <v>#REF!</v>
      </c>
      <c r="M90" s="13" t="e">
        <f>+#REF!*100/#REF!</f>
        <v>#REF!</v>
      </c>
      <c r="N90" s="232">
        <f t="shared" si="2"/>
        <v>618879.46</v>
      </c>
      <c r="O90" s="373">
        <f t="shared" ref="O90:O99" si="23">H90/F90*100</f>
        <v>35.114619628824606</v>
      </c>
      <c r="P90" s="26">
        <v>109418.68</v>
      </c>
    </row>
    <row r="91" spans="1:16" ht="18" customHeight="1">
      <c r="A91" s="807">
        <v>380</v>
      </c>
      <c r="B91" s="13" t="s">
        <v>508</v>
      </c>
      <c r="C91" s="13">
        <v>1465000</v>
      </c>
      <c r="D91" s="13"/>
      <c r="E91" s="13">
        <v>1452636</v>
      </c>
      <c r="F91" s="13">
        <v>1452636</v>
      </c>
      <c r="G91" s="13">
        <v>1147124.5900000001</v>
      </c>
      <c r="H91" s="13">
        <f>P91+G91</f>
        <v>1164995.3900000001</v>
      </c>
      <c r="I91" s="13">
        <v>122841.27</v>
      </c>
      <c r="J91" s="13"/>
      <c r="K91" s="13">
        <f t="shared" si="1"/>
        <v>287640.60999999987</v>
      </c>
      <c r="L91" s="13" t="e">
        <f>+#REF!+#REF!</f>
        <v>#REF!</v>
      </c>
      <c r="M91" s="13" t="e">
        <f>+#REF!*100/#REF!</f>
        <v>#REF!</v>
      </c>
      <c r="N91" s="232">
        <f t="shared" si="2"/>
        <v>287640.60999999987</v>
      </c>
      <c r="O91" s="373">
        <f t="shared" si="23"/>
        <v>80.198713924204014</v>
      </c>
      <c r="P91" s="26">
        <v>17870.8</v>
      </c>
    </row>
    <row r="92" spans="1:16" ht="18" customHeight="1">
      <c r="A92" s="807">
        <v>390</v>
      </c>
      <c r="B92" s="13" t="s">
        <v>509</v>
      </c>
      <c r="C92" s="15"/>
      <c r="D92" s="15"/>
      <c r="E92" s="13">
        <f>E95+E96+E97+E98+E99</f>
        <v>532953</v>
      </c>
      <c r="F92" s="13">
        <f>F95+F96+F97+F98+F99</f>
        <v>532953</v>
      </c>
      <c r="G92" s="13">
        <f>G95+G96+G97+G98+G99</f>
        <v>163548.94</v>
      </c>
      <c r="H92" s="13">
        <f>H95+H99+H96+H97+H98</f>
        <v>525226</v>
      </c>
      <c r="I92" s="13">
        <f>I95+I99+I96+I97+I98</f>
        <v>179414.82</v>
      </c>
      <c r="J92" s="13">
        <f>J93+J94+J95+J96+J97+J98+J99</f>
        <v>278849.55</v>
      </c>
      <c r="K92" s="13">
        <f t="shared" si="1"/>
        <v>7727</v>
      </c>
      <c r="L92" s="13" t="e">
        <f>+L100+#REF!</f>
        <v>#REF!</v>
      </c>
      <c r="M92" s="13" t="e">
        <f>+#REF!*100/#REF!</f>
        <v>#REF!</v>
      </c>
      <c r="N92" s="232">
        <f>E92-H92</f>
        <v>7727</v>
      </c>
      <c r="O92" s="373">
        <f t="shared" si="23"/>
        <v>98.55015357827051</v>
      </c>
      <c r="P92" s="26">
        <v>361677.06</v>
      </c>
    </row>
    <row r="93" spans="1:16" ht="0.75" customHeight="1">
      <c r="A93" s="811">
        <v>391</v>
      </c>
      <c r="B93" s="15" t="s">
        <v>576</v>
      </c>
      <c r="C93" s="15"/>
      <c r="D93" s="16"/>
      <c r="E93" s="15"/>
      <c r="F93" s="15"/>
      <c r="G93" s="16"/>
      <c r="H93" s="15"/>
      <c r="I93" s="16"/>
      <c r="J93" s="15"/>
      <c r="K93" s="15">
        <f t="shared" si="1"/>
        <v>0</v>
      </c>
      <c r="L93" s="17"/>
      <c r="M93" s="17"/>
      <c r="N93" s="303">
        <f t="shared" ref="N93:N98" si="24">E93-H93</f>
        <v>0</v>
      </c>
      <c r="O93" s="342" t="e">
        <f t="shared" si="23"/>
        <v>#DIV/0!</v>
      </c>
    </row>
    <row r="94" spans="1:16" ht="10.5" hidden="1" customHeight="1">
      <c r="A94" s="811">
        <v>392</v>
      </c>
      <c r="B94" s="15" t="s">
        <v>577</v>
      </c>
      <c r="C94" s="15"/>
      <c r="D94" s="16"/>
      <c r="E94" s="15"/>
      <c r="F94" s="15"/>
      <c r="G94" s="15"/>
      <c r="H94" s="15"/>
      <c r="I94" s="16"/>
      <c r="J94" s="15"/>
      <c r="K94" s="15">
        <f t="shared" si="1"/>
        <v>0</v>
      </c>
      <c r="L94" s="17"/>
      <c r="M94" s="17"/>
      <c r="N94" s="303">
        <f t="shared" si="24"/>
        <v>0</v>
      </c>
      <c r="O94" s="342" t="e">
        <f t="shared" si="23"/>
        <v>#DIV/0!</v>
      </c>
    </row>
    <row r="95" spans="1:16" ht="21.75" customHeight="1">
      <c r="A95" s="811">
        <v>393</v>
      </c>
      <c r="B95" s="15" t="s">
        <v>578</v>
      </c>
      <c r="C95" s="15"/>
      <c r="D95" s="16"/>
      <c r="E95" s="15">
        <v>408984</v>
      </c>
      <c r="F95" s="15">
        <v>408984</v>
      </c>
      <c r="G95" s="15">
        <v>138963.94</v>
      </c>
      <c r="H95" s="15">
        <f>P95+G95</f>
        <v>401471.02</v>
      </c>
      <c r="I95" s="15">
        <v>170975</v>
      </c>
      <c r="J95" s="15">
        <v>190770</v>
      </c>
      <c r="K95" s="15">
        <f t="shared" si="1"/>
        <v>7512.9799999999814</v>
      </c>
      <c r="L95" s="17"/>
      <c r="M95" s="17"/>
      <c r="N95" s="303">
        <f t="shared" si="24"/>
        <v>7512.9799999999814</v>
      </c>
      <c r="O95" s="342">
        <f>H95/F95*100</f>
        <v>98.163013712027862</v>
      </c>
      <c r="P95" s="26">
        <v>262507.08</v>
      </c>
    </row>
    <row r="96" spans="1:16" ht="21.75" customHeight="1">
      <c r="A96" s="811">
        <v>394</v>
      </c>
      <c r="B96" s="15" t="s">
        <v>579</v>
      </c>
      <c r="C96" s="15"/>
      <c r="D96" s="16"/>
      <c r="E96" s="15">
        <v>29065</v>
      </c>
      <c r="F96" s="15">
        <v>29065</v>
      </c>
      <c r="G96" s="15">
        <v>24585</v>
      </c>
      <c r="H96" s="15">
        <f>P96+G96</f>
        <v>29054.39</v>
      </c>
      <c r="I96" s="15"/>
      <c r="J96" s="15"/>
      <c r="K96" s="15">
        <f t="shared" si="1"/>
        <v>10.610000000000582</v>
      </c>
      <c r="L96" s="17"/>
      <c r="M96" s="17"/>
      <c r="N96" s="303">
        <f t="shared" si="24"/>
        <v>10.610000000000582</v>
      </c>
      <c r="O96" s="342">
        <f t="shared" si="23"/>
        <v>99.963495613280571</v>
      </c>
      <c r="P96" s="26">
        <v>4469.3900000000003</v>
      </c>
    </row>
    <row r="97" spans="1:16" ht="21.75" customHeight="1">
      <c r="A97" s="811">
        <v>396</v>
      </c>
      <c r="B97" s="162" t="s">
        <v>603</v>
      </c>
      <c r="C97" s="15"/>
      <c r="D97" s="16"/>
      <c r="E97" s="15">
        <v>2564</v>
      </c>
      <c r="F97" s="15">
        <v>2564</v>
      </c>
      <c r="G97" s="15"/>
      <c r="H97" s="15">
        <f t="shared" ref="H97:H99" si="25">P97+G97</f>
        <v>2361.92</v>
      </c>
      <c r="I97" s="15"/>
      <c r="J97" s="15">
        <v>2361.92</v>
      </c>
      <c r="K97" s="15">
        <f t="shared" si="1"/>
        <v>202.07999999999993</v>
      </c>
      <c r="L97" s="17"/>
      <c r="M97" s="17"/>
      <c r="N97" s="303">
        <f t="shared" si="24"/>
        <v>202.07999999999993</v>
      </c>
      <c r="O97" s="342">
        <f t="shared" si="23"/>
        <v>92.118564742589697</v>
      </c>
      <c r="P97" s="26">
        <v>2361.92</v>
      </c>
    </row>
    <row r="98" spans="1:16" ht="21.75" customHeight="1">
      <c r="A98" s="811">
        <v>398</v>
      </c>
      <c r="B98" s="15" t="s">
        <v>579</v>
      </c>
      <c r="C98" s="15"/>
      <c r="D98" s="16"/>
      <c r="E98" s="15">
        <v>66867</v>
      </c>
      <c r="F98" s="15">
        <v>66867</v>
      </c>
      <c r="G98" s="15"/>
      <c r="H98" s="15">
        <f t="shared" si="25"/>
        <v>66866.44</v>
      </c>
      <c r="I98" s="15"/>
      <c r="J98" s="15">
        <v>66866.44</v>
      </c>
      <c r="K98" s="15">
        <f t="shared" si="1"/>
        <v>0.55999999999767169</v>
      </c>
      <c r="L98" s="17"/>
      <c r="M98" s="17"/>
      <c r="N98" s="303">
        <f t="shared" si="24"/>
        <v>0.55999999999767169</v>
      </c>
      <c r="O98" s="342">
        <f t="shared" si="23"/>
        <v>99.999162516637512</v>
      </c>
      <c r="P98" s="26">
        <v>66866.44</v>
      </c>
    </row>
    <row r="99" spans="1:16" ht="21.75" customHeight="1">
      <c r="A99" s="811">
        <v>399</v>
      </c>
      <c r="B99" s="15" t="s">
        <v>580</v>
      </c>
      <c r="C99" s="15"/>
      <c r="D99" s="16"/>
      <c r="E99" s="15">
        <v>25473</v>
      </c>
      <c r="F99" s="15">
        <v>25473</v>
      </c>
      <c r="G99" s="15"/>
      <c r="H99" s="15">
        <f t="shared" si="25"/>
        <v>25472.23</v>
      </c>
      <c r="I99" s="15">
        <v>8439.82</v>
      </c>
      <c r="J99" s="15">
        <v>18851.189999999999</v>
      </c>
      <c r="K99" s="15">
        <f>F99-H99</f>
        <v>0.77000000000043656</v>
      </c>
      <c r="L99" s="17"/>
      <c r="M99" s="17"/>
      <c r="N99" s="303">
        <f>E99-H99</f>
        <v>0.77000000000043656</v>
      </c>
      <c r="O99" s="342">
        <f t="shared" si="23"/>
        <v>99.996977191536132</v>
      </c>
      <c r="P99" s="26">
        <v>25472.23</v>
      </c>
    </row>
    <row r="100" spans="1:16" ht="18" customHeight="1">
      <c r="A100" s="805">
        <v>5</v>
      </c>
      <c r="B100" s="11" t="s">
        <v>510</v>
      </c>
      <c r="C100" s="11">
        <f>C101+C103</f>
        <v>3714182</v>
      </c>
      <c r="D100" s="11">
        <f>D101</f>
        <v>0</v>
      </c>
      <c r="E100" s="11">
        <f>E101+E103+E105</f>
        <v>3719669</v>
      </c>
      <c r="F100" s="11">
        <f>F101+F103+F105</f>
        <v>3225669</v>
      </c>
      <c r="G100" s="11">
        <f>G101+G103+G105</f>
        <v>2472985.7000000002</v>
      </c>
      <c r="H100" s="11">
        <f>H101+H103+H105</f>
        <v>2546270</v>
      </c>
      <c r="I100" s="11">
        <f>I101+I105</f>
        <v>149853.51</v>
      </c>
      <c r="J100" s="11">
        <f>SUM(J101)</f>
        <v>0</v>
      </c>
      <c r="K100" s="11">
        <f>K101+K103</f>
        <v>584656.43999999994</v>
      </c>
      <c r="L100" s="11" t="e">
        <f>+#REF!+L101</f>
        <v>#REF!</v>
      </c>
      <c r="M100" s="11" t="e">
        <f>+#REF!*100/#REF!</f>
        <v>#REF!</v>
      </c>
      <c r="N100" s="304">
        <f t="shared" si="2"/>
        <v>1173399</v>
      </c>
      <c r="O100" s="341">
        <f>H100/F100*100</f>
        <v>78.937733536826002</v>
      </c>
      <c r="P100" s="26">
        <v>73284.3</v>
      </c>
    </row>
    <row r="101" spans="1:16" ht="18" customHeight="1">
      <c r="A101" s="807">
        <v>510</v>
      </c>
      <c r="B101" s="13" t="s">
        <v>511</v>
      </c>
      <c r="C101" s="13">
        <f>C102</f>
        <v>3384182</v>
      </c>
      <c r="D101" s="13"/>
      <c r="E101" s="13">
        <f t="shared" ref="E101:K101" si="26">E102</f>
        <v>1937022</v>
      </c>
      <c r="F101" s="13">
        <f t="shared" si="26"/>
        <v>1707022</v>
      </c>
      <c r="G101" s="13">
        <f t="shared" si="26"/>
        <v>1115081.26</v>
      </c>
      <c r="H101" s="13">
        <f>P101+G101</f>
        <v>1188365.56</v>
      </c>
      <c r="I101" s="13">
        <f t="shared" si="26"/>
        <v>116087.42</v>
      </c>
      <c r="J101" s="13">
        <f t="shared" si="26"/>
        <v>0</v>
      </c>
      <c r="K101" s="13">
        <f t="shared" si="26"/>
        <v>518656.43999999994</v>
      </c>
      <c r="L101" s="13" t="e">
        <f>+#REF!+L107</f>
        <v>#REF!</v>
      </c>
      <c r="M101" s="13" t="e">
        <f>+#REF!*100/#REF!</f>
        <v>#REF!</v>
      </c>
      <c r="N101" s="232">
        <f>N102</f>
        <v>748656.44</v>
      </c>
      <c r="O101" s="373">
        <f>H101/F101*100</f>
        <v>69.616300199997426</v>
      </c>
      <c r="P101" s="26">
        <v>73284.3</v>
      </c>
    </row>
    <row r="102" spans="1:16" ht="19.5" customHeight="1">
      <c r="A102" s="811">
        <v>512</v>
      </c>
      <c r="B102" s="15" t="s">
        <v>581</v>
      </c>
      <c r="C102" s="15">
        <v>3384182</v>
      </c>
      <c r="D102" s="16"/>
      <c r="E102" s="15">
        <v>1937022</v>
      </c>
      <c r="F102" s="15">
        <v>1707022</v>
      </c>
      <c r="G102" s="15">
        <v>1115081.26</v>
      </c>
      <c r="H102" s="15">
        <f>P102+G102</f>
        <v>1188365.56</v>
      </c>
      <c r="I102" s="15">
        <v>116087.42</v>
      </c>
      <c r="J102" s="15"/>
      <c r="K102" s="15">
        <f>F102-H102</f>
        <v>518656.43999999994</v>
      </c>
      <c r="L102" s="17"/>
      <c r="M102" s="17"/>
      <c r="N102" s="15">
        <f>E102-H102</f>
        <v>748656.44</v>
      </c>
      <c r="O102" s="342">
        <f t="shared" ref="O102:O115" si="27">H102/F102*100</f>
        <v>69.616300199997426</v>
      </c>
      <c r="P102" s="26">
        <v>73284.3</v>
      </c>
    </row>
    <row r="103" spans="1:16" ht="19.5" customHeight="1">
      <c r="A103" s="807">
        <v>560</v>
      </c>
      <c r="B103" s="13" t="s">
        <v>582</v>
      </c>
      <c r="C103" s="13">
        <f>C104</f>
        <v>330000</v>
      </c>
      <c r="D103" s="16"/>
      <c r="E103" s="13">
        <f>E104</f>
        <v>330000</v>
      </c>
      <c r="F103" s="13">
        <f>F104</f>
        <v>66000</v>
      </c>
      <c r="G103" s="16"/>
      <c r="H103" s="13">
        <f>H104</f>
        <v>0</v>
      </c>
      <c r="I103" s="16"/>
      <c r="J103" s="16"/>
      <c r="K103" s="13">
        <f>K104</f>
        <v>66000</v>
      </c>
      <c r="L103" s="17"/>
      <c r="M103" s="17"/>
      <c r="N103" s="13">
        <f>N104</f>
        <v>330000</v>
      </c>
      <c r="O103" s="342">
        <f t="shared" si="27"/>
        <v>0</v>
      </c>
      <c r="P103" s="26">
        <v>0</v>
      </c>
    </row>
    <row r="104" spans="1:16" ht="18" customHeight="1">
      <c r="A104" s="811">
        <v>562</v>
      </c>
      <c r="B104" s="15" t="s">
        <v>583</v>
      </c>
      <c r="C104" s="15">
        <v>330000</v>
      </c>
      <c r="D104" s="16"/>
      <c r="E104" s="15">
        <v>330000</v>
      </c>
      <c r="F104" s="15">
        <v>66000</v>
      </c>
      <c r="G104" s="16"/>
      <c r="H104" s="15"/>
      <c r="I104" s="16"/>
      <c r="J104" s="16"/>
      <c r="K104" s="15">
        <f>F104-H104</f>
        <v>66000</v>
      </c>
      <c r="L104" s="17"/>
      <c r="M104" s="17"/>
      <c r="N104" s="15">
        <f>E104-H104</f>
        <v>330000</v>
      </c>
      <c r="O104" s="342">
        <f t="shared" si="27"/>
        <v>0</v>
      </c>
    </row>
    <row r="105" spans="1:16" ht="18.75" customHeight="1">
      <c r="A105" s="807">
        <v>590</v>
      </c>
      <c r="B105" s="13" t="s">
        <v>584</v>
      </c>
      <c r="C105" s="16"/>
      <c r="D105" s="16"/>
      <c r="E105" s="13">
        <f>E115</f>
        <v>1452647</v>
      </c>
      <c r="F105" s="13">
        <f>F115</f>
        <v>1452647</v>
      </c>
      <c r="G105" s="13">
        <f>G115</f>
        <v>1357904.44</v>
      </c>
      <c r="H105" s="13">
        <f>H115</f>
        <v>1357904.44</v>
      </c>
      <c r="I105" s="13">
        <f>I115</f>
        <v>33766.089999999997</v>
      </c>
      <c r="J105" s="17"/>
      <c r="K105" s="13">
        <f>F105-H105</f>
        <v>94742.560000000056</v>
      </c>
      <c r="L105" s="17"/>
      <c r="M105" s="17"/>
      <c r="N105" s="307"/>
      <c r="O105" s="373">
        <f t="shared" si="27"/>
        <v>93.477936484224998</v>
      </c>
      <c r="P105" s="26">
        <v>94741.3</v>
      </c>
    </row>
    <row r="106" spans="1:16" ht="5.25" hidden="1" customHeight="1">
      <c r="A106" s="811">
        <v>592</v>
      </c>
      <c r="B106" s="15" t="s">
        <v>585</v>
      </c>
      <c r="C106" s="16"/>
      <c r="D106" s="16"/>
      <c r="E106" s="15">
        <v>94742</v>
      </c>
      <c r="F106" s="15">
        <v>94742</v>
      </c>
      <c r="G106" s="16"/>
      <c r="H106" s="15">
        <f>P106+G106</f>
        <v>94741.3</v>
      </c>
      <c r="I106" s="15">
        <v>94741.3</v>
      </c>
      <c r="J106" s="16"/>
      <c r="K106" s="15">
        <f>F106-H106</f>
        <v>0.69999999999708962</v>
      </c>
      <c r="L106" s="17"/>
      <c r="M106" s="17"/>
      <c r="N106" s="307"/>
      <c r="O106" s="342">
        <f t="shared" si="27"/>
        <v>99.999261151337322</v>
      </c>
      <c r="P106" s="26">
        <v>94741.3</v>
      </c>
    </row>
    <row r="107" spans="1:16" ht="11.25" hidden="1" customHeight="1">
      <c r="A107" s="805" t="s">
        <v>423</v>
      </c>
      <c r="B107" s="10" t="s">
        <v>512</v>
      </c>
      <c r="C107" s="11">
        <f>SUM(C109:C114)</f>
        <v>0</v>
      </c>
      <c r="D107" s="11">
        <f>SUM(D109:D114)</f>
        <v>0</v>
      </c>
      <c r="E107" s="11">
        <f>E109+E114</f>
        <v>2853000</v>
      </c>
      <c r="F107" s="11">
        <f>F109+F114</f>
        <v>2853000</v>
      </c>
      <c r="G107" s="11">
        <f>SUM(G108:G114)</f>
        <v>0</v>
      </c>
      <c r="H107" s="11">
        <f>SUM(H108:H114)</f>
        <v>1357904.44</v>
      </c>
      <c r="I107" s="11">
        <f>SUM(I108:I114)</f>
        <v>2700000</v>
      </c>
      <c r="J107" s="11">
        <f>SUM(J109)</f>
        <v>0</v>
      </c>
      <c r="K107" s="11">
        <f t="shared" si="1"/>
        <v>1495095.56</v>
      </c>
      <c r="L107" s="11">
        <f>+L108+L114</f>
        <v>0</v>
      </c>
      <c r="M107" s="11" t="e">
        <f>+#REF!*100/#REF!</f>
        <v>#REF!</v>
      </c>
      <c r="N107" s="304">
        <f t="shared" si="2"/>
        <v>1495095.56</v>
      </c>
      <c r="O107" s="342">
        <f t="shared" si="27"/>
        <v>47.595669120224322</v>
      </c>
      <c r="P107" s="26">
        <v>2700000</v>
      </c>
    </row>
    <row r="108" spans="1:16" ht="7.5" hidden="1" customHeight="1">
      <c r="A108" s="811" t="s">
        <v>429</v>
      </c>
      <c r="B108" s="15" t="s">
        <v>279</v>
      </c>
      <c r="C108" s="15" t="s">
        <v>12</v>
      </c>
      <c r="D108" s="15"/>
      <c r="E108" s="15">
        <f>SUM(C108:C108)</f>
        <v>0</v>
      </c>
      <c r="F108" s="15" t="s">
        <v>12</v>
      </c>
      <c r="G108" s="15"/>
      <c r="H108" s="15"/>
      <c r="I108" s="15"/>
      <c r="J108" s="15"/>
      <c r="K108" s="15" t="s">
        <v>12</v>
      </c>
      <c r="L108" s="15">
        <f>+L109+L116</f>
        <v>0</v>
      </c>
      <c r="M108" s="15" t="e">
        <f>+#REF!*100/#REF!</f>
        <v>#REF!</v>
      </c>
      <c r="N108" s="303">
        <f t="shared" si="2"/>
        <v>0</v>
      </c>
      <c r="O108" s="342" t="e">
        <f t="shared" si="27"/>
        <v>#VALUE!</v>
      </c>
    </row>
    <row r="109" spans="1:16" ht="11.25" hidden="1" customHeight="1">
      <c r="A109" s="807">
        <v>620</v>
      </c>
      <c r="B109" s="13" t="s">
        <v>513</v>
      </c>
      <c r="C109" s="15"/>
      <c r="D109" s="15"/>
      <c r="E109" s="13">
        <f>E110</f>
        <v>153000</v>
      </c>
      <c r="F109" s="13">
        <f>F110</f>
        <v>153000</v>
      </c>
      <c r="G109" s="15">
        <v>0</v>
      </c>
      <c r="H109" s="15">
        <f>Q109+G109</f>
        <v>0</v>
      </c>
      <c r="I109" s="15"/>
      <c r="J109" s="15" t="s">
        <v>12</v>
      </c>
      <c r="K109" s="15">
        <f t="shared" si="1"/>
        <v>153000</v>
      </c>
      <c r="L109" s="15">
        <f>+L114+L117</f>
        <v>0</v>
      </c>
      <c r="M109" s="15" t="e">
        <f>+#REF!*100/#REF!</f>
        <v>#REF!</v>
      </c>
      <c r="N109" s="303">
        <f t="shared" si="2"/>
        <v>153000</v>
      </c>
      <c r="O109" s="342">
        <f t="shared" si="27"/>
        <v>0</v>
      </c>
      <c r="P109" s="26">
        <v>0</v>
      </c>
    </row>
    <row r="110" spans="1:16" ht="9" hidden="1" customHeight="1">
      <c r="A110" s="811">
        <v>623</v>
      </c>
      <c r="B110" s="15" t="s">
        <v>586</v>
      </c>
      <c r="C110" s="15"/>
      <c r="D110" s="15"/>
      <c r="E110" s="15">
        <v>153000</v>
      </c>
      <c r="F110" s="15">
        <v>153000</v>
      </c>
      <c r="G110" s="15"/>
      <c r="H110" s="15"/>
      <c r="I110" s="15"/>
      <c r="J110" s="15"/>
      <c r="K110" s="15">
        <f t="shared" si="1"/>
        <v>153000</v>
      </c>
      <c r="L110" s="15"/>
      <c r="M110" s="15"/>
      <c r="N110" s="303"/>
      <c r="O110" s="342">
        <f t="shared" si="27"/>
        <v>0</v>
      </c>
    </row>
    <row r="111" spans="1:16" ht="6.75" hidden="1" customHeight="1">
      <c r="A111" s="811">
        <v>624</v>
      </c>
      <c r="B111" s="15" t="s">
        <v>587</v>
      </c>
      <c r="C111" s="15"/>
      <c r="D111" s="15"/>
      <c r="E111" s="15">
        <v>0.71</v>
      </c>
      <c r="F111" s="15">
        <v>0.71</v>
      </c>
      <c r="G111" s="15"/>
      <c r="H111" s="15"/>
      <c r="I111" s="15"/>
      <c r="J111" s="15"/>
      <c r="K111" s="15">
        <f t="shared" si="1"/>
        <v>0.71</v>
      </c>
      <c r="L111" s="15"/>
      <c r="M111" s="15"/>
      <c r="N111" s="303"/>
      <c r="O111" s="342">
        <f t="shared" si="27"/>
        <v>0</v>
      </c>
    </row>
    <row r="112" spans="1:16" ht="11.25" hidden="1" customHeight="1">
      <c r="A112" s="811">
        <v>590</v>
      </c>
      <c r="B112" s="15" t="s">
        <v>584</v>
      </c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303"/>
      <c r="O112" s="342" t="e">
        <f t="shared" si="27"/>
        <v>#DIV/0!</v>
      </c>
    </row>
    <row r="113" spans="1:17" ht="11.25" hidden="1" customHeight="1">
      <c r="A113" s="811">
        <v>592</v>
      </c>
      <c r="B113" s="15" t="s">
        <v>585</v>
      </c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303"/>
      <c r="O113" s="342" t="e">
        <f t="shared" si="27"/>
        <v>#DIV/0!</v>
      </c>
    </row>
    <row r="114" spans="1:17" ht="11.25" hidden="1" customHeight="1">
      <c r="A114" s="807">
        <v>630</v>
      </c>
      <c r="B114" s="13" t="s">
        <v>514</v>
      </c>
      <c r="C114" s="15">
        <v>0</v>
      </c>
      <c r="D114" s="15"/>
      <c r="E114" s="13">
        <v>2700000</v>
      </c>
      <c r="F114" s="15">
        <v>2700000</v>
      </c>
      <c r="G114" s="15"/>
      <c r="H114" s="13">
        <f>H115</f>
        <v>1357904.44</v>
      </c>
      <c r="I114" s="15">
        <v>2700000</v>
      </c>
      <c r="J114" s="15"/>
      <c r="K114" s="15">
        <f t="shared" si="1"/>
        <v>1342095.56</v>
      </c>
      <c r="L114" s="15">
        <f>+L116+L118</f>
        <v>0</v>
      </c>
      <c r="M114" s="15" t="e">
        <f>+#REF!*100/#REF!</f>
        <v>#REF!</v>
      </c>
      <c r="N114" s="303">
        <f t="shared" si="2"/>
        <v>1342095.56</v>
      </c>
      <c r="O114" s="342">
        <f t="shared" si="27"/>
        <v>50.292757037037042</v>
      </c>
      <c r="P114" s="26">
        <v>2700000</v>
      </c>
    </row>
    <row r="115" spans="1:17" ht="13.5" customHeight="1">
      <c r="A115" s="811">
        <v>592</v>
      </c>
      <c r="B115" s="15" t="s">
        <v>585</v>
      </c>
      <c r="C115" s="295"/>
      <c r="D115" s="297"/>
      <c r="E115" s="782">
        <v>1452647</v>
      </c>
      <c r="F115" s="15">
        <v>1452647</v>
      </c>
      <c r="G115" s="15">
        <v>1357904.44</v>
      </c>
      <c r="H115" s="15">
        <f>P115+G115</f>
        <v>1357904.44</v>
      </c>
      <c r="I115" s="15">
        <v>33766.089999999997</v>
      </c>
      <c r="J115" s="15"/>
      <c r="K115" s="15">
        <f t="shared" si="1"/>
        <v>94742.560000000056</v>
      </c>
      <c r="L115" s="15"/>
      <c r="M115" s="15"/>
      <c r="N115" s="303"/>
      <c r="O115" s="342">
        <f t="shared" si="27"/>
        <v>93.477936484224998</v>
      </c>
    </row>
    <row r="116" spans="1:17" ht="22.5" customHeight="1">
      <c r="A116" s="813" t="s">
        <v>12</v>
      </c>
      <c r="B116" s="22" t="s">
        <v>515</v>
      </c>
      <c r="C116" s="23">
        <f>+C107+C100+C70+C43+C20+C9</f>
        <v>46208546</v>
      </c>
      <c r="D116" s="296">
        <f>D107+D100+D70+D43+D20+D9</f>
        <v>0</v>
      </c>
      <c r="E116" s="23">
        <f>E9+E20+E43+E70+E100</f>
        <v>46208546</v>
      </c>
      <c r="F116" s="23">
        <f>F9+F20+F43+F70+F100</f>
        <v>14471139</v>
      </c>
      <c r="G116" s="23">
        <f>G9+G20+G43+G70+G100</f>
        <v>4689824.25</v>
      </c>
      <c r="H116" s="23">
        <f>H9+H20+H43+H70+H100</f>
        <v>5720668.0700000003</v>
      </c>
      <c r="I116" s="23">
        <f>I9+I20+I43+I70+I100</f>
        <v>918290.16</v>
      </c>
      <c r="J116" s="23">
        <f>+J107+J100+J70+J43+J20+J9</f>
        <v>349125.31</v>
      </c>
      <c r="K116" s="23">
        <f t="shared" si="1"/>
        <v>8750470.9299999997</v>
      </c>
      <c r="L116" s="23">
        <f>+L117+L119</f>
        <v>0</v>
      </c>
      <c r="M116" s="23" t="e">
        <f>+#REF!*100/#REF!</f>
        <v>#REF!</v>
      </c>
      <c r="N116" s="309">
        <f>E116-H116</f>
        <v>40487877.93</v>
      </c>
      <c r="O116" s="346">
        <f>H116/F116*100</f>
        <v>39.531567418431955</v>
      </c>
      <c r="P116" s="26">
        <v>1030843.8200000001</v>
      </c>
      <c r="Q116" s="26"/>
    </row>
    <row r="117" spans="1:17" ht="7.5" customHeight="1">
      <c r="A117" s="814"/>
      <c r="B117" s="24"/>
      <c r="C117" s="25"/>
      <c r="E117" s="34"/>
      <c r="F117" s="34"/>
      <c r="G117" s="25"/>
      <c r="H117" s="34"/>
      <c r="I117" s="34"/>
      <c r="J117" s="34"/>
      <c r="K117" s="25"/>
      <c r="L117" s="32"/>
      <c r="M117" s="33"/>
      <c r="N117" s="310"/>
    </row>
    <row r="118" spans="1:17">
      <c r="A118" s="919" t="s">
        <v>43</v>
      </c>
      <c r="B118" s="919"/>
      <c r="F118" s="26" t="s">
        <v>12</v>
      </c>
      <c r="H118" s="26" t="s">
        <v>12</v>
      </c>
      <c r="Q118" s="26"/>
    </row>
    <row r="119" spans="1:17">
      <c r="A119" s="815"/>
      <c r="B119" s="27"/>
    </row>
    <row r="120" spans="1:17">
      <c r="B120" s="28">
        <v>0</v>
      </c>
      <c r="C120" s="29" t="s">
        <v>12</v>
      </c>
      <c r="D120" s="29"/>
    </row>
    <row r="121" spans="1:17">
      <c r="B121" s="35"/>
      <c r="C121" s="36"/>
      <c r="D121" s="36"/>
      <c r="E121" s="36"/>
    </row>
    <row r="122" spans="1:17">
      <c r="B122" s="37"/>
      <c r="C122" s="38"/>
      <c r="D122" s="287"/>
      <c r="E122" s="277"/>
      <c r="F122" s="277"/>
      <c r="G122" s="162"/>
    </row>
    <row r="123" spans="1:17">
      <c r="B123" s="39"/>
      <c r="C123" s="40"/>
      <c r="D123" s="288"/>
      <c r="E123" s="288"/>
      <c r="F123" s="277"/>
      <c r="G123" s="162"/>
    </row>
    <row r="124" spans="1:17">
      <c r="B124" s="37"/>
      <c r="C124" s="28"/>
      <c r="D124" s="289"/>
      <c r="E124" s="277"/>
      <c r="F124" s="277"/>
      <c r="G124" s="162"/>
    </row>
    <row r="125" spans="1:17">
      <c r="B125" s="39"/>
      <c r="C125" s="39"/>
      <c r="D125" s="290"/>
      <c r="E125" s="290"/>
      <c r="F125" s="277"/>
      <c r="G125" s="162"/>
    </row>
    <row r="126" spans="1:17">
      <c r="B126" s="37"/>
      <c r="C126" s="291"/>
      <c r="D126" s="292"/>
      <c r="E126" s="277"/>
      <c r="F126" s="277"/>
      <c r="G126" s="162"/>
    </row>
    <row r="127" spans="1:17">
      <c r="B127" s="39"/>
      <c r="C127" s="40"/>
      <c r="D127" s="288"/>
      <c r="E127" s="288"/>
      <c r="F127" s="277"/>
      <c r="G127" s="162"/>
    </row>
    <row r="128" spans="1:17">
      <c r="B128" s="37"/>
      <c r="C128" s="28"/>
      <c r="D128" s="289"/>
      <c r="E128" s="277"/>
      <c r="F128" s="277"/>
      <c r="G128" s="162"/>
    </row>
    <row r="129" spans="1:7">
      <c r="B129" s="39"/>
      <c r="C129" s="39"/>
      <c r="D129" s="290"/>
      <c r="E129" s="290"/>
      <c r="F129" s="277"/>
      <c r="G129" s="162"/>
    </row>
    <row r="130" spans="1:7">
      <c r="B130" s="37"/>
      <c r="C130" s="291"/>
      <c r="D130" s="292"/>
      <c r="E130" s="277"/>
      <c r="F130" s="277"/>
      <c r="G130" s="162"/>
    </row>
    <row r="131" spans="1:7">
      <c r="B131" s="39"/>
      <c r="C131" s="40"/>
      <c r="D131" s="288"/>
      <c r="E131" s="288"/>
      <c r="F131" s="277"/>
      <c r="G131" s="162"/>
    </row>
    <row r="132" spans="1:7">
      <c r="B132" s="37"/>
      <c r="C132" s="28"/>
      <c r="D132" s="289"/>
      <c r="E132" s="277"/>
      <c r="F132" s="277"/>
      <c r="G132" s="162"/>
    </row>
    <row r="133" spans="1:7">
      <c r="B133" s="39"/>
      <c r="C133" s="39"/>
      <c r="D133" s="290"/>
      <c r="E133" s="290"/>
      <c r="F133" s="277"/>
      <c r="G133" s="162"/>
    </row>
    <row r="134" spans="1:7">
      <c r="B134" s="37"/>
      <c r="C134" s="28"/>
      <c r="D134" s="289"/>
      <c r="E134" s="277"/>
      <c r="F134" s="277"/>
      <c r="G134" s="162"/>
    </row>
    <row r="135" spans="1:7">
      <c r="B135" s="39"/>
      <c r="C135" s="39"/>
      <c r="D135" s="290"/>
      <c r="E135" s="290"/>
      <c r="F135" s="277"/>
      <c r="G135" s="162"/>
    </row>
    <row r="136" spans="1:7">
      <c r="B136" s="37"/>
      <c r="C136" s="28"/>
      <c r="D136" s="289"/>
      <c r="E136" s="277"/>
      <c r="F136" s="277"/>
      <c r="G136" s="162"/>
    </row>
    <row r="137" spans="1:7">
      <c r="B137" s="39"/>
      <c r="C137" s="39"/>
      <c r="D137" s="290"/>
      <c r="E137" s="290"/>
      <c r="F137" s="277"/>
      <c r="G137" s="162"/>
    </row>
    <row r="138" spans="1:7">
      <c r="B138" s="37"/>
      <c r="C138" s="28"/>
      <c r="D138" s="289"/>
      <c r="E138" s="277"/>
      <c r="F138" s="277"/>
      <c r="G138" s="162"/>
    </row>
    <row r="139" spans="1:7">
      <c r="A139" s="920"/>
      <c r="B139" s="27"/>
    </row>
    <row r="140" spans="1:7">
      <c r="A140" s="920"/>
      <c r="B140" s="27"/>
    </row>
    <row r="141" spans="1:7">
      <c r="A141" s="815"/>
      <c r="B141" s="27"/>
    </row>
    <row r="142" spans="1:7">
      <c r="A142" s="815"/>
      <c r="B142" s="27"/>
    </row>
    <row r="143" spans="1:7">
      <c r="A143" s="816"/>
      <c r="B143" s="27"/>
    </row>
    <row r="144" spans="1:7">
      <c r="A144" s="816"/>
      <c r="B144" s="27"/>
    </row>
    <row r="145" spans="1:12">
      <c r="A145" s="816"/>
      <c r="B145" s="27"/>
    </row>
    <row r="146" spans="1:12">
      <c r="A146" s="816"/>
      <c r="B146" s="27"/>
    </row>
    <row r="147" spans="1:12">
      <c r="A147" s="815"/>
      <c r="B147" s="27"/>
    </row>
    <row r="148" spans="1:12">
      <c r="A148" s="815"/>
      <c r="B148" s="293"/>
      <c r="C148" s="286"/>
      <c r="D148" s="286"/>
      <c r="E148" s="662"/>
      <c r="F148" s="662"/>
      <c r="G148" s="286"/>
      <c r="H148" s="662"/>
      <c r="I148" s="662"/>
      <c r="J148" s="662"/>
      <c r="K148" s="286"/>
      <c r="L148" s="294"/>
    </row>
    <row r="149" spans="1:12">
      <c r="A149" s="817"/>
      <c r="B149" s="42"/>
      <c r="C149" s="41"/>
      <c r="D149" s="41"/>
      <c r="E149" s="663"/>
      <c r="F149" s="663"/>
      <c r="G149" s="41"/>
      <c r="H149" s="663"/>
      <c r="I149" s="663"/>
      <c r="J149" s="663"/>
      <c r="K149" s="41"/>
      <c r="L149" s="43"/>
    </row>
    <row r="150" spans="1:12">
      <c r="A150" s="817"/>
      <c r="B150" s="42"/>
      <c r="C150" s="41"/>
      <c r="D150" s="41"/>
      <c r="E150" s="663"/>
      <c r="F150" s="663"/>
      <c r="G150" s="41"/>
      <c r="H150" s="663"/>
      <c r="I150" s="663"/>
      <c r="J150" s="663"/>
      <c r="K150" s="41"/>
      <c r="L150" s="43"/>
    </row>
    <row r="151" spans="1:12">
      <c r="A151" s="817"/>
      <c r="B151" s="42"/>
      <c r="C151" s="41"/>
      <c r="D151" s="41"/>
      <c r="E151" s="663"/>
      <c r="F151" s="663"/>
      <c r="G151" s="41"/>
      <c r="H151" s="663"/>
      <c r="I151" s="663"/>
      <c r="J151" s="663"/>
      <c r="K151" s="41"/>
      <c r="L151" s="43"/>
    </row>
    <row r="152" spans="1:12">
      <c r="A152" s="817"/>
      <c r="B152" s="42"/>
      <c r="C152" s="41"/>
      <c r="D152" s="41"/>
      <c r="E152" s="663"/>
      <c r="F152" s="663"/>
      <c r="G152" s="41"/>
      <c r="H152" s="663"/>
      <c r="I152" s="663"/>
      <c r="J152" s="663"/>
      <c r="K152" s="41"/>
      <c r="L152" s="43"/>
    </row>
    <row r="153" spans="1:12">
      <c r="A153" s="817"/>
      <c r="B153" s="42"/>
      <c r="C153" s="41"/>
      <c r="D153" s="41"/>
      <c r="E153" s="663"/>
      <c r="F153" s="663"/>
      <c r="G153" s="41"/>
      <c r="H153" s="663"/>
      <c r="I153" s="663"/>
      <c r="J153" s="663"/>
      <c r="K153" s="41"/>
      <c r="L153" s="43"/>
    </row>
    <row r="154" spans="1:12">
      <c r="A154" s="817"/>
      <c r="B154" s="42"/>
      <c r="C154" s="41"/>
      <c r="D154" s="41"/>
      <c r="E154" s="663"/>
      <c r="F154" s="663"/>
      <c r="G154" s="41"/>
      <c r="H154" s="663"/>
      <c r="I154" s="663"/>
      <c r="J154" s="663"/>
      <c r="K154" s="41"/>
      <c r="L154" s="43"/>
    </row>
    <row r="155" spans="1:12">
      <c r="A155" s="817"/>
      <c r="B155" s="42"/>
      <c r="C155" s="41"/>
      <c r="D155" s="41"/>
      <c r="E155" s="663"/>
      <c r="F155" s="663"/>
      <c r="G155" s="41"/>
      <c r="H155" s="663"/>
      <c r="I155" s="663"/>
      <c r="J155" s="663"/>
      <c r="K155" s="41"/>
      <c r="L155" s="43"/>
    </row>
    <row r="156" spans="1:12">
      <c r="A156" s="817"/>
      <c r="B156" s="42"/>
      <c r="C156" s="41"/>
      <c r="D156" s="41"/>
      <c r="E156" s="663"/>
      <c r="F156" s="663"/>
      <c r="G156" s="41"/>
      <c r="H156" s="663"/>
      <c r="I156" s="663"/>
      <c r="J156" s="663"/>
      <c r="K156" s="41"/>
      <c r="L156" s="43"/>
    </row>
    <row r="157" spans="1:12">
      <c r="A157" s="817"/>
      <c r="B157" s="42"/>
      <c r="C157" s="41"/>
      <c r="D157" s="41"/>
      <c r="E157" s="663"/>
      <c r="F157" s="663"/>
      <c r="G157" s="41"/>
      <c r="H157" s="663"/>
      <c r="I157" s="663"/>
      <c r="J157" s="663"/>
      <c r="K157" s="41"/>
      <c r="L157" s="43"/>
    </row>
    <row r="158" spans="1:12">
      <c r="A158" s="817"/>
      <c r="B158" s="42"/>
      <c r="C158" s="41"/>
      <c r="D158" s="41"/>
      <c r="E158" s="663"/>
      <c r="F158" s="663"/>
      <c r="G158" s="41"/>
      <c r="H158" s="663"/>
      <c r="I158" s="663"/>
      <c r="J158" s="663"/>
      <c r="K158" s="41"/>
      <c r="L158" s="43"/>
    </row>
    <row r="159" spans="1:12">
      <c r="A159" s="817"/>
      <c r="B159" s="42"/>
      <c r="C159" s="41"/>
      <c r="D159" s="41"/>
      <c r="E159" s="663"/>
      <c r="F159" s="663"/>
      <c r="G159" s="41"/>
      <c r="H159" s="663"/>
      <c r="I159" s="663"/>
      <c r="J159" s="663"/>
      <c r="K159" s="41"/>
      <c r="L159" s="43"/>
    </row>
    <row r="160" spans="1:12">
      <c r="A160" s="817"/>
      <c r="B160" s="42"/>
      <c r="C160" s="41"/>
      <c r="D160" s="41"/>
      <c r="E160" s="663"/>
      <c r="F160" s="663"/>
      <c r="G160" s="41"/>
      <c r="H160" s="663"/>
      <c r="I160" s="663"/>
      <c r="J160" s="663"/>
      <c r="K160" s="41"/>
      <c r="L160" s="43"/>
    </row>
    <row r="161" spans="1:15">
      <c r="A161" s="817"/>
      <c r="B161" s="42"/>
      <c r="C161" s="41"/>
      <c r="D161" s="41"/>
      <c r="E161" s="663"/>
      <c r="F161" s="663"/>
      <c r="G161" s="41"/>
      <c r="H161" s="663"/>
      <c r="I161" s="663"/>
      <c r="J161" s="663"/>
      <c r="K161" s="41"/>
      <c r="L161" s="43"/>
    </row>
    <row r="162" spans="1:15">
      <c r="A162" s="817"/>
      <c r="B162" s="42"/>
      <c r="C162" s="41"/>
      <c r="D162" s="41"/>
      <c r="E162" s="663"/>
      <c r="F162" s="663"/>
      <c r="G162" s="41"/>
      <c r="H162" s="663"/>
      <c r="I162" s="663"/>
      <c r="J162" s="663"/>
      <c r="K162" s="41"/>
      <c r="L162" s="43"/>
    </row>
    <row r="163" spans="1:15">
      <c r="A163" s="817"/>
      <c r="B163" s="42"/>
      <c r="C163" s="41"/>
      <c r="D163" s="41"/>
      <c r="E163" s="663"/>
      <c r="F163" s="663"/>
      <c r="G163" s="41"/>
      <c r="H163" s="663"/>
      <c r="I163" s="663"/>
      <c r="J163" s="663"/>
      <c r="K163" s="41"/>
      <c r="L163" s="43"/>
    </row>
    <row r="164" spans="1:15">
      <c r="A164" s="817"/>
      <c r="B164" s="42"/>
      <c r="C164" s="41"/>
      <c r="D164" s="41"/>
      <c r="E164" s="663"/>
      <c r="F164" s="663"/>
      <c r="G164" s="41"/>
      <c r="H164" s="663"/>
      <c r="I164" s="663"/>
      <c r="J164" s="663"/>
      <c r="K164" s="41"/>
      <c r="L164" s="43"/>
    </row>
    <row r="165" spans="1:15">
      <c r="A165" s="817"/>
      <c r="B165" s="42"/>
      <c r="C165" s="41"/>
      <c r="D165" s="41"/>
      <c r="E165" s="663"/>
      <c r="F165" s="663"/>
      <c r="G165" s="41"/>
      <c r="H165" s="663"/>
      <c r="I165" s="663"/>
      <c r="J165" s="663"/>
      <c r="K165" s="41"/>
      <c r="L165" s="43"/>
    </row>
    <row r="166" spans="1:15">
      <c r="A166" s="817"/>
      <c r="B166" s="42"/>
      <c r="C166" s="41"/>
      <c r="D166" s="41"/>
      <c r="E166" s="663"/>
      <c r="F166" s="663"/>
      <c r="G166" s="41"/>
      <c r="H166" s="663"/>
      <c r="I166" s="663"/>
      <c r="J166" s="663"/>
      <c r="K166" s="41"/>
      <c r="L166" s="43"/>
    </row>
    <row r="167" spans="1:15">
      <c r="A167" s="817"/>
      <c r="B167" s="42"/>
      <c r="C167" s="41"/>
      <c r="D167" s="41"/>
      <c r="E167" s="663"/>
      <c r="F167" s="663"/>
      <c r="G167" s="41"/>
      <c r="H167" s="663"/>
      <c r="I167" s="663"/>
      <c r="J167" s="663"/>
      <c r="K167" s="41"/>
      <c r="L167" s="43"/>
    </row>
    <row r="168" spans="1:15">
      <c r="A168" s="817"/>
      <c r="B168" s="42"/>
      <c r="C168" s="41"/>
      <c r="D168" s="41"/>
      <c r="E168" s="663"/>
      <c r="F168" s="663"/>
      <c r="G168" s="41"/>
      <c r="H168" s="663"/>
      <c r="I168" s="663"/>
      <c r="J168" s="663"/>
      <c r="K168" s="41"/>
      <c r="L168" s="43"/>
    </row>
    <row r="169" spans="1:15">
      <c r="A169" s="817"/>
      <c r="B169" s="42"/>
      <c r="C169" s="41"/>
      <c r="D169" s="41"/>
      <c r="E169" s="663"/>
      <c r="F169" s="663"/>
      <c r="G169" s="41"/>
      <c r="H169" s="663"/>
      <c r="I169" s="663"/>
      <c r="J169" s="663"/>
      <c r="K169" s="41"/>
      <c r="L169" s="43"/>
    </row>
    <row r="170" spans="1:15">
      <c r="A170" s="817"/>
      <c r="B170" s="42"/>
      <c r="C170" s="41"/>
      <c r="D170" s="41"/>
      <c r="E170" s="663"/>
      <c r="F170" s="663"/>
      <c r="G170" s="41"/>
      <c r="H170" s="663"/>
      <c r="I170" s="663"/>
      <c r="J170" s="663"/>
      <c r="K170" s="41"/>
      <c r="L170" s="43"/>
      <c r="M170" s="44"/>
      <c r="N170" s="106" t="s">
        <v>12</v>
      </c>
      <c r="O170" s="347"/>
    </row>
    <row r="171" spans="1:15">
      <c r="A171" s="817"/>
      <c r="B171" s="42"/>
      <c r="C171" s="41"/>
      <c r="D171" s="41"/>
      <c r="E171" s="663"/>
      <c r="F171" s="663"/>
      <c r="G171" s="41"/>
      <c r="H171" s="663"/>
      <c r="I171" s="663"/>
      <c r="J171" s="663"/>
      <c r="K171" s="41"/>
      <c r="L171" s="43"/>
      <c r="M171" s="44"/>
      <c r="N171" s="106" t="s">
        <v>12</v>
      </c>
      <c r="O171" s="347"/>
    </row>
    <row r="172" spans="1:15">
      <c r="A172" s="817"/>
      <c r="B172" s="42"/>
      <c r="C172" s="41"/>
      <c r="D172" s="41"/>
      <c r="E172" s="663"/>
      <c r="F172" s="663"/>
      <c r="G172" s="41"/>
      <c r="H172" s="663"/>
      <c r="I172" s="663"/>
      <c r="J172" s="663"/>
      <c r="K172" s="41"/>
      <c r="L172" s="43"/>
      <c r="M172" s="44"/>
      <c r="N172" s="106" t="s">
        <v>12</v>
      </c>
      <c r="O172" s="347"/>
    </row>
    <row r="173" spans="1:15">
      <c r="A173" s="817"/>
      <c r="B173" s="42"/>
      <c r="C173" s="41"/>
      <c r="D173" s="41"/>
      <c r="E173" s="663"/>
      <c r="F173" s="663"/>
      <c r="G173" s="41"/>
      <c r="H173" s="663"/>
      <c r="I173" s="663"/>
      <c r="J173" s="663"/>
      <c r="K173" s="41"/>
      <c r="L173" s="43"/>
      <c r="M173" s="44"/>
      <c r="N173" s="106" t="s">
        <v>12</v>
      </c>
      <c r="O173" s="347"/>
    </row>
    <row r="174" spans="1:15">
      <c r="A174" s="817"/>
      <c r="B174" s="42"/>
      <c r="C174" s="41"/>
      <c r="D174" s="41"/>
      <c r="E174" s="663"/>
      <c r="F174" s="663"/>
      <c r="G174" s="41"/>
      <c r="H174" s="663"/>
      <c r="I174" s="663"/>
      <c r="J174" s="663"/>
      <c r="K174" s="41"/>
      <c r="L174" s="43"/>
      <c r="M174" s="44"/>
      <c r="N174" s="106" t="s">
        <v>12</v>
      </c>
      <c r="O174" s="347"/>
    </row>
    <row r="175" spans="1:15">
      <c r="A175" s="817"/>
      <c r="B175" s="42"/>
      <c r="C175" s="41"/>
      <c r="D175" s="41"/>
      <c r="E175" s="663"/>
      <c r="F175" s="663"/>
      <c r="G175" s="41"/>
      <c r="H175" s="663"/>
      <c r="I175" s="663"/>
      <c r="J175" s="663"/>
      <c r="K175" s="41"/>
      <c r="L175" s="43"/>
      <c r="M175" s="44"/>
      <c r="N175" s="106" t="s">
        <v>12</v>
      </c>
      <c r="O175" s="347"/>
    </row>
    <row r="176" spans="1:15">
      <c r="A176" s="817"/>
      <c r="B176" s="42"/>
      <c r="C176" s="41"/>
      <c r="D176" s="41"/>
      <c r="E176" s="663"/>
      <c r="F176" s="663"/>
      <c r="G176" s="41"/>
      <c r="H176" s="663"/>
      <c r="I176" s="663"/>
      <c r="J176" s="663"/>
      <c r="K176" s="41"/>
      <c r="L176" s="43"/>
      <c r="M176" s="44"/>
      <c r="N176" s="106" t="s">
        <v>12</v>
      </c>
      <c r="O176" s="347"/>
    </row>
    <row r="177" spans="1:15">
      <c r="A177" s="817"/>
      <c r="B177" s="42"/>
      <c r="C177" s="41"/>
      <c r="D177" s="41"/>
      <c r="E177" s="663"/>
      <c r="F177" s="663"/>
      <c r="G177" s="41"/>
      <c r="H177" s="663"/>
      <c r="I177" s="663"/>
      <c r="J177" s="663"/>
      <c r="K177" s="41"/>
      <c r="L177" s="43"/>
      <c r="M177" s="44"/>
      <c r="N177" s="106" t="s">
        <v>12</v>
      </c>
      <c r="O177" s="347"/>
    </row>
    <row r="178" spans="1:15">
      <c r="A178" s="817"/>
      <c r="B178" s="42"/>
      <c r="C178" s="41"/>
      <c r="D178" s="41"/>
      <c r="E178" s="663"/>
      <c r="F178" s="663"/>
      <c r="G178" s="41"/>
      <c r="H178" s="663"/>
      <c r="I178" s="663"/>
      <c r="J178" s="663"/>
      <c r="K178" s="41"/>
      <c r="L178" s="43"/>
      <c r="M178" s="44"/>
      <c r="N178" s="106" t="s">
        <v>12</v>
      </c>
      <c r="O178" s="347"/>
    </row>
    <row r="179" spans="1:15">
      <c r="A179" s="817"/>
      <c r="B179" s="42"/>
      <c r="C179" s="41"/>
      <c r="D179" s="41"/>
      <c r="E179" s="663"/>
      <c r="F179" s="663"/>
      <c r="G179" s="41"/>
      <c r="H179" s="663"/>
      <c r="I179" s="663"/>
      <c r="J179" s="663"/>
      <c r="K179" s="41"/>
      <c r="L179" s="46"/>
      <c r="M179" s="44"/>
      <c r="N179" s="106" t="s">
        <v>12</v>
      </c>
      <c r="O179" s="347"/>
    </row>
    <row r="180" spans="1:15">
      <c r="A180" s="817"/>
      <c r="B180" s="42"/>
      <c r="C180" s="41"/>
      <c r="D180" s="41"/>
      <c r="E180" s="663"/>
      <c r="F180" s="663"/>
      <c r="G180" s="41"/>
      <c r="H180" s="663"/>
      <c r="I180" s="663"/>
      <c r="J180" s="663"/>
      <c r="K180" s="41"/>
      <c r="L180" s="46"/>
      <c r="M180" s="44"/>
      <c r="N180" s="106" t="s">
        <v>12</v>
      </c>
      <c r="O180" s="347"/>
    </row>
    <row r="181" spans="1:15">
      <c r="A181" s="817"/>
      <c r="B181" s="42"/>
      <c r="C181" s="41"/>
      <c r="D181" s="41"/>
      <c r="E181" s="663"/>
      <c r="F181" s="663"/>
      <c r="G181" s="41"/>
      <c r="H181" s="663"/>
      <c r="I181" s="663"/>
      <c r="J181" s="663"/>
      <c r="K181" s="41"/>
      <c r="L181" s="46"/>
      <c r="M181" s="44"/>
      <c r="N181" s="106" t="s">
        <v>12</v>
      </c>
      <c r="O181" s="347"/>
    </row>
    <row r="182" spans="1:15">
      <c r="A182" s="817"/>
      <c r="B182" s="42"/>
      <c r="C182" s="41"/>
      <c r="D182" s="41"/>
      <c r="E182" s="663"/>
      <c r="F182" s="663"/>
      <c r="G182" s="41"/>
      <c r="H182" s="663"/>
      <c r="I182" s="663"/>
      <c r="J182" s="663"/>
      <c r="K182" s="41"/>
      <c r="L182" s="46"/>
      <c r="M182" s="44"/>
      <c r="N182" s="106" t="s">
        <v>12</v>
      </c>
      <c r="O182" s="347"/>
    </row>
    <row r="183" spans="1:15">
      <c r="A183" s="817"/>
      <c r="B183" s="42"/>
      <c r="C183" s="41"/>
      <c r="D183" s="41"/>
      <c r="E183" s="663"/>
      <c r="F183" s="663"/>
      <c r="G183" s="41"/>
      <c r="H183" s="663"/>
      <c r="I183" s="663"/>
      <c r="J183" s="663"/>
      <c r="K183" s="41"/>
      <c r="L183" s="46"/>
      <c r="M183" s="44"/>
      <c r="N183" s="106" t="s">
        <v>12</v>
      </c>
      <c r="O183" s="347"/>
    </row>
    <row r="184" spans="1:15">
      <c r="A184" s="817"/>
      <c r="B184" s="42"/>
      <c r="C184" s="41"/>
      <c r="D184" s="41"/>
      <c r="E184" s="663"/>
      <c r="F184" s="663"/>
      <c r="G184" s="41"/>
      <c r="H184" s="663"/>
      <c r="I184" s="663"/>
      <c r="J184" s="663"/>
      <c r="K184" s="41"/>
      <c r="L184" s="46"/>
      <c r="M184" s="44"/>
      <c r="N184" s="106" t="s">
        <v>12</v>
      </c>
      <c r="O184" s="347"/>
    </row>
    <row r="185" spans="1:15">
      <c r="A185" s="817"/>
      <c r="B185" s="42"/>
      <c r="C185" s="41"/>
      <c r="D185" s="41"/>
      <c r="E185" s="663"/>
      <c r="F185" s="663"/>
      <c r="G185" s="41"/>
      <c r="H185" s="663"/>
      <c r="I185" s="663"/>
      <c r="J185" s="663"/>
      <c r="K185" s="41"/>
      <c r="L185" s="46"/>
      <c r="M185" s="44"/>
      <c r="N185" s="106" t="s">
        <v>12</v>
      </c>
      <c r="O185" s="347"/>
    </row>
    <row r="186" spans="1:15">
      <c r="B186" s="27"/>
      <c r="L186" s="45"/>
      <c r="M186" s="47"/>
      <c r="N186" s="106" t="s">
        <v>12</v>
      </c>
      <c r="O186" s="347"/>
    </row>
    <row r="187" spans="1:15">
      <c r="B187" s="27"/>
      <c r="L187" s="45"/>
      <c r="M187" s="47"/>
      <c r="N187" s="106" t="s">
        <v>12</v>
      </c>
      <c r="O187" s="347"/>
    </row>
    <row r="188" spans="1:15">
      <c r="B188" s="27"/>
      <c r="L188" s="45"/>
      <c r="M188" s="47"/>
      <c r="N188" s="106" t="s">
        <v>12</v>
      </c>
      <c r="O188" s="347"/>
    </row>
    <row r="189" spans="1:15">
      <c r="B189" s="27"/>
      <c r="L189" s="45"/>
      <c r="M189" s="47"/>
      <c r="N189" s="106" t="s">
        <v>12</v>
      </c>
      <c r="O189" s="347"/>
    </row>
    <row r="190" spans="1:15">
      <c r="B190" s="27"/>
      <c r="L190" s="45"/>
      <c r="M190" s="47"/>
      <c r="N190" s="106" t="s">
        <v>12</v>
      </c>
      <c r="O190" s="347"/>
    </row>
    <row r="191" spans="1:15">
      <c r="B191" s="27"/>
      <c r="L191" s="45"/>
      <c r="M191" s="47"/>
      <c r="N191" s="106" t="s">
        <v>12</v>
      </c>
      <c r="O191" s="347"/>
    </row>
    <row r="192" spans="1:15">
      <c r="B192" s="27"/>
      <c r="L192" s="45"/>
      <c r="M192" s="47"/>
      <c r="N192" s="106" t="s">
        <v>12</v>
      </c>
      <c r="O192" s="347"/>
    </row>
    <row r="193" spans="2:15">
      <c r="B193" s="27"/>
      <c r="L193" s="45"/>
      <c r="M193" s="47"/>
      <c r="N193" s="106" t="s">
        <v>12</v>
      </c>
      <c r="O193" s="347"/>
    </row>
    <row r="194" spans="2:15">
      <c r="B194" s="27"/>
      <c r="L194" s="45"/>
      <c r="M194" s="47"/>
      <c r="N194" s="106" t="s">
        <v>12</v>
      </c>
      <c r="O194" s="347"/>
    </row>
    <row r="195" spans="2:15">
      <c r="B195" s="27"/>
      <c r="L195" s="45"/>
      <c r="M195" s="47"/>
      <c r="N195" s="106" t="s">
        <v>12</v>
      </c>
      <c r="O195" s="347"/>
    </row>
    <row r="196" spans="2:15">
      <c r="B196" s="27"/>
      <c r="L196" s="45"/>
      <c r="M196" s="47"/>
      <c r="N196" s="106" t="s">
        <v>12</v>
      </c>
      <c r="O196" s="347"/>
    </row>
    <row r="197" spans="2:15">
      <c r="B197" s="27"/>
      <c r="L197" s="45"/>
      <c r="M197" s="47"/>
      <c r="N197" s="106" t="s">
        <v>12</v>
      </c>
      <c r="O197" s="347"/>
    </row>
    <row r="198" spans="2:15">
      <c r="B198" s="27"/>
      <c r="L198" s="45"/>
      <c r="M198" s="47"/>
      <c r="N198" s="106" t="s">
        <v>12</v>
      </c>
      <c r="O198" s="347"/>
    </row>
    <row r="199" spans="2:15">
      <c r="B199" s="27"/>
      <c r="L199" s="45"/>
      <c r="M199" s="47"/>
      <c r="N199" s="106" t="s">
        <v>12</v>
      </c>
      <c r="O199" s="347"/>
    </row>
    <row r="200" spans="2:15">
      <c r="B200" s="27"/>
      <c r="L200" s="45"/>
      <c r="M200" s="47"/>
      <c r="N200" s="106" t="s">
        <v>12</v>
      </c>
      <c r="O200" s="347"/>
    </row>
    <row r="201" spans="2:15">
      <c r="B201" s="27"/>
      <c r="L201" s="45"/>
      <c r="M201" s="47"/>
      <c r="N201" s="106" t="s">
        <v>12</v>
      </c>
      <c r="O201" s="347"/>
    </row>
    <row r="202" spans="2:15">
      <c r="B202" s="27"/>
      <c r="L202" s="45"/>
      <c r="M202" s="47"/>
      <c r="N202" s="106" t="s">
        <v>12</v>
      </c>
      <c r="O202" s="347"/>
    </row>
    <row r="203" spans="2:15">
      <c r="B203" s="27"/>
      <c r="L203" s="45"/>
      <c r="M203" s="47"/>
      <c r="N203" s="106" t="s">
        <v>12</v>
      </c>
      <c r="O203" s="347"/>
    </row>
    <row r="204" spans="2:15">
      <c r="B204" s="27"/>
      <c r="L204" s="45"/>
      <c r="M204" s="47"/>
      <c r="N204" s="106" t="s">
        <v>12</v>
      </c>
      <c r="O204" s="347"/>
    </row>
    <row r="205" spans="2:15">
      <c r="B205" s="27"/>
      <c r="L205" s="45"/>
      <c r="M205" s="47"/>
      <c r="N205" s="106" t="s">
        <v>12</v>
      </c>
      <c r="O205" s="348"/>
    </row>
    <row r="206" spans="2:15">
      <c r="B206" s="27"/>
      <c r="L206" s="45"/>
      <c r="M206" s="47"/>
      <c r="N206" s="106" t="s">
        <v>12</v>
      </c>
      <c r="O206" s="348"/>
    </row>
    <row r="207" spans="2:15">
      <c r="B207" s="27"/>
      <c r="L207" s="45"/>
      <c r="M207" s="47"/>
      <c r="N207" s="106" t="s">
        <v>12</v>
      </c>
      <c r="O207" s="348"/>
    </row>
    <row r="208" spans="2:15">
      <c r="B208" s="27"/>
      <c r="L208" s="45"/>
      <c r="M208" s="47"/>
      <c r="N208" s="106" t="s">
        <v>12</v>
      </c>
      <c r="O208" s="348"/>
    </row>
    <row r="209" spans="2:15">
      <c r="B209" s="27"/>
      <c r="L209" s="45"/>
      <c r="M209" s="47"/>
      <c r="N209" s="106" t="s">
        <v>12</v>
      </c>
      <c r="O209" s="348"/>
    </row>
    <row r="210" spans="2:15">
      <c r="B210" s="27"/>
      <c r="L210" s="45"/>
      <c r="M210" s="47"/>
      <c r="N210" s="106" t="s">
        <v>12</v>
      </c>
      <c r="O210" s="348"/>
    </row>
    <row r="211" spans="2:15">
      <c r="B211" s="27"/>
      <c r="L211" s="45"/>
      <c r="M211" s="47"/>
      <c r="N211" s="106" t="s">
        <v>12</v>
      </c>
      <c r="O211" s="348"/>
    </row>
    <row r="212" spans="2:15">
      <c r="B212" s="27"/>
      <c r="L212" s="45"/>
      <c r="M212" s="47"/>
      <c r="N212" s="106" t="s">
        <v>12</v>
      </c>
      <c r="O212" s="348"/>
    </row>
    <row r="213" spans="2:15">
      <c r="B213" s="27"/>
      <c r="L213" s="45"/>
      <c r="M213" s="47"/>
      <c r="N213" s="106" t="s">
        <v>12</v>
      </c>
      <c r="O213" s="348"/>
    </row>
    <row r="214" spans="2:15">
      <c r="B214" s="27"/>
      <c r="L214" s="45"/>
      <c r="M214" s="47"/>
      <c r="N214" s="106" t="s">
        <v>12</v>
      </c>
      <c r="O214" s="348"/>
    </row>
    <row r="215" spans="2:15">
      <c r="B215" s="27"/>
      <c r="L215" s="45"/>
      <c r="M215" s="47"/>
      <c r="N215" s="106" t="s">
        <v>12</v>
      </c>
      <c r="O215" s="348"/>
    </row>
    <row r="216" spans="2:15">
      <c r="B216" s="27"/>
      <c r="L216" s="45"/>
      <c r="M216" s="47"/>
      <c r="N216" s="106" t="s">
        <v>12</v>
      </c>
      <c r="O216" s="348"/>
    </row>
    <row r="217" spans="2:15">
      <c r="B217" s="27"/>
      <c r="L217" s="45"/>
      <c r="M217" s="47"/>
      <c r="N217" s="106" t="s">
        <v>12</v>
      </c>
      <c r="O217" s="348"/>
    </row>
    <row r="218" spans="2:15">
      <c r="B218" s="27"/>
      <c r="L218" s="45"/>
      <c r="M218" s="47"/>
      <c r="N218" s="106" t="s">
        <v>12</v>
      </c>
      <c r="O218" s="348"/>
    </row>
    <row r="219" spans="2:15">
      <c r="B219" s="27"/>
      <c r="L219" s="45"/>
      <c r="M219" s="47"/>
      <c r="N219" s="106" t="s">
        <v>12</v>
      </c>
      <c r="O219" s="348"/>
    </row>
    <row r="220" spans="2:15">
      <c r="B220" s="27"/>
      <c r="L220" s="45"/>
      <c r="M220" s="47"/>
      <c r="N220" s="106" t="s">
        <v>12</v>
      </c>
      <c r="O220" s="348"/>
    </row>
    <row r="221" spans="2:15">
      <c r="B221" s="27"/>
      <c r="L221" s="45"/>
      <c r="M221" s="47"/>
      <c r="N221" s="106" t="s">
        <v>12</v>
      </c>
      <c r="O221" s="348"/>
    </row>
    <row r="222" spans="2:15">
      <c r="B222" s="27"/>
      <c r="L222" s="45"/>
      <c r="M222" s="47"/>
      <c r="N222" s="106" t="s">
        <v>12</v>
      </c>
      <c r="O222" s="348"/>
    </row>
    <row r="223" spans="2:15">
      <c r="B223" s="27"/>
      <c r="L223" s="45"/>
      <c r="M223" s="47"/>
      <c r="N223" s="106" t="s">
        <v>12</v>
      </c>
      <c r="O223" s="348"/>
    </row>
    <row r="224" spans="2:15">
      <c r="B224" s="27"/>
      <c r="L224" s="45"/>
      <c r="M224" s="47"/>
      <c r="N224" s="106" t="s">
        <v>12</v>
      </c>
      <c r="O224" s="348"/>
    </row>
    <row r="225" spans="2:15">
      <c r="B225" s="27"/>
      <c r="L225" s="45"/>
      <c r="M225" s="47"/>
      <c r="N225" s="106" t="s">
        <v>12</v>
      </c>
      <c r="O225" s="348"/>
    </row>
    <row r="226" spans="2:15">
      <c r="B226" s="27"/>
      <c r="L226" s="45"/>
      <c r="M226" s="47"/>
      <c r="N226" s="106" t="s">
        <v>12</v>
      </c>
      <c r="O226" s="348"/>
    </row>
    <row r="227" spans="2:15">
      <c r="B227" s="27"/>
      <c r="L227" s="45"/>
      <c r="M227" s="47"/>
      <c r="N227" s="106" t="s">
        <v>12</v>
      </c>
      <c r="O227" s="348"/>
    </row>
    <row r="228" spans="2:15">
      <c r="B228" s="27"/>
      <c r="L228" s="45"/>
      <c r="M228" s="47"/>
      <c r="N228" s="106" t="s">
        <v>12</v>
      </c>
      <c r="O228" s="348"/>
    </row>
    <row r="229" spans="2:15">
      <c r="B229" s="27"/>
      <c r="L229" s="45"/>
      <c r="M229" s="47"/>
      <c r="N229" s="106" t="s">
        <v>12</v>
      </c>
      <c r="O229" s="348"/>
    </row>
    <row r="230" spans="2:15">
      <c r="B230" s="27"/>
      <c r="L230" s="45"/>
      <c r="M230" s="47"/>
      <c r="N230" s="106" t="s">
        <v>12</v>
      </c>
      <c r="O230" s="348"/>
    </row>
    <row r="231" spans="2:15">
      <c r="B231" s="27"/>
      <c r="L231" s="45"/>
      <c r="M231" s="47"/>
      <c r="N231" s="106" t="s">
        <v>12</v>
      </c>
      <c r="O231" s="348"/>
    </row>
    <row r="232" spans="2:15">
      <c r="B232" s="27"/>
      <c r="L232" s="45"/>
      <c r="M232" s="47"/>
      <c r="N232" s="106" t="s">
        <v>12</v>
      </c>
      <c r="O232" s="348"/>
    </row>
    <row r="233" spans="2:15">
      <c r="B233" s="27"/>
      <c r="L233" s="45"/>
      <c r="M233" s="47"/>
      <c r="N233" s="106" t="s">
        <v>12</v>
      </c>
      <c r="O233" s="348"/>
    </row>
    <row r="234" spans="2:15">
      <c r="B234" s="27"/>
      <c r="L234" s="45"/>
      <c r="M234" s="47"/>
      <c r="N234" s="106" t="s">
        <v>12</v>
      </c>
      <c r="O234" s="348"/>
    </row>
    <row r="235" spans="2:15">
      <c r="B235" s="27"/>
      <c r="L235" s="45"/>
      <c r="M235" s="47"/>
      <c r="N235" s="106" t="s">
        <v>12</v>
      </c>
      <c r="O235" s="348"/>
    </row>
    <row r="236" spans="2:15">
      <c r="B236" s="27"/>
      <c r="L236" s="45"/>
      <c r="M236" s="47"/>
      <c r="N236" s="106" t="s">
        <v>12</v>
      </c>
      <c r="O236" s="348"/>
    </row>
    <row r="237" spans="2:15">
      <c r="B237" s="27"/>
      <c r="L237" s="45"/>
      <c r="M237" s="47"/>
      <c r="N237" s="106" t="s">
        <v>12</v>
      </c>
      <c r="O237" s="348"/>
    </row>
    <row r="238" spans="2:15">
      <c r="B238" s="27"/>
      <c r="L238" s="45"/>
      <c r="M238" s="47"/>
      <c r="N238" s="106" t="s">
        <v>12</v>
      </c>
      <c r="O238" s="348"/>
    </row>
    <row r="239" spans="2:15">
      <c r="B239" s="27"/>
      <c r="L239" s="45"/>
      <c r="M239" s="47"/>
      <c r="N239" s="106" t="s">
        <v>12</v>
      </c>
      <c r="O239" s="348"/>
    </row>
    <row r="240" spans="2:15">
      <c r="B240" s="27"/>
      <c r="L240" s="45"/>
      <c r="M240" s="47"/>
      <c r="N240" s="106" t="s">
        <v>12</v>
      </c>
      <c r="O240" s="348"/>
    </row>
    <row r="241" spans="2:15">
      <c r="B241" s="27"/>
      <c r="L241" s="45"/>
      <c r="M241" s="47"/>
      <c r="N241" s="106" t="s">
        <v>12</v>
      </c>
      <c r="O241" s="348"/>
    </row>
    <row r="242" spans="2:15">
      <c r="B242" s="27"/>
      <c r="L242" s="45"/>
      <c r="M242" s="47"/>
      <c r="N242" s="106" t="s">
        <v>12</v>
      </c>
      <c r="O242" s="348"/>
    </row>
    <row r="243" spans="2:15">
      <c r="B243" s="27"/>
      <c r="L243" s="45"/>
      <c r="M243" s="47"/>
      <c r="N243" s="106" t="s">
        <v>12</v>
      </c>
      <c r="O243" s="348"/>
    </row>
    <row r="244" spans="2:15">
      <c r="B244" s="27"/>
      <c r="L244" s="45"/>
      <c r="M244" s="47"/>
      <c r="N244" s="106" t="s">
        <v>12</v>
      </c>
      <c r="O244" s="348"/>
    </row>
    <row r="245" spans="2:15">
      <c r="B245" s="27"/>
      <c r="L245" s="45"/>
      <c r="M245" s="47"/>
      <c r="N245" s="106" t="s">
        <v>12</v>
      </c>
      <c r="O245" s="348"/>
    </row>
    <row r="246" spans="2:15">
      <c r="B246" s="27"/>
      <c r="L246" s="45"/>
      <c r="M246" s="47"/>
      <c r="N246" s="106" t="s">
        <v>12</v>
      </c>
      <c r="O246" s="348"/>
    </row>
    <row r="247" spans="2:15">
      <c r="B247" s="27"/>
      <c r="L247" s="45"/>
      <c r="M247" s="47"/>
      <c r="N247" s="106" t="s">
        <v>12</v>
      </c>
      <c r="O247" s="348"/>
    </row>
    <row r="248" spans="2:15">
      <c r="B248" s="27"/>
      <c r="L248" s="45"/>
      <c r="M248" s="47"/>
      <c r="N248" s="106" t="s">
        <v>12</v>
      </c>
      <c r="O248" s="348"/>
    </row>
    <row r="249" spans="2:15">
      <c r="B249" s="27"/>
      <c r="L249" s="45"/>
      <c r="M249" s="47"/>
      <c r="N249" s="106" t="s">
        <v>12</v>
      </c>
      <c r="O249" s="348"/>
    </row>
    <row r="250" spans="2:15">
      <c r="B250" s="27"/>
      <c r="L250" s="45"/>
      <c r="M250" s="47"/>
      <c r="N250" s="106" t="s">
        <v>12</v>
      </c>
      <c r="O250" s="348"/>
    </row>
    <row r="251" spans="2:15">
      <c r="B251" s="27"/>
      <c r="L251" s="45"/>
      <c r="M251" s="47"/>
      <c r="N251" s="106" t="s">
        <v>12</v>
      </c>
      <c r="O251" s="348"/>
    </row>
    <row r="252" spans="2:15">
      <c r="B252" s="27"/>
      <c r="L252" s="45"/>
      <c r="M252" s="47"/>
      <c r="N252" s="106" t="s">
        <v>12</v>
      </c>
      <c r="O252" s="348"/>
    </row>
    <row r="253" spans="2:15">
      <c r="B253" s="27"/>
      <c r="L253" s="45"/>
      <c r="M253" s="47"/>
      <c r="N253" s="106" t="s">
        <v>12</v>
      </c>
      <c r="O253" s="348"/>
    </row>
    <row r="254" spans="2:15">
      <c r="B254" s="27"/>
      <c r="L254" s="45"/>
      <c r="M254" s="47"/>
      <c r="N254" s="106" t="s">
        <v>12</v>
      </c>
      <c r="O254" s="348"/>
    </row>
    <row r="255" spans="2:15">
      <c r="B255" s="27"/>
      <c r="L255" s="45"/>
      <c r="M255" s="47"/>
      <c r="N255" s="106" t="s">
        <v>12</v>
      </c>
      <c r="O255" s="348"/>
    </row>
    <row r="256" spans="2:15">
      <c r="B256" s="27"/>
      <c r="L256" s="45"/>
      <c r="M256" s="47"/>
      <c r="N256" s="106" t="s">
        <v>12</v>
      </c>
      <c r="O256" s="348"/>
    </row>
    <row r="257" spans="2:15">
      <c r="B257" s="27"/>
      <c r="L257" s="45"/>
      <c r="M257" s="47"/>
      <c r="N257" s="106" t="s">
        <v>12</v>
      </c>
      <c r="O257" s="348"/>
    </row>
    <row r="258" spans="2:15">
      <c r="B258" s="27"/>
      <c r="L258" s="45"/>
      <c r="M258" s="47"/>
      <c r="N258" s="106" t="s">
        <v>12</v>
      </c>
      <c r="O258" s="348"/>
    </row>
    <row r="259" spans="2:15">
      <c r="B259" s="27"/>
      <c r="L259" s="45"/>
      <c r="M259" s="47"/>
      <c r="N259" s="106" t="s">
        <v>12</v>
      </c>
      <c r="O259" s="348"/>
    </row>
    <row r="260" spans="2:15">
      <c r="B260" s="27"/>
      <c r="L260" s="45"/>
      <c r="M260" s="47"/>
      <c r="N260" s="106" t="s">
        <v>12</v>
      </c>
      <c r="O260" s="348"/>
    </row>
    <row r="261" spans="2:15">
      <c r="B261" s="27"/>
      <c r="L261" s="45"/>
      <c r="M261" s="47"/>
      <c r="N261" s="106" t="s">
        <v>12</v>
      </c>
      <c r="O261" s="348"/>
    </row>
    <row r="262" spans="2:15">
      <c r="B262" s="27"/>
      <c r="L262" s="45"/>
      <c r="M262" s="47"/>
      <c r="N262" s="106" t="s">
        <v>12</v>
      </c>
      <c r="O262" s="348"/>
    </row>
    <row r="263" spans="2:15">
      <c r="B263" s="27"/>
      <c r="L263" s="45"/>
      <c r="M263" s="47"/>
      <c r="N263" s="106" t="s">
        <v>12</v>
      </c>
      <c r="O263" s="348"/>
    </row>
    <row r="264" spans="2:15">
      <c r="B264" s="27"/>
      <c r="L264" s="45"/>
      <c r="M264" s="47"/>
      <c r="N264" s="106" t="s">
        <v>12</v>
      </c>
      <c r="O264" s="348"/>
    </row>
    <row r="265" spans="2:15">
      <c r="B265" s="27"/>
      <c r="L265" s="45"/>
      <c r="M265" s="47"/>
      <c r="N265" s="106" t="s">
        <v>12</v>
      </c>
      <c r="O265" s="348"/>
    </row>
    <row r="266" spans="2:15">
      <c r="B266" s="27"/>
      <c r="L266" s="45"/>
      <c r="M266" s="47"/>
      <c r="N266" s="106" t="s">
        <v>12</v>
      </c>
      <c r="O266" s="348"/>
    </row>
    <row r="267" spans="2:15">
      <c r="B267" s="27"/>
      <c r="L267" s="45"/>
      <c r="M267" s="47"/>
      <c r="N267" s="106" t="s">
        <v>12</v>
      </c>
      <c r="O267" s="348"/>
    </row>
    <row r="268" spans="2:15">
      <c r="B268" s="27"/>
      <c r="L268" s="45"/>
      <c r="M268" s="47"/>
      <c r="N268" s="106" t="s">
        <v>12</v>
      </c>
      <c r="O268" s="348"/>
    </row>
    <row r="269" spans="2:15">
      <c r="B269" s="27"/>
      <c r="L269" s="45"/>
      <c r="M269" s="47"/>
      <c r="N269" s="106" t="s">
        <v>12</v>
      </c>
      <c r="O269" s="348"/>
    </row>
    <row r="270" spans="2:15">
      <c r="B270" s="27"/>
      <c r="L270" s="45"/>
      <c r="M270" s="47"/>
      <c r="N270" s="106" t="s">
        <v>12</v>
      </c>
      <c r="O270" s="45"/>
    </row>
    <row r="271" spans="2:15">
      <c r="B271" s="27"/>
      <c r="L271" s="45"/>
      <c r="M271" s="47"/>
      <c r="N271" s="106" t="s">
        <v>12</v>
      </c>
      <c r="O271" s="45"/>
    </row>
    <row r="272" spans="2:15">
      <c r="B272" s="27"/>
      <c r="L272" s="45"/>
      <c r="M272" s="47"/>
      <c r="N272" s="106" t="s">
        <v>12</v>
      </c>
      <c r="O272" s="45"/>
    </row>
    <row r="273" spans="2:15">
      <c r="B273" s="27"/>
      <c r="L273" s="45"/>
      <c r="M273" s="47"/>
      <c r="N273" s="106" t="s">
        <v>12</v>
      </c>
      <c r="O273" s="45"/>
    </row>
    <row r="274" spans="2:15">
      <c r="B274" s="27"/>
      <c r="L274" s="45"/>
      <c r="M274" s="47"/>
      <c r="N274" s="106" t="s">
        <v>12</v>
      </c>
      <c r="O274" s="45"/>
    </row>
    <row r="275" spans="2:15">
      <c r="B275" s="27"/>
      <c r="L275" s="45"/>
      <c r="M275" s="47"/>
      <c r="N275" s="106" t="s">
        <v>12</v>
      </c>
      <c r="O275" s="45"/>
    </row>
    <row r="276" spans="2:15">
      <c r="B276" s="27"/>
      <c r="L276" s="45"/>
      <c r="M276" s="47"/>
      <c r="N276" s="106" t="s">
        <v>12</v>
      </c>
      <c r="O276" s="45"/>
    </row>
    <row r="277" spans="2:15">
      <c r="B277" s="27"/>
      <c r="L277" s="45"/>
      <c r="M277" s="47"/>
      <c r="N277" s="106" t="s">
        <v>12</v>
      </c>
      <c r="O277" s="45"/>
    </row>
    <row r="278" spans="2:15">
      <c r="B278" s="27"/>
      <c r="L278" s="45"/>
      <c r="M278" s="47"/>
      <c r="N278" s="106" t="s">
        <v>12</v>
      </c>
      <c r="O278" s="45"/>
    </row>
    <row r="279" spans="2:15">
      <c r="B279" s="27"/>
      <c r="L279" s="45"/>
      <c r="M279" s="47"/>
      <c r="N279" s="106" t="s">
        <v>12</v>
      </c>
      <c r="O279" s="45"/>
    </row>
    <row r="280" spans="2:15">
      <c r="B280" s="27"/>
      <c r="L280" s="45"/>
      <c r="M280" s="47"/>
      <c r="N280" s="106" t="s">
        <v>12</v>
      </c>
      <c r="O280" s="45"/>
    </row>
    <row r="281" spans="2:15">
      <c r="B281" s="27"/>
      <c r="L281" s="45"/>
      <c r="M281" s="47"/>
      <c r="N281" s="106" t="s">
        <v>12</v>
      </c>
      <c r="O281" s="45"/>
    </row>
    <row r="282" spans="2:15">
      <c r="B282" s="27"/>
      <c r="L282" s="45"/>
      <c r="M282" s="47"/>
      <c r="N282" s="106" t="s">
        <v>12</v>
      </c>
      <c r="O282" s="45"/>
    </row>
    <row r="283" spans="2:15">
      <c r="B283" s="27"/>
      <c r="L283" s="45"/>
      <c r="M283" s="47"/>
      <c r="N283" s="106" t="s">
        <v>12</v>
      </c>
      <c r="O283" s="45"/>
    </row>
    <row r="284" spans="2:15">
      <c r="B284" s="27"/>
      <c r="L284" s="45"/>
      <c r="M284" s="47"/>
      <c r="N284" s="106" t="s">
        <v>12</v>
      </c>
      <c r="O284" s="45"/>
    </row>
    <row r="285" spans="2:15">
      <c r="B285" s="27"/>
      <c r="L285" s="45"/>
      <c r="M285" s="47"/>
      <c r="N285" s="106" t="s">
        <v>12</v>
      </c>
      <c r="O285" s="45"/>
    </row>
    <row r="286" spans="2:15">
      <c r="B286" s="27"/>
      <c r="L286" s="45"/>
      <c r="M286" s="47"/>
      <c r="N286" s="106" t="s">
        <v>12</v>
      </c>
      <c r="O286" s="45"/>
    </row>
    <row r="287" spans="2:15">
      <c r="B287" s="27"/>
      <c r="L287" s="45"/>
      <c r="M287" s="47"/>
      <c r="N287" s="106" t="s">
        <v>12</v>
      </c>
      <c r="O287" s="45"/>
    </row>
    <row r="288" spans="2:15">
      <c r="B288" s="27"/>
      <c r="L288" s="45"/>
      <c r="M288" s="47"/>
      <c r="N288" s="106" t="s">
        <v>12</v>
      </c>
      <c r="O288" s="45"/>
    </row>
    <row r="289" spans="2:15">
      <c r="B289" s="27"/>
      <c r="L289" s="45"/>
      <c r="M289" s="47"/>
      <c r="N289" s="106" t="s">
        <v>12</v>
      </c>
      <c r="O289" s="45"/>
    </row>
    <row r="290" spans="2:15">
      <c r="B290" s="27"/>
      <c r="L290" s="45"/>
      <c r="M290" s="47"/>
      <c r="N290" s="106" t="s">
        <v>12</v>
      </c>
      <c r="O290" s="45"/>
    </row>
    <row r="291" spans="2:15">
      <c r="B291" s="27"/>
      <c r="L291" s="45"/>
      <c r="M291" s="47"/>
      <c r="N291" s="106" t="s">
        <v>12</v>
      </c>
      <c r="O291" s="45"/>
    </row>
    <row r="292" spans="2:15">
      <c r="B292" s="27"/>
      <c r="L292" s="45"/>
      <c r="M292" s="47"/>
      <c r="N292" s="106" t="s">
        <v>12</v>
      </c>
      <c r="O292" s="45"/>
    </row>
    <row r="293" spans="2:15">
      <c r="B293" s="27"/>
      <c r="L293" s="45"/>
      <c r="M293" s="47"/>
      <c r="N293" s="106" t="s">
        <v>12</v>
      </c>
      <c r="O293" s="45"/>
    </row>
    <row r="294" spans="2:15">
      <c r="B294" s="27"/>
      <c r="L294" s="45"/>
      <c r="M294" s="47"/>
      <c r="N294" s="106" t="s">
        <v>12</v>
      </c>
      <c r="O294" s="45"/>
    </row>
    <row r="295" spans="2:15">
      <c r="B295" s="27"/>
      <c r="L295" s="45"/>
      <c r="M295" s="47"/>
      <c r="N295" s="106" t="s">
        <v>12</v>
      </c>
      <c r="O295" s="45"/>
    </row>
    <row r="296" spans="2:15">
      <c r="B296" s="27"/>
      <c r="L296" s="45"/>
      <c r="M296" s="47"/>
      <c r="N296" s="106" t="s">
        <v>12</v>
      </c>
      <c r="O296" s="45"/>
    </row>
    <row r="297" spans="2:15">
      <c r="B297" s="27"/>
      <c r="L297" s="45"/>
      <c r="M297" s="47"/>
      <c r="N297" s="106" t="s">
        <v>12</v>
      </c>
      <c r="O297" s="45"/>
    </row>
    <row r="298" spans="2:15">
      <c r="B298" s="27"/>
      <c r="L298" s="45"/>
      <c r="M298" s="47"/>
      <c r="N298" s="106" t="s">
        <v>12</v>
      </c>
      <c r="O298" s="45"/>
    </row>
    <row r="299" spans="2:15">
      <c r="B299" s="27"/>
      <c r="L299" s="45"/>
      <c r="M299" s="47"/>
      <c r="N299" s="106" t="s">
        <v>12</v>
      </c>
      <c r="O299" s="45"/>
    </row>
    <row r="300" spans="2:15">
      <c r="B300" s="27"/>
      <c r="L300" s="45"/>
      <c r="M300" s="47"/>
      <c r="N300" s="106" t="s">
        <v>12</v>
      </c>
      <c r="O300" s="45"/>
    </row>
    <row r="301" spans="2:15">
      <c r="B301" s="27"/>
      <c r="L301" s="45"/>
      <c r="M301" s="47"/>
      <c r="N301" s="106" t="s">
        <v>12</v>
      </c>
      <c r="O301" s="45"/>
    </row>
    <row r="302" spans="2:15">
      <c r="B302" s="27"/>
      <c r="L302" s="45"/>
      <c r="M302" s="47"/>
      <c r="N302" s="106" t="s">
        <v>12</v>
      </c>
      <c r="O302" s="45"/>
    </row>
    <row r="303" spans="2:15">
      <c r="B303" s="27"/>
      <c r="L303" s="45"/>
      <c r="M303" s="47"/>
      <c r="N303" s="106" t="s">
        <v>12</v>
      </c>
      <c r="O303" s="45"/>
    </row>
    <row r="304" spans="2:15">
      <c r="B304" s="27"/>
      <c r="L304" s="45"/>
      <c r="M304" s="47"/>
      <c r="N304" s="106" t="s">
        <v>12</v>
      </c>
      <c r="O304" s="45"/>
    </row>
    <row r="305" spans="2:15">
      <c r="B305" s="27"/>
      <c r="L305" s="45"/>
      <c r="M305" s="47"/>
      <c r="N305" s="106" t="s">
        <v>12</v>
      </c>
      <c r="O305" s="45"/>
    </row>
    <row r="306" spans="2:15">
      <c r="B306" s="27"/>
      <c r="L306" s="45"/>
      <c r="M306" s="47"/>
      <c r="N306" s="106" t="s">
        <v>12</v>
      </c>
      <c r="O306" s="45"/>
    </row>
    <row r="307" spans="2:15">
      <c r="B307" s="27"/>
      <c r="L307" s="45"/>
      <c r="M307" s="47"/>
      <c r="N307" s="106" t="s">
        <v>12</v>
      </c>
      <c r="O307" s="45"/>
    </row>
    <row r="308" spans="2:15">
      <c r="B308" s="27"/>
      <c r="L308" s="45"/>
      <c r="M308" s="47"/>
      <c r="N308" s="106" t="s">
        <v>12</v>
      </c>
      <c r="O308" s="45"/>
    </row>
    <row r="309" spans="2:15">
      <c r="B309" s="27"/>
      <c r="L309" s="45"/>
      <c r="M309" s="47"/>
      <c r="N309" s="106" t="s">
        <v>12</v>
      </c>
      <c r="O309" s="45"/>
    </row>
    <row r="310" spans="2:15">
      <c r="B310" s="27"/>
      <c r="L310" s="45"/>
      <c r="M310" s="47"/>
      <c r="N310" s="106" t="s">
        <v>12</v>
      </c>
      <c r="O310" s="45"/>
    </row>
    <row r="311" spans="2:15">
      <c r="B311" s="27"/>
      <c r="L311" s="45"/>
      <c r="M311" s="47"/>
      <c r="N311" s="106" t="s">
        <v>12</v>
      </c>
      <c r="O311" s="45"/>
    </row>
    <row r="312" spans="2:15">
      <c r="B312" s="27"/>
      <c r="L312" s="45"/>
      <c r="M312" s="47"/>
      <c r="N312" s="106" t="s">
        <v>12</v>
      </c>
      <c r="O312" s="45"/>
    </row>
    <row r="313" spans="2:15">
      <c r="B313" s="27"/>
      <c r="L313" s="45"/>
      <c r="M313" s="47"/>
      <c r="N313" s="106" t="s">
        <v>12</v>
      </c>
      <c r="O313" s="45"/>
    </row>
    <row r="314" spans="2:15">
      <c r="B314" s="27"/>
      <c r="L314" s="45"/>
      <c r="M314" s="47"/>
      <c r="N314" s="106" t="s">
        <v>12</v>
      </c>
      <c r="O314" s="45"/>
    </row>
    <row r="315" spans="2:15">
      <c r="B315" s="27"/>
      <c r="L315" s="45"/>
      <c r="M315" s="47"/>
      <c r="N315" s="106" t="s">
        <v>12</v>
      </c>
      <c r="O315" s="45"/>
    </row>
    <row r="316" spans="2:15">
      <c r="B316" s="27"/>
      <c r="L316" s="45"/>
      <c r="M316" s="47"/>
      <c r="N316" s="106" t="s">
        <v>12</v>
      </c>
      <c r="O316" s="45"/>
    </row>
    <row r="317" spans="2:15">
      <c r="B317" s="27"/>
      <c r="L317" s="45"/>
      <c r="M317" s="47"/>
      <c r="N317" s="106" t="s">
        <v>12</v>
      </c>
      <c r="O317" s="45"/>
    </row>
    <row r="318" spans="2:15">
      <c r="B318" s="27"/>
      <c r="L318" s="45"/>
      <c r="M318" s="47"/>
      <c r="N318" s="106" t="s">
        <v>12</v>
      </c>
      <c r="O318" s="45"/>
    </row>
    <row r="319" spans="2:15">
      <c r="B319" s="27"/>
      <c r="L319" s="45"/>
      <c r="M319" s="47"/>
      <c r="N319" s="106" t="s">
        <v>12</v>
      </c>
      <c r="O319" s="45"/>
    </row>
    <row r="320" spans="2:15">
      <c r="B320" s="27"/>
      <c r="L320" s="45"/>
      <c r="M320" s="47"/>
      <c r="N320" s="106" t="s">
        <v>12</v>
      </c>
      <c r="O320" s="45"/>
    </row>
    <row r="321" spans="2:15">
      <c r="B321" s="27"/>
      <c r="L321" s="45"/>
      <c r="M321" s="47"/>
      <c r="N321" s="106" t="s">
        <v>12</v>
      </c>
      <c r="O321" s="45"/>
    </row>
    <row r="322" spans="2:15">
      <c r="B322" s="27"/>
      <c r="L322" s="45"/>
      <c r="M322" s="47"/>
      <c r="N322" s="106" t="s">
        <v>12</v>
      </c>
      <c r="O322" s="45"/>
    </row>
    <row r="323" spans="2:15">
      <c r="B323" s="27"/>
      <c r="L323" s="45"/>
      <c r="M323" s="47"/>
      <c r="N323" s="106" t="s">
        <v>12</v>
      </c>
      <c r="O323" s="45"/>
    </row>
    <row r="324" spans="2:15">
      <c r="B324" s="27"/>
      <c r="L324" s="45"/>
      <c r="M324" s="47"/>
      <c r="N324" s="106" t="s">
        <v>12</v>
      </c>
      <c r="O324" s="45"/>
    </row>
    <row r="325" spans="2:15">
      <c r="B325" s="27"/>
      <c r="L325" s="45"/>
      <c r="M325" s="47"/>
      <c r="N325" s="106" t="s">
        <v>12</v>
      </c>
      <c r="O325" s="45"/>
    </row>
    <row r="326" spans="2:15">
      <c r="B326" s="27"/>
      <c r="L326" s="45"/>
      <c r="M326" s="47"/>
      <c r="N326" s="106" t="s">
        <v>12</v>
      </c>
      <c r="O326" s="45"/>
    </row>
    <row r="327" spans="2:15">
      <c r="B327" s="27"/>
      <c r="L327" s="45"/>
      <c r="M327" s="47"/>
      <c r="N327" s="106" t="s">
        <v>12</v>
      </c>
      <c r="O327" s="45"/>
    </row>
    <row r="328" spans="2:15">
      <c r="B328" s="27"/>
      <c r="L328" s="45"/>
      <c r="M328" s="47"/>
      <c r="N328" s="106" t="s">
        <v>12</v>
      </c>
      <c r="O328" s="45"/>
    </row>
    <row r="329" spans="2:15">
      <c r="B329" s="27"/>
      <c r="L329" s="45"/>
      <c r="M329" s="47"/>
      <c r="N329" s="106" t="s">
        <v>12</v>
      </c>
      <c r="O329" s="45"/>
    </row>
    <row r="330" spans="2:15">
      <c r="B330" s="27"/>
      <c r="L330" s="45"/>
      <c r="M330" s="47"/>
      <c r="N330" s="106" t="s">
        <v>12</v>
      </c>
      <c r="O330" s="45"/>
    </row>
    <row r="331" spans="2:15">
      <c r="B331" s="27"/>
      <c r="L331" s="45"/>
      <c r="M331" s="47"/>
      <c r="N331" s="106" t="s">
        <v>12</v>
      </c>
      <c r="O331" s="45"/>
    </row>
    <row r="332" spans="2:15">
      <c r="B332" s="27"/>
      <c r="L332" s="45"/>
      <c r="M332" s="47"/>
      <c r="N332" s="106" t="s">
        <v>12</v>
      </c>
      <c r="O332" s="45"/>
    </row>
    <row r="333" spans="2:15">
      <c r="B333" s="27"/>
      <c r="L333" s="45"/>
      <c r="M333" s="47"/>
      <c r="N333" s="106" t="s">
        <v>12</v>
      </c>
      <c r="O333" s="45"/>
    </row>
    <row r="334" spans="2:15">
      <c r="B334" s="27"/>
      <c r="L334" s="45"/>
      <c r="M334" s="47"/>
      <c r="N334" s="106" t="s">
        <v>12</v>
      </c>
      <c r="O334" s="45"/>
    </row>
    <row r="335" spans="2:15">
      <c r="B335" s="27"/>
      <c r="L335" s="45"/>
      <c r="M335" s="47"/>
      <c r="N335" s="106" t="s">
        <v>12</v>
      </c>
      <c r="O335" s="45"/>
    </row>
    <row r="336" spans="2:15">
      <c r="B336" s="27"/>
      <c r="L336" s="45"/>
      <c r="M336" s="47"/>
      <c r="N336" s="106" t="s">
        <v>12</v>
      </c>
      <c r="O336" s="45"/>
    </row>
    <row r="337" spans="2:2">
      <c r="B337" s="27"/>
    </row>
    <row r="338" spans="2:2">
      <c r="B338" s="27"/>
    </row>
    <row r="339" spans="2:2">
      <c r="B339" s="27"/>
    </row>
    <row r="340" spans="2:2">
      <c r="B340" s="27"/>
    </row>
    <row r="341" spans="2:2">
      <c r="B341" s="27"/>
    </row>
    <row r="342" spans="2:2">
      <c r="B342" s="27"/>
    </row>
    <row r="343" spans="2:2">
      <c r="B343" s="27"/>
    </row>
    <row r="344" spans="2:2">
      <c r="B344" s="27"/>
    </row>
    <row r="345" spans="2:2">
      <c r="B345" s="27"/>
    </row>
    <row r="346" spans="2:2">
      <c r="B346" s="27"/>
    </row>
    <row r="347" spans="2:2">
      <c r="B347" s="27"/>
    </row>
    <row r="348" spans="2:2">
      <c r="B348" s="27"/>
    </row>
    <row r="349" spans="2:2">
      <c r="B349" s="27"/>
    </row>
    <row r="350" spans="2:2">
      <c r="B350" s="27"/>
    </row>
    <row r="351" spans="2:2">
      <c r="B351" s="27"/>
    </row>
    <row r="352" spans="2:2">
      <c r="B352" s="27"/>
    </row>
    <row r="353" spans="2:2">
      <c r="B353" s="27"/>
    </row>
    <row r="354" spans="2:2">
      <c r="B354" s="27"/>
    </row>
    <row r="355" spans="2:2">
      <c r="B355" s="27"/>
    </row>
    <row r="356" spans="2:2">
      <c r="B356" s="27"/>
    </row>
    <row r="357" spans="2:2">
      <c r="B357" s="27"/>
    </row>
    <row r="358" spans="2:2">
      <c r="B358" s="27"/>
    </row>
    <row r="359" spans="2:2">
      <c r="B359" s="27"/>
    </row>
    <row r="360" spans="2:2">
      <c r="B360" s="27"/>
    </row>
    <row r="361" spans="2:2">
      <c r="B361" s="27"/>
    </row>
    <row r="362" spans="2:2">
      <c r="B362" s="27"/>
    </row>
    <row r="363" spans="2:2">
      <c r="B363" s="27"/>
    </row>
    <row r="364" spans="2:2">
      <c r="B364" s="27"/>
    </row>
    <row r="365" spans="2:2">
      <c r="B365" s="27"/>
    </row>
    <row r="366" spans="2:2">
      <c r="B366" s="27"/>
    </row>
    <row r="367" spans="2:2">
      <c r="B367" s="27"/>
    </row>
    <row r="368" spans="2:2">
      <c r="B368" s="27"/>
    </row>
    <row r="369" spans="2:2">
      <c r="B369" s="27"/>
    </row>
    <row r="370" spans="2:2">
      <c r="B370" s="27"/>
    </row>
    <row r="371" spans="2:2">
      <c r="B371" s="27"/>
    </row>
    <row r="372" spans="2:2">
      <c r="B372" s="27"/>
    </row>
    <row r="373" spans="2:2">
      <c r="B373" s="27"/>
    </row>
    <row r="374" spans="2:2">
      <c r="B374" s="27"/>
    </row>
    <row r="375" spans="2:2">
      <c r="B375" s="27"/>
    </row>
    <row r="376" spans="2:2">
      <c r="B376" s="27"/>
    </row>
    <row r="377" spans="2:2">
      <c r="B377" s="27"/>
    </row>
    <row r="378" spans="2:2">
      <c r="B378" s="27"/>
    </row>
    <row r="379" spans="2:2">
      <c r="B379" s="27"/>
    </row>
    <row r="380" spans="2:2">
      <c r="B380" s="27"/>
    </row>
    <row r="381" spans="2:2">
      <c r="B381" s="27"/>
    </row>
    <row r="382" spans="2:2">
      <c r="B382" s="27"/>
    </row>
    <row r="383" spans="2:2">
      <c r="B383" s="27"/>
    </row>
    <row r="384" spans="2:2">
      <c r="B384" s="27"/>
    </row>
    <row r="385" spans="2:2">
      <c r="B385" s="27"/>
    </row>
    <row r="386" spans="2:2">
      <c r="B386" s="27"/>
    </row>
    <row r="387" spans="2:2">
      <c r="B387" s="27"/>
    </row>
    <row r="388" spans="2:2">
      <c r="B388" s="27"/>
    </row>
    <row r="389" spans="2:2">
      <c r="B389" s="27"/>
    </row>
    <row r="390" spans="2:2">
      <c r="B390" s="27"/>
    </row>
    <row r="391" spans="2:2">
      <c r="B391" s="27"/>
    </row>
    <row r="392" spans="2:2">
      <c r="B392" s="27"/>
    </row>
    <row r="393" spans="2:2">
      <c r="B393" s="27"/>
    </row>
    <row r="394" spans="2:2">
      <c r="B394" s="27"/>
    </row>
    <row r="395" spans="2:2">
      <c r="B395" s="27"/>
    </row>
    <row r="396" spans="2:2">
      <c r="B396" s="27"/>
    </row>
    <row r="397" spans="2:2">
      <c r="B397" s="27"/>
    </row>
    <row r="398" spans="2:2">
      <c r="B398" s="27"/>
    </row>
    <row r="399" spans="2:2">
      <c r="B399" s="27"/>
    </row>
    <row r="400" spans="2:2">
      <c r="B400" s="27"/>
    </row>
    <row r="401" spans="2:2">
      <c r="B401" s="27"/>
    </row>
    <row r="402" spans="2:2">
      <c r="B402" s="27"/>
    </row>
    <row r="403" spans="2:2">
      <c r="B403" s="27"/>
    </row>
    <row r="404" spans="2:2">
      <c r="B404" s="27"/>
    </row>
    <row r="405" spans="2:2">
      <c r="B405" s="27"/>
    </row>
    <row r="406" spans="2:2">
      <c r="B406" s="27"/>
    </row>
    <row r="407" spans="2:2">
      <c r="B407" s="27"/>
    </row>
    <row r="408" spans="2:2">
      <c r="B408" s="27"/>
    </row>
    <row r="409" spans="2:2">
      <c r="B409" s="27"/>
    </row>
    <row r="410" spans="2:2">
      <c r="B410" s="27"/>
    </row>
    <row r="411" spans="2:2">
      <c r="B411" s="27"/>
    </row>
    <row r="412" spans="2:2">
      <c r="B412" s="27"/>
    </row>
    <row r="413" spans="2:2">
      <c r="B413" s="27"/>
    </row>
    <row r="414" spans="2:2">
      <c r="B414" s="27"/>
    </row>
    <row r="415" spans="2:2">
      <c r="B415" s="27"/>
    </row>
    <row r="416" spans="2:2">
      <c r="B416" s="27"/>
    </row>
    <row r="417" spans="2:2">
      <c r="B417" s="27"/>
    </row>
    <row r="418" spans="2:2">
      <c r="B418" s="27"/>
    </row>
    <row r="419" spans="2:2">
      <c r="B419" s="27"/>
    </row>
    <row r="420" spans="2:2">
      <c r="B420" s="27"/>
    </row>
    <row r="421" spans="2:2">
      <c r="B421" s="27"/>
    </row>
    <row r="422" spans="2:2">
      <c r="B422" s="27"/>
    </row>
    <row r="423" spans="2:2">
      <c r="B423" s="27"/>
    </row>
    <row r="424" spans="2:2">
      <c r="B424" s="27"/>
    </row>
    <row r="425" spans="2:2">
      <c r="B425" s="27"/>
    </row>
    <row r="426" spans="2:2">
      <c r="B426" s="27"/>
    </row>
    <row r="427" spans="2:2">
      <c r="B427" s="27"/>
    </row>
    <row r="428" spans="2:2">
      <c r="B428" s="27"/>
    </row>
    <row r="429" spans="2:2">
      <c r="B429" s="27"/>
    </row>
    <row r="430" spans="2:2">
      <c r="B430" s="27"/>
    </row>
    <row r="431" spans="2:2">
      <c r="B431" s="27"/>
    </row>
    <row r="432" spans="2:2">
      <c r="B432" s="27"/>
    </row>
    <row r="433" spans="2:2">
      <c r="B433" s="27"/>
    </row>
    <row r="434" spans="2:2">
      <c r="B434" s="27"/>
    </row>
    <row r="435" spans="2:2">
      <c r="B435" s="27"/>
    </row>
    <row r="436" spans="2:2">
      <c r="B436" s="27"/>
    </row>
    <row r="437" spans="2:2">
      <c r="B437" s="27"/>
    </row>
    <row r="438" spans="2:2">
      <c r="B438" s="27"/>
    </row>
    <row r="439" spans="2:2">
      <c r="B439" s="27"/>
    </row>
    <row r="440" spans="2:2">
      <c r="B440" s="27"/>
    </row>
    <row r="441" spans="2:2">
      <c r="B441" s="27"/>
    </row>
    <row r="442" spans="2:2">
      <c r="B442" s="27"/>
    </row>
    <row r="443" spans="2:2">
      <c r="B443" s="27"/>
    </row>
    <row r="444" spans="2:2">
      <c r="B444" s="27"/>
    </row>
    <row r="445" spans="2:2">
      <c r="B445" s="27"/>
    </row>
    <row r="446" spans="2:2">
      <c r="B446" s="27"/>
    </row>
    <row r="447" spans="2:2">
      <c r="B447" s="27"/>
    </row>
    <row r="448" spans="2:2">
      <c r="B448" s="27"/>
    </row>
    <row r="449" spans="2:2">
      <c r="B449" s="27"/>
    </row>
    <row r="450" spans="2:2">
      <c r="B450" s="27"/>
    </row>
    <row r="451" spans="2:2">
      <c r="B451" s="27"/>
    </row>
    <row r="452" spans="2:2">
      <c r="B452" s="27"/>
    </row>
    <row r="453" spans="2:2">
      <c r="B453" s="27"/>
    </row>
    <row r="454" spans="2:2">
      <c r="B454" s="27"/>
    </row>
    <row r="455" spans="2:2">
      <c r="B455" s="27"/>
    </row>
    <row r="456" spans="2:2">
      <c r="B456" s="27"/>
    </row>
    <row r="457" spans="2:2">
      <c r="B457" s="27"/>
    </row>
    <row r="458" spans="2:2">
      <c r="B458" s="27"/>
    </row>
    <row r="459" spans="2:2">
      <c r="B459" s="27"/>
    </row>
    <row r="460" spans="2:2">
      <c r="B460" s="27"/>
    </row>
    <row r="461" spans="2:2">
      <c r="B461" s="27"/>
    </row>
    <row r="462" spans="2:2">
      <c r="B462" s="27"/>
    </row>
    <row r="463" spans="2:2">
      <c r="B463" s="27"/>
    </row>
    <row r="464" spans="2:2">
      <c r="B464" s="27"/>
    </row>
  </sheetData>
  <mergeCells count="11">
    <mergeCell ref="A118:B118"/>
    <mergeCell ref="A139:A140"/>
    <mergeCell ref="A1:O1"/>
    <mergeCell ref="A2:O2"/>
    <mergeCell ref="A3:O3"/>
    <mergeCell ref="A4:O4"/>
    <mergeCell ref="A7:A8"/>
    <mergeCell ref="B7:B8"/>
    <mergeCell ref="C7:J7"/>
    <mergeCell ref="O7:O8"/>
    <mergeCell ref="K7:N7"/>
  </mergeCells>
  <pageMargins left="0.19685039370078741" right="0" top="0.55118110236220474" bottom="0.74803149606299213" header="0.31496062992125984" footer="0.31496062992125984"/>
  <pageSetup scale="55" orientation="landscape" r:id="rId1"/>
  <ignoredErrors>
    <ignoredError sqref="A35 A9:A17 A20 A30 A43 A54 A59 A62 A70" numberStoredAsText="1"/>
    <ignoredError sqref="O10 K31 H87 H83 K102:K103 N102:N103 N101 H10 H13 E83 H54 G70:G71 H43 H10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tabColor theme="6" tint="0.39997558519241921"/>
  </sheetPr>
  <dimension ref="A1:P129"/>
  <sheetViews>
    <sheetView showGridLines="0" showZeros="0" topLeftCell="A222" zoomScale="84" zoomScaleNormal="84" workbookViewId="0">
      <pane ySplit="1485" topLeftCell="A26" activePane="bottomLeft"/>
      <selection activeCell="D213" sqref="D213"/>
      <selection pane="bottomLeft" activeCell="N23" sqref="N23"/>
    </sheetView>
  </sheetViews>
  <sheetFormatPr baseColWidth="10" defaultColWidth="11" defaultRowHeight="12.75"/>
  <cols>
    <col min="1" max="1" width="17.85546875" style="220" customWidth="1"/>
    <col min="2" max="2" width="41.140625" style="4" customWidth="1"/>
    <col min="3" max="3" width="12.85546875" style="4" customWidth="1"/>
    <col min="4" max="4" width="15.28515625" style="78" bestFit="1" customWidth="1"/>
    <col min="5" max="6" width="14.140625" style="78" bestFit="1" customWidth="1"/>
    <col min="7" max="7" width="14.140625" style="78" customWidth="1"/>
    <col min="8" max="8" width="18.42578125" style="325" customWidth="1"/>
    <col min="9" max="9" width="15.7109375" style="220" customWidth="1"/>
    <col min="10" max="10" width="23" style="284" hidden="1" customWidth="1"/>
    <col min="11" max="11" width="11" style="220"/>
    <col min="12" max="12" width="13" style="220" customWidth="1"/>
    <col min="13" max="13" width="4.5703125" style="220" customWidth="1"/>
    <col min="14" max="16384" width="11" style="220"/>
  </cols>
  <sheetData>
    <row r="1" spans="1:16" ht="21.75" customHeight="1">
      <c r="A1" s="830" t="s">
        <v>58</v>
      </c>
      <c r="B1" s="830"/>
      <c r="C1" s="830"/>
      <c r="D1" s="830"/>
      <c r="E1" s="830"/>
      <c r="F1" s="830"/>
      <c r="G1" s="830"/>
      <c r="H1" s="830"/>
      <c r="I1" s="830"/>
      <c r="J1" s="67"/>
      <c r="K1" s="170"/>
      <c r="L1" s="170"/>
      <c r="M1" s="170"/>
    </row>
    <row r="2" spans="1:16" ht="18" customHeight="1">
      <c r="A2" s="830" t="s">
        <v>59</v>
      </c>
      <c r="B2" s="830"/>
      <c r="C2" s="830"/>
      <c r="D2" s="830"/>
      <c r="E2" s="830"/>
      <c r="F2" s="830"/>
      <c r="G2" s="830"/>
      <c r="H2" s="830"/>
      <c r="I2" s="830"/>
      <c r="J2" s="67"/>
      <c r="K2" s="170"/>
      <c r="L2" s="170"/>
      <c r="M2" s="170"/>
    </row>
    <row r="3" spans="1:16" ht="15">
      <c r="A3" s="831" t="s">
        <v>60</v>
      </c>
      <c r="B3" s="831"/>
      <c r="C3" s="831"/>
      <c r="D3" s="831"/>
      <c r="E3" s="831"/>
      <c r="F3" s="831"/>
      <c r="G3" s="831"/>
      <c r="H3" s="831"/>
      <c r="I3" s="831"/>
    </row>
    <row r="4" spans="1:16" ht="20.25" customHeight="1">
      <c r="A4" s="831" t="s">
        <v>626</v>
      </c>
      <c r="B4" s="831"/>
      <c r="C4" s="831"/>
      <c r="D4" s="831"/>
      <c r="E4" s="831"/>
      <c r="F4" s="831"/>
      <c r="G4" s="831"/>
      <c r="H4" s="831"/>
      <c r="I4" s="831"/>
    </row>
    <row r="5" spans="1:16" ht="9.75" customHeight="1">
      <c r="A5" s="707"/>
      <c r="B5" s="708"/>
      <c r="C5" s="708"/>
      <c r="D5" s="709"/>
      <c r="E5" s="709"/>
      <c r="F5" s="709"/>
      <c r="G5" s="709"/>
      <c r="H5" s="710"/>
      <c r="I5" s="707" t="s">
        <v>12</v>
      </c>
    </row>
    <row r="6" spans="1:16" ht="24" customHeight="1">
      <c r="A6" s="836" t="s">
        <v>61</v>
      </c>
      <c r="B6" s="838" t="s">
        <v>0</v>
      </c>
      <c r="C6" s="840" t="s">
        <v>48</v>
      </c>
      <c r="D6" s="840"/>
      <c r="E6" s="840"/>
      <c r="F6" s="841" t="s">
        <v>62</v>
      </c>
      <c r="G6" s="841"/>
      <c r="H6" s="832" t="s">
        <v>24</v>
      </c>
      <c r="I6" s="833"/>
    </row>
    <row r="7" spans="1:16" ht="36" customHeight="1">
      <c r="A7" s="837"/>
      <c r="B7" s="839"/>
      <c r="C7" s="397" t="s">
        <v>2</v>
      </c>
      <c r="D7" s="692" t="s">
        <v>63</v>
      </c>
      <c r="E7" s="692" t="s">
        <v>25</v>
      </c>
      <c r="F7" s="692" t="s">
        <v>64</v>
      </c>
      <c r="G7" s="692" t="s">
        <v>65</v>
      </c>
      <c r="H7" s="683" t="s">
        <v>26</v>
      </c>
      <c r="I7" s="398" t="s">
        <v>66</v>
      </c>
    </row>
    <row r="8" spans="1:16" ht="8.25" hidden="1" customHeight="1">
      <c r="A8" s="399"/>
      <c r="B8" s="400" t="s">
        <v>12</v>
      </c>
      <c r="C8" s="400"/>
      <c r="D8" s="693"/>
      <c r="E8" s="693"/>
      <c r="F8" s="693"/>
      <c r="G8" s="693"/>
      <c r="H8" s="549"/>
      <c r="I8" s="401"/>
    </row>
    <row r="9" spans="1:16" ht="21.75" customHeight="1">
      <c r="A9" s="399"/>
      <c r="B9" s="402" t="s">
        <v>28</v>
      </c>
      <c r="C9" s="403">
        <f>+C11+C36</f>
        <v>179349116</v>
      </c>
      <c r="D9" s="694">
        <f>+D11+D36</f>
        <v>179349116</v>
      </c>
      <c r="E9" s="403">
        <f>E11+E36</f>
        <v>50158369</v>
      </c>
      <c r="F9" s="403">
        <f>+F11+F33+F42</f>
        <v>14651670.16</v>
      </c>
      <c r="G9" s="403">
        <f>+G11+G42</f>
        <v>28862010.530000001</v>
      </c>
      <c r="H9" s="691">
        <f>+G9-E9</f>
        <v>-21296358.469999999</v>
      </c>
      <c r="I9" s="404">
        <f>+G9/E9*100</f>
        <v>57.541764426191769</v>
      </c>
      <c r="J9" s="548">
        <f>16310340.37</f>
        <v>16310340.369999999</v>
      </c>
      <c r="K9" s="834"/>
      <c r="L9" s="834"/>
      <c r="M9" s="834"/>
      <c r="N9" s="834"/>
      <c r="O9" s="834"/>
      <c r="P9" s="834"/>
    </row>
    <row r="10" spans="1:16" ht="9.9499999999999993" customHeight="1">
      <c r="A10" s="399"/>
      <c r="B10" s="402"/>
      <c r="C10" s="403"/>
      <c r="D10" s="403"/>
      <c r="E10" s="403"/>
      <c r="F10" s="403"/>
      <c r="G10" s="695"/>
      <c r="H10" s="685"/>
      <c r="I10" s="821"/>
      <c r="N10" s="220" t="s">
        <v>12</v>
      </c>
    </row>
    <row r="11" spans="1:16" ht="21" customHeight="1">
      <c r="A11" s="406" t="s">
        <v>67</v>
      </c>
      <c r="B11" s="407" t="s">
        <v>29</v>
      </c>
      <c r="C11" s="408">
        <f>+C13</f>
        <v>133140570</v>
      </c>
      <c r="D11" s="403">
        <f>+D13</f>
        <v>133140570</v>
      </c>
      <c r="E11" s="403">
        <f>E17+E25+E26+E31+E33</f>
        <v>40010300</v>
      </c>
      <c r="F11" s="403">
        <f>+F13</f>
        <v>12551670.16</v>
      </c>
      <c r="G11" s="695">
        <f>J11+F11</f>
        <v>27762010.530000001</v>
      </c>
      <c r="H11" s="691">
        <f t="shared" ref="H11:H47" si="0">+G11-E11</f>
        <v>-12248289.469999999</v>
      </c>
      <c r="I11" s="404">
        <f t="shared" ref="I11:I50" si="1">+G11/E11*100</f>
        <v>69.387159131523632</v>
      </c>
      <c r="J11" s="285">
        <f>J13</f>
        <v>15210340.370000001</v>
      </c>
      <c r="M11" s="229"/>
    </row>
    <row r="12" spans="1:16" ht="9.9499999999999993" customHeight="1">
      <c r="A12" s="399"/>
      <c r="B12" s="409"/>
      <c r="C12" s="410"/>
      <c r="D12" s="411"/>
      <c r="E12" s="411" t="s">
        <v>12</v>
      </c>
      <c r="F12" s="411"/>
      <c r="G12" s="696"/>
      <c r="H12" s="686"/>
      <c r="I12" s="404"/>
      <c r="M12" s="229"/>
      <c r="O12" s="220" t="s">
        <v>12</v>
      </c>
    </row>
    <row r="13" spans="1:16" ht="21" customHeight="1">
      <c r="A13" s="406" t="s">
        <v>68</v>
      </c>
      <c r="B13" s="402" t="s">
        <v>69</v>
      </c>
      <c r="C13" s="403">
        <f>+C15+C21+C26+C31+C33</f>
        <v>133140570</v>
      </c>
      <c r="D13" s="403">
        <f>+D15+D21+D26+D31+D33</f>
        <v>133140570</v>
      </c>
      <c r="E13" s="403">
        <f>+E15+E21+E26+E31</f>
        <v>39010300</v>
      </c>
      <c r="F13" s="403">
        <f>F15+F21+F26+F31</f>
        <v>12551670.16</v>
      </c>
      <c r="G13" s="695">
        <f>J13+F13</f>
        <v>27762010.530000001</v>
      </c>
      <c r="H13" s="691">
        <f t="shared" si="0"/>
        <v>-11248289.469999999</v>
      </c>
      <c r="I13" s="404">
        <f t="shared" si="1"/>
        <v>71.165847301866435</v>
      </c>
      <c r="J13" s="285">
        <v>15210340.370000001</v>
      </c>
      <c r="K13" s="230"/>
      <c r="L13" s="229"/>
      <c r="M13" s="229"/>
    </row>
    <row r="14" spans="1:16" ht="14.25" customHeight="1">
      <c r="A14" s="406"/>
      <c r="B14" s="413"/>
      <c r="C14" s="411"/>
      <c r="D14" s="411"/>
      <c r="E14" s="411"/>
      <c r="F14" s="411"/>
      <c r="G14" s="696" t="s">
        <v>12</v>
      </c>
      <c r="H14" s="686" t="s">
        <v>12</v>
      </c>
      <c r="I14" s="404"/>
      <c r="J14" s="284" t="s">
        <v>12</v>
      </c>
      <c r="K14" s="230"/>
      <c r="M14" s="229"/>
    </row>
    <row r="15" spans="1:16" ht="21" customHeight="1">
      <c r="A15" s="406" t="s">
        <v>70</v>
      </c>
      <c r="B15" s="402" t="s">
        <v>71</v>
      </c>
      <c r="C15" s="403">
        <f>+C17</f>
        <v>3672711</v>
      </c>
      <c r="D15" s="403">
        <f>SUM(D18:D19)</f>
        <v>3672711</v>
      </c>
      <c r="E15" s="403">
        <f>E17</f>
        <v>1194406</v>
      </c>
      <c r="F15" s="403">
        <f>SUM(F18:F19)</f>
        <v>107999.64</v>
      </c>
      <c r="G15" s="695">
        <f>J15+F15</f>
        <v>254507.21999999997</v>
      </c>
      <c r="H15" s="691">
        <f t="shared" si="0"/>
        <v>-939898.78</v>
      </c>
      <c r="I15" s="404">
        <f t="shared" si="1"/>
        <v>21.308267038176297</v>
      </c>
      <c r="J15" s="284">
        <f>J17</f>
        <v>146507.57999999999</v>
      </c>
      <c r="K15" s="230"/>
      <c r="M15" s="229"/>
    </row>
    <row r="16" spans="1:16" ht="11.45" customHeight="1">
      <c r="A16" s="406"/>
      <c r="B16" s="402"/>
      <c r="C16" s="403"/>
      <c r="D16" s="411"/>
      <c r="E16" s="403"/>
      <c r="F16" s="403"/>
      <c r="G16" s="695"/>
      <c r="H16" s="685"/>
      <c r="I16" s="404"/>
      <c r="K16" s="230"/>
    </row>
    <row r="17" spans="1:13" ht="19.149999999999999" customHeight="1">
      <c r="A17" s="406" t="s">
        <v>72</v>
      </c>
      <c r="B17" s="414" t="s">
        <v>73</v>
      </c>
      <c r="C17" s="415">
        <f>+C18+C19</f>
        <v>3672711</v>
      </c>
      <c r="D17" s="403">
        <f>+D18+D19</f>
        <v>3672711</v>
      </c>
      <c r="E17" s="403">
        <f>SUM(E18:E19)</f>
        <v>1194406</v>
      </c>
      <c r="F17" s="403">
        <f>SUM(F18:F19)</f>
        <v>107999.64</v>
      </c>
      <c r="G17" s="403">
        <f>J17+F17</f>
        <v>254507.21999999997</v>
      </c>
      <c r="H17" s="691">
        <f t="shared" si="0"/>
        <v>-939898.78</v>
      </c>
      <c r="I17" s="404">
        <f t="shared" si="1"/>
        <v>21.308267038176297</v>
      </c>
      <c r="J17" s="285">
        <f>J18+J19</f>
        <v>146507.57999999999</v>
      </c>
    </row>
    <row r="18" spans="1:13" ht="24.95" customHeight="1">
      <c r="A18" s="416" t="s">
        <v>74</v>
      </c>
      <c r="B18" s="413" t="s">
        <v>75</v>
      </c>
      <c r="C18" s="411">
        <v>1264345</v>
      </c>
      <c r="D18" s="411">
        <v>1264345</v>
      </c>
      <c r="E18" s="412">
        <f>12647+12644+12643</f>
        <v>37934</v>
      </c>
      <c r="F18" s="697">
        <v>15479.8</v>
      </c>
      <c r="G18" s="698">
        <f>J18+F18</f>
        <v>27354.03</v>
      </c>
      <c r="H18" s="822">
        <f t="shared" si="0"/>
        <v>-10579.970000000001</v>
      </c>
      <c r="I18" s="821">
        <f t="shared" si="1"/>
        <v>72.109532345652966</v>
      </c>
      <c r="J18" s="2">
        <v>11874.23</v>
      </c>
      <c r="M18" s="229"/>
    </row>
    <row r="19" spans="1:13" ht="24.95" customHeight="1">
      <c r="A19" s="416" t="s">
        <v>76</v>
      </c>
      <c r="B19" s="413" t="s">
        <v>77</v>
      </c>
      <c r="C19" s="411">
        <v>2408366</v>
      </c>
      <c r="D19" s="411">
        <v>2408366</v>
      </c>
      <c r="E19" s="412">
        <f>24083+636979+495410</f>
        <v>1156472</v>
      </c>
      <c r="F19" s="697">
        <v>92519.84</v>
      </c>
      <c r="G19" s="698">
        <f>J19+F19</f>
        <v>227153.18999999997</v>
      </c>
      <c r="H19" s="822">
        <f t="shared" si="0"/>
        <v>-929318.81</v>
      </c>
      <c r="I19" s="821">
        <f t="shared" si="1"/>
        <v>19.641910050567585</v>
      </c>
      <c r="J19" s="2">
        <v>134633.34999999998</v>
      </c>
    </row>
    <row r="20" spans="1:13" ht="9.9499999999999993" customHeight="1">
      <c r="A20" s="406"/>
      <c r="B20" s="413" t="s">
        <v>12</v>
      </c>
      <c r="C20" s="411"/>
      <c r="D20" s="411" t="s">
        <v>12</v>
      </c>
      <c r="E20" s="411"/>
      <c r="F20" s="411"/>
      <c r="G20" s="696"/>
      <c r="H20" s="686"/>
      <c r="I20" s="821"/>
    </row>
    <row r="21" spans="1:13" ht="24.95" customHeight="1">
      <c r="A21" s="406" t="s">
        <v>78</v>
      </c>
      <c r="B21" s="402" t="s">
        <v>79</v>
      </c>
      <c r="C21" s="403">
        <f>+C23</f>
        <v>121012398</v>
      </c>
      <c r="D21" s="403">
        <f>SUM(D23:D23)</f>
        <v>121012398</v>
      </c>
      <c r="E21" s="403">
        <f>SUM(E23)</f>
        <v>33074372</v>
      </c>
      <c r="F21" s="403">
        <f>F23</f>
        <v>11636284</v>
      </c>
      <c r="G21" s="699">
        <f>G23</f>
        <v>24408157</v>
      </c>
      <c r="H21" s="691">
        <f>+G21-E21</f>
        <v>-8666215</v>
      </c>
      <c r="I21" s="404">
        <f t="shared" si="1"/>
        <v>73.797794255927215</v>
      </c>
      <c r="J21" s="285">
        <f>J23</f>
        <v>12771873</v>
      </c>
      <c r="M21" s="229"/>
    </row>
    <row r="22" spans="1:13" ht="5.25" customHeight="1">
      <c r="A22" s="406"/>
      <c r="B22" s="413"/>
      <c r="C22" s="411"/>
      <c r="D22" s="411"/>
      <c r="E22" s="411"/>
      <c r="F22" s="411"/>
      <c r="G22" s="698">
        <f>F22</f>
        <v>0</v>
      </c>
      <c r="H22" s="686">
        <f t="shared" si="0"/>
        <v>0</v>
      </c>
      <c r="I22" s="404"/>
      <c r="J22" s="284">
        <v>0</v>
      </c>
    </row>
    <row r="23" spans="1:13" ht="24.75" customHeight="1">
      <c r="A23" s="406" t="s">
        <v>80</v>
      </c>
      <c r="B23" s="402" t="s">
        <v>81</v>
      </c>
      <c r="C23" s="403">
        <f>+C25</f>
        <v>121012398</v>
      </c>
      <c r="D23" s="403">
        <f>+D25</f>
        <v>121012398</v>
      </c>
      <c r="E23" s="403">
        <f>E25</f>
        <v>33074372</v>
      </c>
      <c r="F23" s="403">
        <f>F25</f>
        <v>11636284</v>
      </c>
      <c r="G23" s="699">
        <f>G25</f>
        <v>24408157</v>
      </c>
      <c r="H23" s="691">
        <f t="shared" si="0"/>
        <v>-8666215</v>
      </c>
      <c r="I23" s="404">
        <f t="shared" si="1"/>
        <v>73.797794255927215</v>
      </c>
      <c r="J23" s="285">
        <v>12771873</v>
      </c>
    </row>
    <row r="24" spans="1:13" ht="10.15" customHeight="1">
      <c r="A24" s="406"/>
      <c r="B24" s="413"/>
      <c r="C24" s="411"/>
      <c r="D24" s="411"/>
      <c r="E24" s="411"/>
      <c r="F24" s="411"/>
      <c r="G24" s="698">
        <f>F24</f>
        <v>0</v>
      </c>
      <c r="H24" s="686">
        <f t="shared" si="0"/>
        <v>0</v>
      </c>
      <c r="I24" s="821"/>
      <c r="J24" s="284">
        <v>0</v>
      </c>
    </row>
    <row r="25" spans="1:13" ht="22.15" customHeight="1">
      <c r="A25" s="416" t="s">
        <v>82</v>
      </c>
      <c r="B25" s="413" t="s">
        <v>83</v>
      </c>
      <c r="C25" s="411">
        <v>121012398</v>
      </c>
      <c r="D25" s="411">
        <v>121012398</v>
      </c>
      <c r="E25" s="412">
        <f>12771873+11516274+8786225</f>
        <v>33074372</v>
      </c>
      <c r="F25" s="412">
        <v>11636284</v>
      </c>
      <c r="G25" s="698">
        <f>J25+F25</f>
        <v>24408157</v>
      </c>
      <c r="H25" s="822">
        <f>G25-E25</f>
        <v>-8666215</v>
      </c>
      <c r="I25" s="821">
        <f t="shared" si="1"/>
        <v>73.797794255927215</v>
      </c>
      <c r="J25" s="284">
        <v>12771873</v>
      </c>
    </row>
    <row r="26" spans="1:13" ht="24.95" customHeight="1">
      <c r="A26" s="406" t="s">
        <v>84</v>
      </c>
      <c r="B26" s="402" t="s">
        <v>30</v>
      </c>
      <c r="C26" s="403">
        <f>+C27+C28+C29</f>
        <v>6461773</v>
      </c>
      <c r="D26" s="403">
        <f>SUM(D27:D29)</f>
        <v>6461773</v>
      </c>
      <c r="E26" s="405">
        <f>SUM(E27:E29)</f>
        <v>4194361</v>
      </c>
      <c r="F26" s="405">
        <f>F27+F28+F29</f>
        <v>660228.69999999995</v>
      </c>
      <c r="G26" s="405">
        <f>G27+G28+G29</f>
        <v>1839094.06</v>
      </c>
      <c r="H26" s="691">
        <f t="shared" si="0"/>
        <v>-2355266.94</v>
      </c>
      <c r="I26" s="404">
        <f t="shared" si="1"/>
        <v>43.846823389784525</v>
      </c>
      <c r="J26" s="285">
        <v>1178865.3599999999</v>
      </c>
    </row>
    <row r="27" spans="1:13" ht="24.95" customHeight="1">
      <c r="A27" s="416" t="s">
        <v>85</v>
      </c>
      <c r="B27" s="413" t="s">
        <v>86</v>
      </c>
      <c r="C27" s="411">
        <v>713904</v>
      </c>
      <c r="D27" s="411">
        <v>713904</v>
      </c>
      <c r="E27" s="412">
        <f>64255+71390+217294</f>
        <v>352939</v>
      </c>
      <c r="F27" s="411">
        <v>78540.75</v>
      </c>
      <c r="G27" s="696">
        <f>J27+F27</f>
        <v>325033.49</v>
      </c>
      <c r="H27" s="822">
        <f t="shared" si="0"/>
        <v>-27905.510000000009</v>
      </c>
      <c r="I27" s="821">
        <f t="shared" si="1"/>
        <v>92.093390075905461</v>
      </c>
      <c r="J27" s="284">
        <v>246492.74</v>
      </c>
    </row>
    <row r="28" spans="1:13" ht="24.95" customHeight="1">
      <c r="A28" s="416" t="s">
        <v>87</v>
      </c>
      <c r="B28" s="413" t="s">
        <v>88</v>
      </c>
      <c r="C28" s="411">
        <v>5674884</v>
      </c>
      <c r="D28" s="411">
        <v>5674884</v>
      </c>
      <c r="E28" s="412">
        <f>367198+2999796+453990</f>
        <v>3820984</v>
      </c>
      <c r="F28" s="411">
        <v>566629.25</v>
      </c>
      <c r="G28" s="696">
        <f>J28+F28</f>
        <v>1484977.75</v>
      </c>
      <c r="H28" s="822">
        <f t="shared" si="0"/>
        <v>-2336006.25</v>
      </c>
      <c r="I28" s="821">
        <f t="shared" si="1"/>
        <v>38.863752112021402</v>
      </c>
      <c r="J28" s="284">
        <v>918348.5</v>
      </c>
      <c r="L28" s="229"/>
    </row>
    <row r="29" spans="1:13" ht="24.95" customHeight="1">
      <c r="A29" s="416" t="s">
        <v>89</v>
      </c>
      <c r="B29" s="413" t="s">
        <v>90</v>
      </c>
      <c r="C29" s="411">
        <v>72985</v>
      </c>
      <c r="D29" s="411">
        <v>72985</v>
      </c>
      <c r="E29" s="412">
        <f>3653+7298+9487</f>
        <v>20438</v>
      </c>
      <c r="F29" s="411">
        <v>15058.7</v>
      </c>
      <c r="G29" s="696">
        <f>J29+F29</f>
        <v>29082.82</v>
      </c>
      <c r="H29" s="686">
        <f t="shared" si="0"/>
        <v>8644.82</v>
      </c>
      <c r="I29" s="821">
        <f t="shared" si="1"/>
        <v>142.29777864761718</v>
      </c>
      <c r="J29" s="284">
        <v>14024.119999999999</v>
      </c>
    </row>
    <row r="30" spans="1:13" ht="9.9499999999999993" customHeight="1">
      <c r="A30" s="406" t="s">
        <v>12</v>
      </c>
      <c r="B30" s="413"/>
      <c r="C30" s="412"/>
      <c r="D30" s="412"/>
      <c r="E30" s="411"/>
      <c r="F30" s="411"/>
      <c r="G30" s="696">
        <f>F30</f>
        <v>0</v>
      </c>
      <c r="H30" s="686">
        <f t="shared" si="0"/>
        <v>0</v>
      </c>
      <c r="I30" s="821"/>
      <c r="J30" s="284">
        <v>0</v>
      </c>
    </row>
    <row r="31" spans="1:13" ht="24.95" customHeight="1">
      <c r="A31" s="406" t="s">
        <v>91</v>
      </c>
      <c r="B31" s="402" t="s">
        <v>610</v>
      </c>
      <c r="C31" s="405">
        <f>+C32</f>
        <v>993688</v>
      </c>
      <c r="D31" s="405">
        <f>SUM(D32)</f>
        <v>993688</v>
      </c>
      <c r="E31" s="403">
        <f>SUM(E32)</f>
        <v>547161</v>
      </c>
      <c r="F31" s="403">
        <f>F32</f>
        <v>147157.82</v>
      </c>
      <c r="G31" s="695">
        <f>J31+F31</f>
        <v>260252.25</v>
      </c>
      <c r="H31" s="691">
        <f t="shared" si="0"/>
        <v>-286908.75</v>
      </c>
      <c r="I31" s="404">
        <f t="shared" si="1"/>
        <v>47.564108187535297</v>
      </c>
      <c r="J31" s="285">
        <v>113094.43</v>
      </c>
    </row>
    <row r="32" spans="1:13" ht="24.95" customHeight="1">
      <c r="A32" s="406" t="s">
        <v>92</v>
      </c>
      <c r="B32" s="413" t="s">
        <v>93</v>
      </c>
      <c r="C32" s="412">
        <v>993688</v>
      </c>
      <c r="D32" s="412">
        <v>993688</v>
      </c>
      <c r="E32" s="412">
        <f>99368+368298+79495</f>
        <v>547161</v>
      </c>
      <c r="F32" s="411">
        <v>147157.82</v>
      </c>
      <c r="G32" s="696">
        <f>J32+F32</f>
        <v>260252.25</v>
      </c>
      <c r="H32" s="822">
        <f t="shared" si="0"/>
        <v>-286908.75</v>
      </c>
      <c r="I32" s="821">
        <f t="shared" si="1"/>
        <v>47.564108187535297</v>
      </c>
      <c r="J32" s="284">
        <v>113094.43</v>
      </c>
    </row>
    <row r="33" spans="1:16" ht="24.95" customHeight="1">
      <c r="A33" s="406">
        <v>1.4</v>
      </c>
      <c r="B33" s="402" t="s">
        <v>612</v>
      </c>
      <c r="C33" s="405">
        <f>+C34</f>
        <v>1000000</v>
      </c>
      <c r="D33" s="405">
        <f t="shared" ref="D33:E33" si="2">+D34</f>
        <v>1000000</v>
      </c>
      <c r="E33" s="405">
        <f t="shared" si="2"/>
        <v>1000000</v>
      </c>
      <c r="F33" s="403">
        <f t="shared" ref="F33:G34" si="3">+F34</f>
        <v>1000000</v>
      </c>
      <c r="G33" s="695">
        <f>G34</f>
        <v>1000000</v>
      </c>
      <c r="H33" s="691">
        <f t="shared" si="0"/>
        <v>0</v>
      </c>
      <c r="I33" s="404">
        <f t="shared" si="1"/>
        <v>100</v>
      </c>
      <c r="J33" s="284">
        <v>1000000</v>
      </c>
    </row>
    <row r="34" spans="1:16" ht="24.95" customHeight="1">
      <c r="A34" s="416" t="s">
        <v>613</v>
      </c>
      <c r="B34" s="413" t="s">
        <v>614</v>
      </c>
      <c r="C34" s="412">
        <f>+C35</f>
        <v>1000000</v>
      </c>
      <c r="D34" s="412">
        <f t="shared" ref="D34:E34" si="4">+D35</f>
        <v>1000000</v>
      </c>
      <c r="E34" s="412">
        <f t="shared" si="4"/>
        <v>1000000</v>
      </c>
      <c r="F34" s="411">
        <f t="shared" si="3"/>
        <v>1000000</v>
      </c>
      <c r="G34" s="411">
        <f t="shared" si="3"/>
        <v>1000000</v>
      </c>
      <c r="H34" s="691">
        <f t="shared" si="0"/>
        <v>0</v>
      </c>
      <c r="I34" s="821">
        <f t="shared" si="1"/>
        <v>100</v>
      </c>
      <c r="J34" s="284">
        <v>1000000</v>
      </c>
    </row>
    <row r="35" spans="1:16" ht="17.25" customHeight="1">
      <c r="A35" s="416" t="s">
        <v>611</v>
      </c>
      <c r="B35" s="413" t="s">
        <v>615</v>
      </c>
      <c r="C35" s="412">
        <v>1000000</v>
      </c>
      <c r="D35" s="412">
        <v>1000000</v>
      </c>
      <c r="E35" s="411">
        <v>1000000</v>
      </c>
      <c r="F35" s="411">
        <v>1000000</v>
      </c>
      <c r="G35" s="411">
        <v>1000000</v>
      </c>
      <c r="H35" s="691">
        <f t="shared" si="0"/>
        <v>0</v>
      </c>
      <c r="I35" s="821">
        <f t="shared" si="1"/>
        <v>100</v>
      </c>
      <c r="J35" s="284">
        <v>1000000</v>
      </c>
    </row>
    <row r="36" spans="1:16" ht="24.95" customHeight="1">
      <c r="A36" s="406" t="s">
        <v>94</v>
      </c>
      <c r="B36" s="402" t="s">
        <v>31</v>
      </c>
      <c r="C36" s="405">
        <f>+C38+C42</f>
        <v>46208546</v>
      </c>
      <c r="D36" s="405">
        <f>+D42+D38</f>
        <v>46208546</v>
      </c>
      <c r="E36" s="403">
        <f>+E42+E38</f>
        <v>10148069</v>
      </c>
      <c r="F36" s="403"/>
      <c r="G36" s="405"/>
      <c r="H36" s="691">
        <f>G36-E36</f>
        <v>-10148069</v>
      </c>
      <c r="I36" s="821">
        <f t="shared" si="1"/>
        <v>0</v>
      </c>
      <c r="J36" s="285">
        <v>1100000</v>
      </c>
    </row>
    <row r="37" spans="1:16" ht="9.9499999999999993" customHeight="1">
      <c r="A37" s="406"/>
      <c r="B37" s="413"/>
      <c r="C37" s="412"/>
      <c r="D37" s="412"/>
      <c r="E37" s="411"/>
      <c r="F37" s="412"/>
      <c r="G37" s="412"/>
      <c r="H37" s="687"/>
      <c r="I37" s="821"/>
    </row>
    <row r="38" spans="1:16" ht="18" customHeight="1">
      <c r="A38" s="406" t="s">
        <v>95</v>
      </c>
      <c r="B38" s="402" t="s">
        <v>96</v>
      </c>
      <c r="C38" s="405">
        <f>+C39</f>
        <v>45108546</v>
      </c>
      <c r="D38" s="405">
        <f>D39</f>
        <v>45108546</v>
      </c>
      <c r="E38" s="405">
        <f>E39</f>
        <v>9048069</v>
      </c>
      <c r="F38" s="405">
        <f t="shared" ref="F38:G40" si="5">F39</f>
        <v>0</v>
      </c>
      <c r="G38" s="403">
        <f t="shared" si="5"/>
        <v>0</v>
      </c>
      <c r="H38" s="691">
        <f>H39</f>
        <v>-9048069</v>
      </c>
      <c r="I38" s="821">
        <f t="shared" si="1"/>
        <v>0</v>
      </c>
      <c r="J38" s="285">
        <v>0</v>
      </c>
    </row>
    <row r="39" spans="1:16" ht="18" customHeight="1">
      <c r="A39" s="416" t="s">
        <v>97</v>
      </c>
      <c r="B39" s="413" t="s">
        <v>98</v>
      </c>
      <c r="C39" s="412">
        <f>+C40</f>
        <v>45108546</v>
      </c>
      <c r="D39" s="412">
        <f>D40</f>
        <v>45108546</v>
      </c>
      <c r="E39" s="411">
        <f>E41</f>
        <v>9048069</v>
      </c>
      <c r="F39" s="412"/>
      <c r="G39" s="412">
        <f t="shared" si="5"/>
        <v>0</v>
      </c>
      <c r="H39" s="822">
        <f>H40</f>
        <v>-9048069</v>
      </c>
      <c r="I39" s="821">
        <f t="shared" si="1"/>
        <v>0</v>
      </c>
      <c r="J39" s="284">
        <v>0</v>
      </c>
    </row>
    <row r="40" spans="1:16" ht="18" customHeight="1">
      <c r="A40" s="416" t="s">
        <v>99</v>
      </c>
      <c r="B40" s="413" t="s">
        <v>100</v>
      </c>
      <c r="C40" s="412">
        <f>+C41</f>
        <v>45108546</v>
      </c>
      <c r="D40" s="412">
        <f>D41</f>
        <v>45108546</v>
      </c>
      <c r="E40" s="411">
        <v>20084</v>
      </c>
      <c r="F40" s="412">
        <f>+F41</f>
        <v>0</v>
      </c>
      <c r="G40" s="412">
        <f t="shared" si="5"/>
        <v>0</v>
      </c>
      <c r="H40" s="822">
        <f>H41</f>
        <v>-9048069</v>
      </c>
      <c r="I40" s="821">
        <f t="shared" si="1"/>
        <v>0</v>
      </c>
      <c r="J40" s="284">
        <v>0</v>
      </c>
    </row>
    <row r="41" spans="1:16" ht="18" customHeight="1">
      <c r="A41" s="416" t="s">
        <v>101</v>
      </c>
      <c r="B41" s="413" t="s">
        <v>102</v>
      </c>
      <c r="C41" s="412">
        <v>45108546</v>
      </c>
      <c r="D41" s="412">
        <v>45108546</v>
      </c>
      <c r="E41" s="411">
        <f>9003267+24718+20084</f>
        <v>9048069</v>
      </c>
      <c r="F41" s="412">
        <v>0</v>
      </c>
      <c r="G41" s="412"/>
      <c r="H41" s="822">
        <f>G41-E41</f>
        <v>-9048069</v>
      </c>
      <c r="I41" s="821">
        <f t="shared" si="1"/>
        <v>0</v>
      </c>
    </row>
    <row r="42" spans="1:16" ht="24.95" customHeight="1">
      <c r="A42" s="406" t="s">
        <v>103</v>
      </c>
      <c r="B42" s="402" t="s">
        <v>104</v>
      </c>
      <c r="C42" s="405">
        <f>+C43</f>
        <v>1100000</v>
      </c>
      <c r="D42" s="405">
        <f>SUM(D43)</f>
        <v>1100000</v>
      </c>
      <c r="E42" s="403">
        <f>E43</f>
        <v>1100000</v>
      </c>
      <c r="F42" s="405">
        <f>+F43</f>
        <v>1100000</v>
      </c>
      <c r="G42" s="405">
        <f>+G43</f>
        <v>1100000</v>
      </c>
      <c r="H42" s="684">
        <f t="shared" si="0"/>
        <v>0</v>
      </c>
      <c r="I42" s="404">
        <f t="shared" si="1"/>
        <v>100</v>
      </c>
      <c r="J42" s="285">
        <v>1100000</v>
      </c>
    </row>
    <row r="43" spans="1:16" ht="24.95" customHeight="1">
      <c r="A43" s="416" t="s">
        <v>105</v>
      </c>
      <c r="B43" s="413" t="s">
        <v>106</v>
      </c>
      <c r="C43" s="412">
        <f>+C44</f>
        <v>1100000</v>
      </c>
      <c r="D43" s="412">
        <f>+D44</f>
        <v>1100000</v>
      </c>
      <c r="E43" s="411">
        <f>E45</f>
        <v>1100000</v>
      </c>
      <c r="F43" s="412">
        <f>+F44</f>
        <v>1100000</v>
      </c>
      <c r="G43" s="412">
        <f>+G44</f>
        <v>1100000</v>
      </c>
      <c r="H43" s="687">
        <f t="shared" si="0"/>
        <v>0</v>
      </c>
      <c r="I43" s="821">
        <f t="shared" si="1"/>
        <v>100</v>
      </c>
      <c r="J43" s="284">
        <v>1100000</v>
      </c>
    </row>
    <row r="44" spans="1:16" ht="17.45" customHeight="1">
      <c r="A44" s="416" t="s">
        <v>107</v>
      </c>
      <c r="B44" s="413" t="s">
        <v>108</v>
      </c>
      <c r="C44" s="412">
        <f>+C45</f>
        <v>1100000</v>
      </c>
      <c r="D44" s="412">
        <f>D45</f>
        <v>1100000</v>
      </c>
      <c r="E44" s="412">
        <f>E45</f>
        <v>1100000</v>
      </c>
      <c r="F44" s="412">
        <f>+F45</f>
        <v>1100000</v>
      </c>
      <c r="G44" s="412">
        <f>G45</f>
        <v>1100000</v>
      </c>
      <c r="H44" s="687">
        <f t="shared" si="0"/>
        <v>0</v>
      </c>
      <c r="I44" s="821">
        <f t="shared" si="1"/>
        <v>100</v>
      </c>
      <c r="J44" s="284">
        <v>1100000</v>
      </c>
    </row>
    <row r="45" spans="1:16" ht="17.45" customHeight="1">
      <c r="A45" s="416" t="s">
        <v>109</v>
      </c>
      <c r="B45" s="413" t="s">
        <v>110</v>
      </c>
      <c r="C45" s="412">
        <v>1100000</v>
      </c>
      <c r="D45" s="412">
        <v>1100000</v>
      </c>
      <c r="E45" s="411">
        <v>1100000</v>
      </c>
      <c r="F45" s="412">
        <v>1100000</v>
      </c>
      <c r="G45" s="412">
        <v>1100000</v>
      </c>
      <c r="H45" s="687">
        <f t="shared" si="0"/>
        <v>0</v>
      </c>
      <c r="I45" s="821">
        <f t="shared" si="1"/>
        <v>100</v>
      </c>
      <c r="J45" s="284">
        <v>1100000</v>
      </c>
    </row>
    <row r="46" spans="1:16" ht="16.899999999999999" customHeight="1">
      <c r="A46" s="417"/>
      <c r="B46" s="418"/>
      <c r="C46" s="419"/>
      <c r="D46" s="419"/>
      <c r="E46" s="419"/>
      <c r="F46" s="419"/>
      <c r="G46" s="419"/>
      <c r="H46" s="688"/>
      <c r="I46" s="821"/>
      <c r="K46" s="829"/>
      <c r="L46" s="829"/>
      <c r="M46" s="829"/>
      <c r="N46" s="829"/>
      <c r="O46" s="829"/>
      <c r="P46" s="829"/>
    </row>
    <row r="47" spans="1:16" ht="24.6" hidden="1" customHeight="1">
      <c r="A47" s="223"/>
      <c r="B47" s="167" t="s">
        <v>111</v>
      </c>
      <c r="C47" s="167"/>
      <c r="D47" s="700">
        <f>SUM(D49)</f>
        <v>5210534</v>
      </c>
      <c r="E47" s="700">
        <f>SUM(E49)</f>
        <v>4639377</v>
      </c>
      <c r="F47" s="700">
        <f>SUM(F49:F49)</f>
        <v>1797741</v>
      </c>
      <c r="G47" s="700" t="e">
        <f>#REF!+F47</f>
        <v>#REF!</v>
      </c>
      <c r="H47" s="689" t="e">
        <f t="shared" si="0"/>
        <v>#REF!</v>
      </c>
      <c r="I47" s="404" t="e">
        <f t="shared" si="1"/>
        <v>#REF!</v>
      </c>
      <c r="J47" s="284">
        <v>4639377</v>
      </c>
    </row>
    <row r="48" spans="1:16" ht="9.6" hidden="1" customHeight="1">
      <c r="A48" s="223"/>
      <c r="B48" s="168"/>
      <c r="C48" s="168"/>
      <c r="D48" s="221"/>
      <c r="E48" s="221"/>
      <c r="F48" s="221"/>
      <c r="G48" s="222">
        <f>F48</f>
        <v>0</v>
      </c>
      <c r="H48" s="690" t="s">
        <v>12</v>
      </c>
      <c r="I48" s="404" t="e">
        <f t="shared" si="1"/>
        <v>#DIV/0!</v>
      </c>
      <c r="J48" s="284">
        <v>0</v>
      </c>
    </row>
    <row r="49" spans="1:10" ht="24.6" hidden="1" customHeight="1">
      <c r="A49" s="223"/>
      <c r="B49" s="168" t="s">
        <v>112</v>
      </c>
      <c r="C49" s="168"/>
      <c r="D49" s="221">
        <v>5210534</v>
      </c>
      <c r="E49" s="221">
        <v>4639377</v>
      </c>
      <c r="F49" s="221">
        <f>1779848+17893</f>
        <v>1797741</v>
      </c>
      <c r="G49" s="222" t="e">
        <f>F49+#REF!</f>
        <v>#REF!</v>
      </c>
      <c r="H49" s="690" t="e">
        <f>+G49-E49</f>
        <v>#REF!</v>
      </c>
      <c r="I49" s="404" t="e">
        <f t="shared" si="1"/>
        <v>#REF!</v>
      </c>
      <c r="J49" s="284">
        <v>4639377</v>
      </c>
    </row>
    <row r="50" spans="1:10" ht="7.15" hidden="1" customHeight="1">
      <c r="A50" s="5"/>
      <c r="B50" s="224"/>
      <c r="C50" s="224"/>
      <c r="D50" s="701"/>
      <c r="E50" s="701" t="s">
        <v>12</v>
      </c>
      <c r="F50" s="701" t="s">
        <v>12</v>
      </c>
      <c r="G50" s="701" t="s">
        <v>12</v>
      </c>
      <c r="H50" s="550" t="s">
        <v>12</v>
      </c>
      <c r="I50" s="404" t="e">
        <f t="shared" si="1"/>
        <v>#VALUE!</v>
      </c>
      <c r="J50" s="284" t="s">
        <v>12</v>
      </c>
    </row>
    <row r="51" spans="1:10" ht="9" customHeight="1">
      <c r="A51"/>
      <c r="B51" s="225" t="s">
        <v>12</v>
      </c>
      <c r="C51" s="226"/>
      <c r="D51" s="202"/>
      <c r="E51" s="702"/>
      <c r="F51" s="702"/>
      <c r="G51" s="702"/>
      <c r="H51" s="551"/>
      <c r="I51" s="226"/>
    </row>
    <row r="52" spans="1:10">
      <c r="A52" s="835" t="s">
        <v>23</v>
      </c>
      <c r="B52" s="835"/>
      <c r="C52" s="72"/>
      <c r="D52" s="1"/>
      <c r="E52" s="1"/>
      <c r="F52" s="1"/>
      <c r="G52" s="1"/>
      <c r="H52" s="26"/>
      <c r="I52"/>
    </row>
    <row r="53" spans="1:10" ht="15.75">
      <c r="B53" s="227" t="s">
        <v>12</v>
      </c>
      <c r="C53" s="227"/>
      <c r="D53" s="703"/>
      <c r="E53" s="704"/>
      <c r="F53" s="704"/>
      <c r="G53" s="704"/>
      <c r="H53" s="552"/>
      <c r="I53" s="230"/>
    </row>
    <row r="54" spans="1:10" ht="15.75">
      <c r="B54" s="228" t="s">
        <v>12</v>
      </c>
      <c r="C54" s="228"/>
      <c r="D54" s="705" t="s">
        <v>12</v>
      </c>
      <c r="E54" s="704"/>
      <c r="F54" s="704"/>
      <c r="G54" s="704"/>
      <c r="H54" s="552"/>
      <c r="I54" s="230"/>
    </row>
    <row r="55" spans="1:10" ht="15.75">
      <c r="B55" s="228" t="s">
        <v>12</v>
      </c>
      <c r="C55" s="228"/>
      <c r="E55" s="704"/>
      <c r="F55" s="704"/>
      <c r="G55" s="704"/>
      <c r="H55" s="552"/>
      <c r="I55" s="230"/>
    </row>
    <row r="56" spans="1:10" ht="15.75">
      <c r="B56" s="227" t="s">
        <v>12</v>
      </c>
      <c r="C56" s="227"/>
      <c r="D56" s="704"/>
      <c r="E56" s="704"/>
      <c r="F56" s="704"/>
      <c r="G56" s="704"/>
      <c r="H56" s="552"/>
      <c r="I56" s="230"/>
    </row>
    <row r="57" spans="1:10" ht="15.75">
      <c r="B57" s="227" t="s">
        <v>12</v>
      </c>
      <c r="C57" s="227"/>
      <c r="D57" s="704"/>
      <c r="E57" s="704"/>
      <c r="F57" s="704"/>
      <c r="G57" s="704"/>
      <c r="H57" s="552"/>
      <c r="I57" s="230"/>
    </row>
    <row r="58" spans="1:10" ht="15.75">
      <c r="B58" s="227" t="s">
        <v>12</v>
      </c>
      <c r="C58" s="227"/>
      <c r="D58" s="704"/>
      <c r="E58" s="704"/>
      <c r="F58" s="704"/>
      <c r="G58" s="704"/>
      <c r="H58" s="552"/>
      <c r="I58" s="230"/>
    </row>
    <row r="59" spans="1:10" ht="15.75">
      <c r="B59" s="227" t="s">
        <v>12</v>
      </c>
      <c r="C59" s="227"/>
      <c r="D59" s="704"/>
      <c r="E59" s="704"/>
      <c r="F59" s="704"/>
      <c r="G59" s="704"/>
      <c r="H59" s="552"/>
      <c r="I59" s="230"/>
    </row>
    <row r="60" spans="1:10">
      <c r="D60" s="706"/>
      <c r="E60" s="706"/>
      <c r="F60" s="706"/>
      <c r="G60" s="706"/>
      <c r="H60" s="553"/>
      <c r="I60" s="230"/>
    </row>
    <row r="129" spans="5:5">
      <c r="E129" s="78" t="s">
        <v>12</v>
      </c>
    </row>
  </sheetData>
  <mergeCells count="12">
    <mergeCell ref="A52:B52"/>
    <mergeCell ref="A6:A7"/>
    <mergeCell ref="B6:B7"/>
    <mergeCell ref="C6:E6"/>
    <mergeCell ref="F6:G6"/>
    <mergeCell ref="K46:P46"/>
    <mergeCell ref="A1:I1"/>
    <mergeCell ref="A2:I2"/>
    <mergeCell ref="A3:I3"/>
    <mergeCell ref="A4:I4"/>
    <mergeCell ref="H6:I6"/>
    <mergeCell ref="K9:P9"/>
  </mergeCells>
  <pageMargins left="0.27559055118110237" right="0.11811023622047245" top="0.74803149606299213" bottom="0.98425196850393704" header="0.51181102362204722" footer="0.51181102362204722"/>
  <pageSetup scale="55" firstPageNumber="0" orientation="portrait" useFirstPageNumber="1" r:id="rId1"/>
  <headerFooter alignWithMargins="0">
    <oddFooter>&amp;R&amp;"Arial,Negrita"</oddFooter>
  </headerFooter>
  <ignoredErrors>
    <ignoredError sqref="E15:F15 E21 G43 G30 G22:G23 H25 F40 E9 E11 F42 E43 F44 G26 G33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13">
    <tabColor theme="6" tint="0.39997558519241921"/>
    <pageSetUpPr fitToPage="1"/>
  </sheetPr>
  <dimension ref="A1:Y70"/>
  <sheetViews>
    <sheetView showGridLines="0" showZeros="0" zoomScaleNormal="100" workbookViewId="0">
      <selection activeCell="G13" sqref="G13"/>
    </sheetView>
  </sheetViews>
  <sheetFormatPr baseColWidth="10" defaultColWidth="11.42578125" defaultRowHeight="12.75"/>
  <cols>
    <col min="1" max="1" width="40.28515625" customWidth="1"/>
    <col min="2" max="2" width="17.42578125" customWidth="1"/>
    <col min="3" max="3" width="15.85546875" customWidth="1"/>
    <col min="4" max="4" width="14.7109375" customWidth="1"/>
    <col min="5" max="5" width="6.28515625" hidden="1" customWidth="1"/>
    <col min="6" max="6" width="16.5703125" customWidth="1"/>
    <col min="7" max="7" width="11.28515625" customWidth="1"/>
    <col min="8" max="8" width="15.140625" style="1" customWidth="1"/>
    <col min="9" max="9" width="15" customWidth="1"/>
    <col min="10" max="10" width="9.7109375" style="112" customWidth="1"/>
    <col min="11" max="11" width="0.140625" customWidth="1"/>
    <col min="12" max="12" width="12" customWidth="1"/>
    <col min="13" max="13" width="22.42578125" customWidth="1"/>
    <col min="14" max="14" width="11.5703125" customWidth="1"/>
    <col min="15" max="15" width="9.140625" customWidth="1"/>
    <col min="16" max="16" width="9.28515625" customWidth="1"/>
    <col min="17" max="17" width="15.140625" customWidth="1"/>
    <col min="18" max="18" width="22.42578125" customWidth="1"/>
    <col min="20" max="20" width="1.42578125" customWidth="1"/>
    <col min="21" max="21" width="3.140625" customWidth="1"/>
    <col min="22" max="22" width="0.42578125" customWidth="1"/>
    <col min="23" max="23" width="1.5703125" customWidth="1"/>
    <col min="24" max="24" width="0.42578125" customWidth="1"/>
  </cols>
  <sheetData>
    <row r="1" spans="1:25" ht="15.75">
      <c r="A1" s="830" t="s">
        <v>58</v>
      </c>
      <c r="B1" s="830"/>
      <c r="C1" s="830"/>
      <c r="D1" s="830"/>
      <c r="E1" s="830"/>
      <c r="F1" s="830"/>
      <c r="G1" s="830"/>
      <c r="H1" s="830"/>
      <c r="I1" s="830"/>
      <c r="J1" s="830"/>
    </row>
    <row r="2" spans="1:25" ht="15.75">
      <c r="A2" s="830" t="s">
        <v>59</v>
      </c>
      <c r="B2" s="830"/>
      <c r="C2" s="830"/>
      <c r="D2" s="830"/>
      <c r="E2" s="830"/>
      <c r="F2" s="830"/>
      <c r="G2" s="830"/>
      <c r="H2" s="830"/>
      <c r="I2" s="830"/>
      <c r="J2" s="830"/>
    </row>
    <row r="3" spans="1:25" ht="15">
      <c r="A3" s="842" t="s">
        <v>113</v>
      </c>
      <c r="B3" s="843"/>
      <c r="C3" s="843"/>
      <c r="D3" s="843"/>
      <c r="E3" s="843"/>
      <c r="F3" s="843"/>
      <c r="G3" s="843"/>
      <c r="H3" s="843"/>
      <c r="I3" s="843"/>
      <c r="J3" s="844"/>
    </row>
    <row r="4" spans="1:25" ht="15">
      <c r="A4" s="842" t="s">
        <v>625</v>
      </c>
      <c r="B4" s="843"/>
      <c r="C4" s="843"/>
      <c r="D4" s="843"/>
      <c r="E4" s="843"/>
      <c r="F4" s="843"/>
      <c r="G4" s="843"/>
      <c r="H4" s="843"/>
      <c r="I4" s="843"/>
      <c r="J4" s="844"/>
    </row>
    <row r="5" spans="1:25" ht="14.25">
      <c r="A5" s="172"/>
      <c r="B5" s="173"/>
      <c r="C5" s="173"/>
      <c r="D5" s="173"/>
      <c r="E5" s="173"/>
      <c r="F5" s="173"/>
      <c r="G5" s="173"/>
      <c r="H5" s="799"/>
      <c r="I5" s="173"/>
    </row>
    <row r="6" spans="1:25" ht="21" customHeight="1">
      <c r="A6" s="850" t="s">
        <v>0</v>
      </c>
      <c r="B6" s="852" t="s">
        <v>633</v>
      </c>
      <c r="C6" s="845" t="s">
        <v>48</v>
      </c>
      <c r="D6" s="846"/>
      <c r="E6" s="846"/>
      <c r="F6" s="847"/>
      <c r="G6" s="848" t="s">
        <v>634</v>
      </c>
      <c r="H6" s="848"/>
      <c r="I6" s="848" t="s">
        <v>635</v>
      </c>
      <c r="J6" s="849"/>
    </row>
    <row r="7" spans="1:25" ht="33" customHeight="1">
      <c r="A7" s="851"/>
      <c r="B7" s="853"/>
      <c r="C7" s="374" t="s">
        <v>2</v>
      </c>
      <c r="D7" s="374" t="s">
        <v>3</v>
      </c>
      <c r="E7" s="375" t="s">
        <v>3</v>
      </c>
      <c r="F7" s="375" t="s">
        <v>25</v>
      </c>
      <c r="G7" s="375" t="s">
        <v>64</v>
      </c>
      <c r="H7" s="800" t="s">
        <v>114</v>
      </c>
      <c r="I7" s="375" t="s">
        <v>115</v>
      </c>
      <c r="J7" s="376" t="s">
        <v>27</v>
      </c>
      <c r="L7" s="203"/>
    </row>
    <row r="8" spans="1:25" ht="20.100000000000001" customHeight="1">
      <c r="A8" s="174"/>
      <c r="B8" s="175"/>
      <c r="C8" s="176"/>
      <c r="D8" s="177"/>
      <c r="E8" s="177"/>
      <c r="F8" s="178"/>
      <c r="G8" s="178"/>
      <c r="H8" s="801"/>
      <c r="I8" s="178"/>
      <c r="J8" s="363"/>
      <c r="K8" s="26"/>
    </row>
    <row r="9" spans="1:25" ht="20.100000000000001" customHeight="1">
      <c r="A9" s="179" t="s">
        <v>32</v>
      </c>
      <c r="B9" s="180"/>
      <c r="C9" s="181">
        <f t="shared" ref="C9:H9" si="0">+C11+C22</f>
        <v>179349116</v>
      </c>
      <c r="D9" s="181">
        <f t="shared" si="0"/>
        <v>179349116</v>
      </c>
      <c r="E9" s="181" t="e">
        <f t="shared" si="0"/>
        <v>#REF!</v>
      </c>
      <c r="F9" s="181">
        <f>F11+F22</f>
        <v>50158371</v>
      </c>
      <c r="G9" s="181">
        <f>G11+G22</f>
        <v>14651670.16</v>
      </c>
      <c r="H9" s="181">
        <f t="shared" si="0"/>
        <v>28862010.530000001</v>
      </c>
      <c r="I9" s="204">
        <f>+H9-F9</f>
        <v>-21296360.469999999</v>
      </c>
      <c r="J9" s="364">
        <f>+H9/F9*100</f>
        <v>57.541762131788531</v>
      </c>
      <c r="K9" s="158">
        <v>16310340.370000001</v>
      </c>
      <c r="L9" s="1" t="s">
        <v>12</v>
      </c>
    </row>
    <row r="10" spans="1:25" ht="20.100000000000001" customHeight="1">
      <c r="A10" s="179"/>
      <c r="B10" s="180"/>
      <c r="C10" s="181"/>
      <c r="D10" s="181"/>
      <c r="E10" s="181"/>
      <c r="F10" s="181"/>
      <c r="G10" s="181"/>
      <c r="H10" s="181" t="s">
        <v>12</v>
      </c>
      <c r="I10" s="181"/>
      <c r="J10" s="364"/>
      <c r="K10" s="158" t="s">
        <v>12</v>
      </c>
      <c r="M10" t="s">
        <v>12</v>
      </c>
      <c r="R10" s="1" t="s">
        <v>12</v>
      </c>
    </row>
    <row r="11" spans="1:25" ht="20.100000000000001" customHeight="1">
      <c r="A11" s="179" t="s">
        <v>33</v>
      </c>
      <c r="B11" s="180"/>
      <c r="C11" s="181">
        <f t="shared" ref="C11:H11" si="1">SUM(C13:C20)</f>
        <v>13228172</v>
      </c>
      <c r="D11" s="181">
        <f t="shared" si="1"/>
        <v>13228172</v>
      </c>
      <c r="E11" s="181" t="e">
        <f t="shared" si="1"/>
        <v>#REF!</v>
      </c>
      <c r="F11" s="281">
        <f t="shared" si="1"/>
        <v>8035928</v>
      </c>
      <c r="G11" s="281">
        <f t="shared" si="1"/>
        <v>3015386.16</v>
      </c>
      <c r="H11" s="181">
        <f t="shared" si="1"/>
        <v>4453853.53</v>
      </c>
      <c r="I11" s="181">
        <f>+F11-H11</f>
        <v>3582074.4699999997</v>
      </c>
      <c r="J11" s="364">
        <f>+H11/F11*100</f>
        <v>55.424258778824296</v>
      </c>
      <c r="K11" s="158">
        <v>3538467.37</v>
      </c>
      <c r="L11" s="1"/>
    </row>
    <row r="12" spans="1:25" ht="20.100000000000001" customHeight="1">
      <c r="A12" s="182"/>
      <c r="B12" s="183"/>
      <c r="C12" s="184"/>
      <c r="D12" s="184"/>
      <c r="E12" s="184"/>
      <c r="F12" s="184" t="s">
        <v>12</v>
      </c>
      <c r="G12" s="184"/>
      <c r="H12" s="184"/>
      <c r="I12" s="184"/>
      <c r="J12" s="365"/>
      <c r="K12" s="205"/>
    </row>
    <row r="13" spans="1:25" ht="20.100000000000001" customHeight="1">
      <c r="A13" s="185" t="s">
        <v>532</v>
      </c>
      <c r="B13" s="186" t="s">
        <v>116</v>
      </c>
      <c r="C13" s="187">
        <f>+'RECAUDACION ING'!C18</f>
        <v>1264345</v>
      </c>
      <c r="D13" s="187">
        <f>+'RECAUDACION ING'!D18</f>
        <v>1264345</v>
      </c>
      <c r="E13" s="187" t="e">
        <f>+'RECAUDACION ING'!#REF!</f>
        <v>#REF!</v>
      </c>
      <c r="F13" s="279">
        <f>+'RECAUDACION ING'!E18</f>
        <v>37934</v>
      </c>
      <c r="G13" s="279">
        <f>+'RECAUDACION ING'!F18</f>
        <v>15479.8</v>
      </c>
      <c r="H13" s="279">
        <f>+'RECAUDACION ING'!G18</f>
        <v>27354.03</v>
      </c>
      <c r="I13" s="206">
        <f>+H13-F13</f>
        <v>-10579.970000000001</v>
      </c>
      <c r="J13" s="366">
        <f t="shared" ref="J13:J20" si="2">+H13/F13*100</f>
        <v>72.109532345652966</v>
      </c>
      <c r="K13" s="207">
        <v>11874.23</v>
      </c>
      <c r="L13" s="1"/>
      <c r="M13" s="208"/>
      <c r="N13" s="1"/>
      <c r="R13" s="26"/>
      <c r="S13" s="216"/>
      <c r="T13" s="216"/>
      <c r="U13" s="217"/>
      <c r="V13" s="217"/>
      <c r="W13" s="217"/>
      <c r="X13" s="217"/>
      <c r="Y13" s="217"/>
    </row>
    <row r="14" spans="1:25" ht="20.100000000000001" customHeight="1">
      <c r="A14" s="185" t="s">
        <v>34</v>
      </c>
      <c r="B14" s="186" t="s">
        <v>117</v>
      </c>
      <c r="C14" s="187">
        <f>+'RECAUDACION ING'!C19</f>
        <v>2408366</v>
      </c>
      <c r="D14" s="187">
        <f>+'RECAUDACION ING'!D19</f>
        <v>2408366</v>
      </c>
      <c r="E14" s="187" t="e">
        <f>+'RECAUDACION ING'!#REF!</f>
        <v>#REF!</v>
      </c>
      <c r="F14" s="279">
        <f>+'RECAUDACION ING'!E19</f>
        <v>1156472</v>
      </c>
      <c r="G14" s="279">
        <f>+'RECAUDACION ING'!F19</f>
        <v>92519.84</v>
      </c>
      <c r="H14" s="279">
        <f>+'RECAUDACION ING'!G19</f>
        <v>227153.18999999997</v>
      </c>
      <c r="I14" s="206">
        <f t="shared" ref="I14:I20" si="3">+H14-F14</f>
        <v>-929318.81</v>
      </c>
      <c r="J14" s="366">
        <f t="shared" si="2"/>
        <v>19.641910050567585</v>
      </c>
      <c r="K14" s="207">
        <v>134633.34999999998</v>
      </c>
      <c r="L14" s="1"/>
      <c r="M14" s="208"/>
      <c r="S14" s="216"/>
      <c r="T14" s="216"/>
      <c r="U14" s="217"/>
      <c r="V14" s="217"/>
      <c r="W14" s="217"/>
      <c r="X14" s="217"/>
      <c r="Y14" s="217"/>
    </row>
    <row r="15" spans="1:25" ht="20.100000000000001" customHeight="1">
      <c r="A15" s="188" t="s">
        <v>636</v>
      </c>
      <c r="B15" s="186" t="s">
        <v>118</v>
      </c>
      <c r="C15" s="187">
        <f>+'RECAUDACION ING'!C28</f>
        <v>5674884</v>
      </c>
      <c r="D15" s="187">
        <f>+'RECAUDACION ING'!D28</f>
        <v>5674884</v>
      </c>
      <c r="E15" s="187" t="e">
        <f>+'RECAUDACION ING'!#REF!</f>
        <v>#REF!</v>
      </c>
      <c r="F15" s="279">
        <f>+'RECAUDACION ING'!E28</f>
        <v>3820984</v>
      </c>
      <c r="G15" s="279">
        <f>+'RECAUDACION ING'!F28</f>
        <v>566629.25</v>
      </c>
      <c r="H15" s="279">
        <f>+'RECAUDACION ING'!G28</f>
        <v>1484977.75</v>
      </c>
      <c r="I15" s="206">
        <f t="shared" si="3"/>
        <v>-2336006.25</v>
      </c>
      <c r="J15" s="366">
        <f t="shared" si="2"/>
        <v>38.863752112021402</v>
      </c>
      <c r="K15" s="207">
        <v>918348.5</v>
      </c>
      <c r="L15" s="1"/>
      <c r="M15" s="208"/>
      <c r="S15" s="216"/>
      <c r="T15" s="216"/>
      <c r="U15" s="217"/>
      <c r="V15" s="217"/>
      <c r="W15" s="217"/>
      <c r="X15" s="217"/>
      <c r="Y15" s="217"/>
    </row>
    <row r="16" spans="1:25" ht="20.100000000000001" customHeight="1">
      <c r="A16" s="188" t="s">
        <v>35</v>
      </c>
      <c r="B16" s="186" t="s">
        <v>119</v>
      </c>
      <c r="C16" s="187">
        <f>+'RECAUDACION ING'!C29</f>
        <v>72985</v>
      </c>
      <c r="D16" s="187">
        <f>+'RECAUDACION ING'!D29</f>
        <v>72985</v>
      </c>
      <c r="E16" s="187" t="e">
        <f>+'RECAUDACION ING'!#REF!</f>
        <v>#REF!</v>
      </c>
      <c r="F16" s="279">
        <f>+'RECAUDACION ING'!E29</f>
        <v>20438</v>
      </c>
      <c r="G16" s="279">
        <f>+'RECAUDACION ING'!F29</f>
        <v>15058.7</v>
      </c>
      <c r="H16" s="279">
        <f>+'RECAUDACION ING'!G29</f>
        <v>29082.82</v>
      </c>
      <c r="I16" s="209">
        <f t="shared" si="3"/>
        <v>8644.82</v>
      </c>
      <c r="J16" s="366">
        <f t="shared" si="2"/>
        <v>142.29777864761718</v>
      </c>
      <c r="K16" s="207">
        <v>14024.119999999999</v>
      </c>
      <c r="L16" s="1"/>
      <c r="M16" s="208"/>
      <c r="S16" s="216"/>
      <c r="T16" s="216"/>
      <c r="U16" s="217"/>
      <c r="V16" s="217"/>
      <c r="W16" s="217"/>
      <c r="X16" s="217"/>
      <c r="Y16" s="217"/>
    </row>
    <row r="17" spans="1:25" ht="20.100000000000001" customHeight="1">
      <c r="A17" s="188" t="s">
        <v>36</v>
      </c>
      <c r="B17" s="186" t="s">
        <v>120</v>
      </c>
      <c r="C17" s="187">
        <f>+'RECAUDACION ING'!C27</f>
        <v>713904</v>
      </c>
      <c r="D17" s="187">
        <f>+'RECAUDACION ING'!D27</f>
        <v>713904</v>
      </c>
      <c r="E17" s="187" t="e">
        <f>+'RECAUDACION ING'!#REF!</f>
        <v>#REF!</v>
      </c>
      <c r="F17" s="279">
        <f>+'RECAUDACION ING'!E27</f>
        <v>352939</v>
      </c>
      <c r="G17" s="279">
        <f>+'RECAUDACION ING'!F27</f>
        <v>78540.75</v>
      </c>
      <c r="H17" s="279">
        <f>+'RECAUDACION ING'!G27</f>
        <v>325033.49</v>
      </c>
      <c r="I17" s="206">
        <f t="shared" si="3"/>
        <v>-27905.510000000009</v>
      </c>
      <c r="J17" s="366">
        <f t="shared" si="2"/>
        <v>92.093390075905461</v>
      </c>
      <c r="K17" s="207">
        <v>246492.74</v>
      </c>
      <c r="L17" s="1"/>
      <c r="M17" s="208"/>
      <c r="S17" s="216"/>
      <c r="T17" s="216"/>
      <c r="U17" s="217"/>
      <c r="V17" s="217"/>
      <c r="W17" s="217"/>
      <c r="X17" s="217"/>
      <c r="Y17" s="217"/>
    </row>
    <row r="18" spans="1:25" ht="20.100000000000001" customHeight="1">
      <c r="A18" s="188" t="s">
        <v>37</v>
      </c>
      <c r="B18" s="186" t="s">
        <v>121</v>
      </c>
      <c r="C18" s="187">
        <f>+'RECAUDACION ING'!C32</f>
        <v>993688</v>
      </c>
      <c r="D18" s="187">
        <f>+'RECAUDACION ING'!D32</f>
        <v>993688</v>
      </c>
      <c r="E18" s="187" t="e">
        <f>+'RECAUDACION ING'!#REF!</f>
        <v>#REF!</v>
      </c>
      <c r="F18" s="279">
        <f>+'RECAUDACION ING'!E32</f>
        <v>547161</v>
      </c>
      <c r="G18" s="279">
        <f>+'RECAUDACION ING'!F32</f>
        <v>147157.82</v>
      </c>
      <c r="H18" s="279">
        <f>+'RECAUDACION ING'!G32</f>
        <v>260252.25</v>
      </c>
      <c r="I18" s="206">
        <f t="shared" si="3"/>
        <v>-286908.75</v>
      </c>
      <c r="J18" s="366">
        <f t="shared" si="2"/>
        <v>47.564108187535297</v>
      </c>
      <c r="K18" s="207">
        <v>113094.43</v>
      </c>
      <c r="L18" s="1"/>
      <c r="M18" s="208"/>
      <c r="N18" s="1"/>
      <c r="S18" s="216"/>
      <c r="T18" s="216"/>
      <c r="U18" s="217"/>
      <c r="V18" s="217"/>
      <c r="W18" s="217"/>
      <c r="X18" s="217"/>
      <c r="Y18" s="217"/>
    </row>
    <row r="19" spans="1:25" ht="20.100000000000001" customHeight="1">
      <c r="A19" s="188" t="s">
        <v>122</v>
      </c>
      <c r="B19" s="186" t="s">
        <v>123</v>
      </c>
      <c r="C19" s="187">
        <v>1000000</v>
      </c>
      <c r="D19" s="187">
        <v>1000000</v>
      </c>
      <c r="E19" s="187"/>
      <c r="F19" s="279">
        <v>1000000</v>
      </c>
      <c r="G19" s="279">
        <v>1000000</v>
      </c>
      <c r="H19" s="279">
        <v>1000000</v>
      </c>
      <c r="I19" s="206">
        <f t="shared" si="3"/>
        <v>0</v>
      </c>
      <c r="J19" s="366">
        <f t="shared" si="2"/>
        <v>100</v>
      </c>
      <c r="K19" s="207">
        <v>1000000</v>
      </c>
      <c r="L19" s="1"/>
      <c r="M19" s="208"/>
      <c r="S19" s="216"/>
      <c r="T19" s="216"/>
      <c r="U19" s="217"/>
      <c r="V19" s="217"/>
      <c r="W19" s="217"/>
      <c r="X19" s="217"/>
      <c r="Y19" s="217"/>
    </row>
    <row r="20" spans="1:25" ht="20.100000000000001" customHeight="1">
      <c r="A20" s="188" t="s">
        <v>38</v>
      </c>
      <c r="B20" s="186" t="s">
        <v>124</v>
      </c>
      <c r="C20" s="187">
        <f>+'RECAUDACION ING'!C45</f>
        <v>1100000</v>
      </c>
      <c r="D20" s="187">
        <f>+'RECAUDACION ING'!D45</f>
        <v>1100000</v>
      </c>
      <c r="E20" s="187" t="e">
        <f>+'RECAUDACION ING'!#REF!</f>
        <v>#REF!</v>
      </c>
      <c r="F20" s="279">
        <f>+'RECAUDACION ING'!E45</f>
        <v>1100000</v>
      </c>
      <c r="G20" s="279">
        <f>+'RECAUDACION ING'!F42</f>
        <v>1100000</v>
      </c>
      <c r="H20" s="279">
        <v>1100000</v>
      </c>
      <c r="I20" s="206">
        <f t="shared" si="3"/>
        <v>0</v>
      </c>
      <c r="J20" s="366">
        <f t="shared" si="2"/>
        <v>100</v>
      </c>
      <c r="K20" s="207">
        <v>1100000</v>
      </c>
      <c r="L20" s="1"/>
      <c r="M20" s="208"/>
      <c r="S20" s="216"/>
      <c r="T20" s="216"/>
      <c r="U20" s="217"/>
      <c r="V20" s="217"/>
      <c r="W20" s="217"/>
      <c r="X20" s="217"/>
      <c r="Y20" s="217"/>
    </row>
    <row r="21" spans="1:25" ht="20.100000000000001" customHeight="1">
      <c r="A21" s="185"/>
      <c r="B21" s="189"/>
      <c r="C21" s="190"/>
      <c r="D21" s="184"/>
      <c r="E21" s="184"/>
      <c r="F21" s="280" t="s">
        <v>12</v>
      </c>
      <c r="G21" s="280" t="s">
        <v>12</v>
      </c>
      <c r="H21" s="280" t="str">
        <f>G21</f>
        <v xml:space="preserve"> </v>
      </c>
      <c r="I21" s="210"/>
      <c r="J21" s="365"/>
      <c r="K21" s="205" t="s">
        <v>12</v>
      </c>
      <c r="L21" s="1"/>
      <c r="M21" s="208"/>
      <c r="S21" s="216"/>
      <c r="T21" s="216"/>
      <c r="U21" s="217"/>
      <c r="V21" s="217"/>
      <c r="W21" s="217"/>
      <c r="X21" s="217"/>
      <c r="Y21" s="217"/>
    </row>
    <row r="22" spans="1:25" ht="20.100000000000001" customHeight="1">
      <c r="A22" s="179" t="s">
        <v>22</v>
      </c>
      <c r="B22" s="191"/>
      <c r="C22" s="192">
        <f>+C24+C30</f>
        <v>166120944</v>
      </c>
      <c r="D22" s="181">
        <f>+D24+D30</f>
        <v>166120944</v>
      </c>
      <c r="E22" s="181">
        <f>+E24+E30</f>
        <v>99974034</v>
      </c>
      <c r="F22" s="281">
        <f>F24+F30</f>
        <v>42122443</v>
      </c>
      <c r="G22" s="281">
        <f>+G24+G30</f>
        <v>11636284</v>
      </c>
      <c r="H22" s="281">
        <f>+G22+K22</f>
        <v>24408157</v>
      </c>
      <c r="I22" s="204">
        <f>H22-F22</f>
        <v>-17714286</v>
      </c>
      <c r="J22" s="364">
        <f>+H22/F22*100</f>
        <v>57.945729785900589</v>
      </c>
      <c r="K22" s="211">
        <v>12771873</v>
      </c>
      <c r="L22" s="1"/>
      <c r="M22" s="208" t="s">
        <v>12</v>
      </c>
      <c r="S22" s="218"/>
      <c r="T22" s="218"/>
      <c r="U22" s="217"/>
      <c r="V22" s="217"/>
      <c r="W22" s="217"/>
      <c r="X22" s="217"/>
      <c r="Y22" s="217"/>
    </row>
    <row r="23" spans="1:25" ht="20.100000000000001" customHeight="1">
      <c r="A23" s="179" t="s">
        <v>12</v>
      </c>
      <c r="B23" s="191"/>
      <c r="C23" s="193"/>
      <c r="D23" s="181"/>
      <c r="E23" s="181"/>
      <c r="F23" s="281"/>
      <c r="G23" s="281"/>
      <c r="H23" s="281">
        <f>G23</f>
        <v>0</v>
      </c>
      <c r="I23" s="192"/>
      <c r="J23" s="364"/>
      <c r="K23" s="211">
        <v>0</v>
      </c>
      <c r="L23" s="1"/>
      <c r="M23" s="208"/>
      <c r="R23" s="1"/>
      <c r="S23" s="216"/>
      <c r="T23" s="216"/>
      <c r="U23" s="217"/>
      <c r="V23" s="217"/>
      <c r="W23" s="217"/>
      <c r="X23" s="217"/>
      <c r="Y23" s="217"/>
    </row>
    <row r="24" spans="1:25" ht="33" customHeight="1">
      <c r="A24" s="194" t="s">
        <v>44</v>
      </c>
      <c r="B24" s="191" t="s">
        <v>125</v>
      </c>
      <c r="C24" s="181">
        <f>SUM(C26:C28)</f>
        <v>121012398</v>
      </c>
      <c r="D24" s="181">
        <f>SUM(D26:D28)</f>
        <v>121012398</v>
      </c>
      <c r="E24" s="181">
        <f>SUM(E26:E28)</f>
        <v>94763500</v>
      </c>
      <c r="F24" s="281">
        <f>+F26+F27+F28</f>
        <v>33074374</v>
      </c>
      <c r="G24" s="281">
        <f>SUM(G26:G28)</f>
        <v>2588215</v>
      </c>
      <c r="H24" s="281">
        <f>H26+H27+H28</f>
        <v>15360088</v>
      </c>
      <c r="I24" s="204">
        <f>+H24-F24</f>
        <v>-17714286</v>
      </c>
      <c r="J24" s="364">
        <f>+H24/F24*100</f>
        <v>46.441054334089586</v>
      </c>
      <c r="K24" s="211">
        <v>12771873</v>
      </c>
      <c r="L24" s="1"/>
      <c r="M24" s="208"/>
      <c r="S24" s="218"/>
      <c r="T24" s="218"/>
      <c r="U24" s="217"/>
      <c r="V24" s="217"/>
      <c r="W24" s="217"/>
      <c r="X24" s="217"/>
      <c r="Y24" s="217"/>
    </row>
    <row r="25" spans="1:25" ht="17.45" customHeight="1">
      <c r="A25" s="194"/>
      <c r="B25" s="191"/>
      <c r="C25" s="193"/>
      <c r="D25" s="181"/>
      <c r="E25" s="181"/>
      <c r="F25" s="281"/>
      <c r="G25" s="181"/>
      <c r="H25" s="181"/>
      <c r="I25" s="192"/>
      <c r="J25" s="364"/>
      <c r="K25" s="211"/>
      <c r="L25" s="1"/>
      <c r="M25" s="208"/>
      <c r="S25" s="218"/>
      <c r="T25" s="218"/>
      <c r="U25" s="217"/>
      <c r="V25" s="217"/>
      <c r="W25" s="217"/>
      <c r="X25" s="217"/>
      <c r="Y25" s="217"/>
    </row>
    <row r="26" spans="1:25" ht="20.100000000000001" customHeight="1">
      <c r="A26" s="188" t="s">
        <v>126</v>
      </c>
      <c r="B26" s="189"/>
      <c r="C26" s="187">
        <v>104211900</v>
      </c>
      <c r="D26" s="187">
        <v>104211900</v>
      </c>
      <c r="E26" s="187">
        <v>88702609</v>
      </c>
      <c r="F26" s="279">
        <f>10155997+9614203+7558289</f>
        <v>27328489</v>
      </c>
      <c r="G26" s="187"/>
      <c r="H26" s="187">
        <f>K26+G26</f>
        <v>9614203</v>
      </c>
      <c r="I26" s="206">
        <f>+H26-F26</f>
        <v>-17714286</v>
      </c>
      <c r="J26" s="366">
        <f>+H26/F26*100</f>
        <v>35.180148452408034</v>
      </c>
      <c r="K26" s="212">
        <v>9614203</v>
      </c>
      <c r="L26" s="1"/>
      <c r="M26" s="208"/>
      <c r="S26" s="216"/>
      <c r="T26" s="216"/>
      <c r="U26" s="217"/>
      <c r="V26" s="217"/>
      <c r="W26" s="217"/>
      <c r="X26" s="217"/>
      <c r="Y26" s="217"/>
    </row>
    <row r="27" spans="1:25" ht="20.100000000000001" customHeight="1">
      <c r="A27" s="188" t="s">
        <v>127</v>
      </c>
      <c r="B27" s="186" t="s">
        <v>12</v>
      </c>
      <c r="C27" s="187">
        <v>100000</v>
      </c>
      <c r="D27" s="187">
        <v>100000</v>
      </c>
      <c r="E27" s="187" t="s">
        <v>12</v>
      </c>
      <c r="F27" s="279">
        <f>10000+10000+10000</f>
        <v>30000</v>
      </c>
      <c r="G27" s="187">
        <v>20000</v>
      </c>
      <c r="H27" s="187">
        <f>K27+G27</f>
        <v>30000</v>
      </c>
      <c r="I27" s="209"/>
      <c r="J27" s="366">
        <f>+H27/F27*100</f>
        <v>100</v>
      </c>
      <c r="K27" s="212">
        <v>10000</v>
      </c>
      <c r="L27" s="1"/>
      <c r="M27" s="208"/>
      <c r="S27" s="216"/>
      <c r="T27" s="216"/>
      <c r="U27" s="217"/>
      <c r="V27" s="217"/>
      <c r="W27" s="217"/>
      <c r="X27" s="217"/>
      <c r="Y27" s="217"/>
    </row>
    <row r="28" spans="1:25" ht="20.100000000000001" customHeight="1">
      <c r="A28" s="188" t="s">
        <v>128</v>
      </c>
      <c r="B28" s="186"/>
      <c r="C28" s="187">
        <v>16700498</v>
      </c>
      <c r="D28" s="187">
        <v>16700498</v>
      </c>
      <c r="E28" s="187">
        <v>6060891</v>
      </c>
      <c r="F28" s="279">
        <f>1350277+3147670+1217938</f>
        <v>5715885</v>
      </c>
      <c r="G28" s="187">
        <v>2568215</v>
      </c>
      <c r="H28" s="187">
        <f>K28+G28</f>
        <v>5715885</v>
      </c>
      <c r="I28" s="206">
        <f>+H28-F28</f>
        <v>0</v>
      </c>
      <c r="J28" s="366">
        <f>+H28/F28*100</f>
        <v>100</v>
      </c>
      <c r="K28" s="213">
        <v>3147670</v>
      </c>
      <c r="L28" s="1"/>
      <c r="M28" s="208"/>
      <c r="S28" s="216"/>
      <c r="T28" s="216"/>
      <c r="U28" s="217"/>
      <c r="V28" s="217"/>
      <c r="W28" s="217"/>
      <c r="X28" s="217"/>
      <c r="Y28" s="217"/>
    </row>
    <row r="29" spans="1:25" ht="20.100000000000001" customHeight="1">
      <c r="A29" s="195" t="s">
        <v>12</v>
      </c>
      <c r="B29" s="189"/>
      <c r="C29" s="184" t="s">
        <v>12</v>
      </c>
      <c r="D29" s="184" t="s">
        <v>12</v>
      </c>
      <c r="E29" s="184" t="s">
        <v>12</v>
      </c>
      <c r="F29" s="282" t="s">
        <v>12</v>
      </c>
      <c r="G29" s="187" t="s">
        <v>12</v>
      </c>
      <c r="H29" s="184" t="s">
        <v>12</v>
      </c>
      <c r="I29" s="184"/>
      <c r="J29" s="365"/>
      <c r="K29" s="214" t="s">
        <v>12</v>
      </c>
      <c r="L29" s="1"/>
      <c r="M29" s="208"/>
      <c r="S29" s="216"/>
      <c r="T29" s="216"/>
      <c r="U29" s="217"/>
      <c r="V29" s="217"/>
      <c r="W29" s="217"/>
      <c r="X29" s="217"/>
      <c r="Y29" s="217"/>
    </row>
    <row r="30" spans="1:25" ht="23.25" customHeight="1">
      <c r="A30" s="194" t="s">
        <v>45</v>
      </c>
      <c r="B30" s="191" t="s">
        <v>129</v>
      </c>
      <c r="C30" s="181">
        <v>45108546</v>
      </c>
      <c r="D30" s="181">
        <v>45108546</v>
      </c>
      <c r="E30" s="181">
        <v>5210534</v>
      </c>
      <c r="F30" s="281">
        <f>9003267+24718+20084</f>
        <v>9048069</v>
      </c>
      <c r="G30" s="181">
        <v>9048069</v>
      </c>
      <c r="H30" s="181">
        <f>+G30+K30</f>
        <v>9048069</v>
      </c>
      <c r="I30" s="206">
        <f>+H30-F30</f>
        <v>0</v>
      </c>
      <c r="J30" s="364">
        <f>+H30/F30*100</f>
        <v>100</v>
      </c>
      <c r="K30" s="215">
        <v>0</v>
      </c>
      <c r="L30" s="1" t="s">
        <v>12</v>
      </c>
      <c r="M30" s="208"/>
      <c r="S30" s="219"/>
      <c r="T30" s="219"/>
      <c r="U30" s="217"/>
      <c r="V30" s="217"/>
      <c r="W30" s="217"/>
      <c r="X30" s="217"/>
      <c r="Y30" s="217"/>
    </row>
    <row r="31" spans="1:25" ht="20.100000000000001" customHeight="1">
      <c r="A31" s="196" t="s">
        <v>12</v>
      </c>
      <c r="B31" s="197"/>
      <c r="C31" s="198"/>
      <c r="D31" s="199"/>
      <c r="E31" s="199"/>
      <c r="F31" s="283">
        <v>0</v>
      </c>
      <c r="G31" s="198" t="s">
        <v>12</v>
      </c>
      <c r="H31" s="199" t="s">
        <v>12</v>
      </c>
      <c r="I31" s="199"/>
      <c r="J31" s="367"/>
      <c r="K31" t="s">
        <v>12</v>
      </c>
    </row>
    <row r="32" spans="1:25" ht="10.5" customHeight="1">
      <c r="A32" s="200" t="s">
        <v>12</v>
      </c>
      <c r="B32" s="200"/>
      <c r="C32" s="201"/>
      <c r="D32" s="200"/>
      <c r="E32" s="200"/>
      <c r="F32" s="200"/>
      <c r="G32" s="200"/>
      <c r="H32" s="541"/>
      <c r="I32" s="200"/>
      <c r="J32" s="368"/>
    </row>
    <row r="33" spans="1:10" ht="15.75">
      <c r="A33" s="111" t="s">
        <v>39</v>
      </c>
      <c r="B33" s="111"/>
      <c r="C33" s="202"/>
      <c r="D33" s="200"/>
      <c r="E33" s="200"/>
      <c r="F33" s="200" t="s">
        <v>12</v>
      </c>
      <c r="G33" s="200"/>
      <c r="H33" s="541"/>
      <c r="I33" s="200"/>
      <c r="J33" s="368"/>
    </row>
    <row r="38" spans="1:10" ht="12" customHeight="1"/>
    <row r="69" spans="1:25">
      <c r="A69" t="s">
        <v>130</v>
      </c>
      <c r="Y69" t="s">
        <v>131</v>
      </c>
    </row>
    <row r="70" spans="1:25">
      <c r="Y70" t="s">
        <v>132</v>
      </c>
    </row>
  </sheetData>
  <mergeCells count="9">
    <mergeCell ref="A1:J1"/>
    <mergeCell ref="A2:J2"/>
    <mergeCell ref="A3:J3"/>
    <mergeCell ref="A4:J4"/>
    <mergeCell ref="C6:F6"/>
    <mergeCell ref="G6:H6"/>
    <mergeCell ref="I6:J6"/>
    <mergeCell ref="A6:A7"/>
    <mergeCell ref="B6:B7"/>
  </mergeCells>
  <pageMargins left="7.8740157480315001E-2" right="0" top="0.39370078740157499" bottom="0.39370078740157499" header="0.511811023622047" footer="0.511811023622047"/>
  <pageSetup scale="87" firstPageNumber="0" orientation="landscape" useFirstPageNumber="1" r:id="rId1"/>
  <headerFooter alignWithMargins="0"/>
  <ignoredErrors>
    <ignoredError sqref="F22:G22 H22:H23 G9 F24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39997558519241921"/>
  </sheetPr>
  <dimension ref="A1:X56"/>
  <sheetViews>
    <sheetView showGridLines="0" showZeros="0" workbookViewId="0">
      <selection activeCell="I30" sqref="I30"/>
    </sheetView>
  </sheetViews>
  <sheetFormatPr baseColWidth="10" defaultColWidth="11.42578125" defaultRowHeight="12.75"/>
  <cols>
    <col min="1" max="1" width="43.28515625" style="264" customWidth="1"/>
    <col min="2" max="2" width="12.28515625" style="264" customWidth="1"/>
    <col min="3" max="3" width="15.28515625" style="264" customWidth="1"/>
    <col min="4" max="4" width="0.140625" style="264" hidden="1" customWidth="1"/>
    <col min="5" max="5" width="9.28515625" style="264" hidden="1" customWidth="1"/>
    <col min="6" max="6" width="13.7109375" style="264" customWidth="1"/>
    <col min="7" max="7" width="14.5703125" style="264" customWidth="1"/>
    <col min="8" max="8" width="13.42578125" style="268" customWidth="1"/>
    <col min="9" max="9" width="15.140625" style="257" customWidth="1"/>
    <col min="10" max="16384" width="11.42578125" style="257"/>
  </cols>
  <sheetData>
    <row r="1" spans="1:24" ht="6.75" customHeight="1">
      <c r="A1" s="254"/>
      <c r="B1" s="254"/>
      <c r="C1" s="254"/>
      <c r="D1" s="255"/>
      <c r="E1" s="255"/>
      <c r="F1" s="255"/>
      <c r="G1" s="255"/>
      <c r="H1" s="256"/>
    </row>
    <row r="2" spans="1:24" ht="15" customHeight="1">
      <c r="A2" s="855" t="s">
        <v>58</v>
      </c>
      <c r="B2" s="855"/>
      <c r="C2" s="855"/>
      <c r="D2" s="855"/>
      <c r="E2" s="855"/>
      <c r="F2" s="855"/>
      <c r="G2" s="855"/>
      <c r="H2" s="855"/>
      <c r="I2" s="258"/>
      <c r="J2" s="258"/>
    </row>
    <row r="3" spans="1:24" ht="16.5" customHeight="1">
      <c r="A3" s="855" t="s">
        <v>59</v>
      </c>
      <c r="B3" s="855"/>
      <c r="C3" s="855"/>
      <c r="D3" s="855"/>
      <c r="E3" s="855"/>
      <c r="F3" s="855"/>
      <c r="G3" s="855"/>
      <c r="H3" s="855"/>
      <c r="I3" s="258"/>
      <c r="J3" s="258"/>
    </row>
    <row r="4" spans="1:24" ht="18" customHeight="1">
      <c r="A4" s="856" t="s">
        <v>516</v>
      </c>
      <c r="B4" s="856"/>
      <c r="C4" s="856"/>
      <c r="D4" s="856"/>
      <c r="E4" s="856"/>
      <c r="F4" s="856"/>
      <c r="G4" s="856"/>
      <c r="H4" s="856"/>
    </row>
    <row r="5" spans="1:24" ht="18" customHeight="1">
      <c r="A5" s="857" t="s">
        <v>626</v>
      </c>
      <c r="B5" s="856"/>
      <c r="C5" s="856"/>
      <c r="D5" s="856"/>
      <c r="E5" s="856"/>
      <c r="F5" s="856"/>
      <c r="G5" s="856"/>
      <c r="H5" s="856"/>
    </row>
    <row r="6" spans="1:24" ht="15.75" customHeight="1">
      <c r="A6" s="259"/>
      <c r="B6" s="259"/>
      <c r="C6" s="259"/>
      <c r="D6" s="259"/>
      <c r="E6" s="259"/>
      <c r="F6" s="259"/>
      <c r="G6" s="259"/>
      <c r="H6" s="259" t="s">
        <v>12</v>
      </c>
    </row>
    <row r="7" spans="1:24" ht="20.25" customHeight="1">
      <c r="A7" s="858" t="s">
        <v>0</v>
      </c>
      <c r="B7" s="860" t="s">
        <v>48</v>
      </c>
      <c r="C7" s="860"/>
      <c r="D7" s="860"/>
      <c r="E7" s="860"/>
      <c r="F7" s="860"/>
      <c r="G7" s="861" t="s">
        <v>41</v>
      </c>
      <c r="H7" s="863" t="s">
        <v>40</v>
      </c>
    </row>
    <row r="8" spans="1:24" ht="31.5" customHeight="1">
      <c r="A8" s="859"/>
      <c r="B8" s="420" t="s">
        <v>2</v>
      </c>
      <c r="C8" s="421" t="s">
        <v>63</v>
      </c>
      <c r="D8" s="422" t="s">
        <v>3</v>
      </c>
      <c r="E8" s="422" t="s">
        <v>3</v>
      </c>
      <c r="F8" s="422" t="s">
        <v>25</v>
      </c>
      <c r="G8" s="862"/>
      <c r="H8" s="864"/>
    </row>
    <row r="9" spans="1:24" s="260" customFormat="1" ht="6" customHeight="1">
      <c r="A9" s="423"/>
      <c r="B9" s="424"/>
      <c r="C9" s="425"/>
      <c r="D9" s="426" t="s">
        <v>12</v>
      </c>
      <c r="E9" s="426"/>
      <c r="F9" s="426"/>
      <c r="G9" s="426" t="s">
        <v>12</v>
      </c>
      <c r="H9" s="427" t="s">
        <v>12</v>
      </c>
      <c r="I9" s="257"/>
      <c r="J9" s="257"/>
      <c r="K9" s="257"/>
      <c r="L9" s="257"/>
      <c r="M9" s="257"/>
      <c r="N9" s="257"/>
      <c r="O9" s="257"/>
      <c r="P9" s="257"/>
      <c r="Q9" s="257"/>
      <c r="R9" s="257"/>
      <c r="S9" s="257"/>
      <c r="T9" s="257"/>
      <c r="U9" s="257"/>
      <c r="V9" s="257"/>
      <c r="W9" s="257"/>
      <c r="X9" s="257"/>
    </row>
    <row r="10" spans="1:24" ht="24.95" customHeight="1">
      <c r="A10" s="428" t="s">
        <v>517</v>
      </c>
      <c r="B10" s="429">
        <f>+'RECAUDACION ING'!C11</f>
        <v>133140570</v>
      </c>
      <c r="C10" s="429">
        <f>+'RECAUDACION ING'!D11</f>
        <v>133140570</v>
      </c>
      <c r="D10" s="429">
        <f>+[2]CA1!D11</f>
        <v>141094806</v>
      </c>
      <c r="E10" s="430"/>
      <c r="F10" s="430">
        <f>+'RECAUDACION ING'!E11</f>
        <v>40010300</v>
      </c>
      <c r="G10" s="430">
        <f>+'RECAUDACION ING'!G11</f>
        <v>27762010.530000001</v>
      </c>
      <c r="H10" s="431">
        <f>G10/F10*100</f>
        <v>69.387159131523632</v>
      </c>
      <c r="I10" s="261"/>
    </row>
    <row r="11" spans="1:24" ht="15" customHeight="1">
      <c r="A11" s="428"/>
      <c r="B11" s="432"/>
      <c r="C11" s="429" t="s">
        <v>12</v>
      </c>
      <c r="D11" s="429">
        <f>+FUNCIONAMIENTO!E183</f>
        <v>8000</v>
      </c>
      <c r="E11" s="430"/>
      <c r="F11" s="430"/>
      <c r="G11" s="430"/>
      <c r="H11" s="433"/>
      <c r="I11" s="261" t="s">
        <v>12</v>
      </c>
    </row>
    <row r="12" spans="1:24" ht="24.95" customHeight="1">
      <c r="A12" s="434" t="s">
        <v>518</v>
      </c>
      <c r="B12" s="429">
        <f>+B14+B15</f>
        <v>133140570</v>
      </c>
      <c r="C12" s="429">
        <f>+'BALANCE GASTOS'!C11</f>
        <v>133140570</v>
      </c>
      <c r="D12" s="429" t="e">
        <f>+'BALANCE GASTOS'!#REF!</f>
        <v>#REF!</v>
      </c>
      <c r="E12" s="429"/>
      <c r="F12" s="429">
        <f>+FUNCIONAMIENTO!F184</f>
        <v>40620174</v>
      </c>
      <c r="G12" s="429">
        <f>+FUNCIONAMIENTO!H184</f>
        <v>30014125.291000001</v>
      </c>
      <c r="H12" s="431">
        <f>G12/F12*100</f>
        <v>73.8897014350554</v>
      </c>
    </row>
    <row r="13" spans="1:24" ht="15" customHeight="1">
      <c r="A13" s="435"/>
      <c r="B13" s="436"/>
      <c r="C13" s="429" t="s">
        <v>12</v>
      </c>
      <c r="D13" s="429">
        <f>+FUNCIONAMIENTO!E185</f>
        <v>0</v>
      </c>
      <c r="E13" s="437"/>
      <c r="F13" s="437"/>
      <c r="G13" s="437" t="s">
        <v>12</v>
      </c>
      <c r="H13" s="438"/>
    </row>
    <row r="14" spans="1:24" ht="24.95" customHeight="1">
      <c r="A14" s="439" t="s">
        <v>519</v>
      </c>
      <c r="B14" s="440">
        <f>+'BALANCE GASTOS'!B13</f>
        <v>131474332</v>
      </c>
      <c r="C14" s="440">
        <f>+'BALANCE GASTOS'!C13</f>
        <v>131798082</v>
      </c>
      <c r="D14" s="430" t="e">
        <f>+'BALANCE GASTOS'!#REF!</f>
        <v>#REF!</v>
      </c>
      <c r="E14" s="440"/>
      <c r="F14" s="440">
        <f>+'BALANCE GASTOS'!D13</f>
        <v>39649121</v>
      </c>
      <c r="G14" s="440">
        <f>+G12-G15</f>
        <v>29392456.491</v>
      </c>
      <c r="H14" s="441">
        <f>G14/F14*100</f>
        <v>74.131420192139956</v>
      </c>
      <c r="K14" s="524" t="s">
        <v>595</v>
      </c>
    </row>
    <row r="15" spans="1:24" ht="24.95" customHeight="1">
      <c r="A15" s="442" t="s">
        <v>520</v>
      </c>
      <c r="B15" s="440">
        <f>+FUNCIONAMIENTO!C160</f>
        <v>1666238</v>
      </c>
      <c r="C15" s="440">
        <f>+FUNCIONAMIENTO!E160</f>
        <v>1342488</v>
      </c>
      <c r="D15" s="430" t="e">
        <f>+'BALANCE GASTOS'!#REF!</f>
        <v>#REF!</v>
      </c>
      <c r="E15" s="440"/>
      <c r="F15" s="440">
        <f>+FUNCIONAMIENTO!F160</f>
        <v>971053</v>
      </c>
      <c r="G15" s="440">
        <f>+FUNCIONAMIENTO!H160</f>
        <v>621668.80000000005</v>
      </c>
      <c r="H15" s="441">
        <f>G15/F15*100</f>
        <v>64.020068935475209</v>
      </c>
    </row>
    <row r="16" spans="1:24" ht="13.5" customHeight="1">
      <c r="A16" s="442"/>
      <c r="B16" s="443"/>
      <c r="C16" s="443"/>
      <c r="D16" s="440"/>
      <c r="E16" s="440"/>
      <c r="F16" s="440"/>
      <c r="G16" s="440"/>
      <c r="H16" s="441" t="s">
        <v>12</v>
      </c>
      <c r="L16" s="262" t="s">
        <v>12</v>
      </c>
    </row>
    <row r="17" spans="1:12" ht="24.95" customHeight="1">
      <c r="A17" s="434" t="s">
        <v>521</v>
      </c>
      <c r="B17" s="444"/>
      <c r="C17" s="444"/>
      <c r="D17" s="445">
        <v>0</v>
      </c>
      <c r="E17" s="445"/>
      <c r="F17" s="445">
        <v>0</v>
      </c>
      <c r="G17" s="446">
        <f>G10-G12+1</f>
        <v>-2252113.7609999999</v>
      </c>
      <c r="H17" s="441" t="s">
        <v>12</v>
      </c>
      <c r="L17" s="555"/>
    </row>
    <row r="18" spans="1:12" ht="12.75" customHeight="1">
      <c r="A18" s="442" t="s">
        <v>12</v>
      </c>
      <c r="B18" s="443"/>
      <c r="C18" s="443"/>
      <c r="D18" s="440"/>
      <c r="E18" s="440"/>
      <c r="F18" s="440"/>
      <c r="G18" s="440"/>
      <c r="H18" s="441" t="s">
        <v>12</v>
      </c>
    </row>
    <row r="19" spans="1:12" ht="24.95" customHeight="1">
      <c r="A19" s="434" t="s">
        <v>522</v>
      </c>
      <c r="B19" s="717">
        <f>+B21</f>
        <v>46208546</v>
      </c>
      <c r="C19" s="718">
        <f>SUM(C21)</f>
        <v>46208546</v>
      </c>
      <c r="D19" s="718">
        <f>SUM(D21:D24)</f>
        <v>46208546</v>
      </c>
      <c r="E19" s="718"/>
      <c r="F19" s="718">
        <f>SUM(F21:F24)</f>
        <v>14471139</v>
      </c>
      <c r="G19" s="718">
        <f>SUM(G21:G24)</f>
        <v>5720668.0700000003</v>
      </c>
      <c r="H19" s="431">
        <f>G19/F19*100</f>
        <v>39.531567418431955</v>
      </c>
      <c r="L19" s="557" t="s">
        <v>12</v>
      </c>
    </row>
    <row r="20" spans="1:12" ht="15.75" customHeight="1">
      <c r="A20" s="442"/>
      <c r="B20" s="719"/>
      <c r="C20" s="719"/>
      <c r="D20" s="720" t="s">
        <v>12</v>
      </c>
      <c r="E20" s="720"/>
      <c r="F20" s="720" t="s">
        <v>12</v>
      </c>
      <c r="G20" s="720"/>
      <c r="H20" s="441" t="s">
        <v>12</v>
      </c>
    </row>
    <row r="21" spans="1:12" ht="24.95" customHeight="1">
      <c r="A21" s="442" t="s">
        <v>530</v>
      </c>
      <c r="B21" s="720">
        <f>+'PROYECTROS INV'!B49</f>
        <v>46208546</v>
      </c>
      <c r="C21" s="720">
        <f>+'PROYECTROS INV'!D49</f>
        <v>46208546</v>
      </c>
      <c r="D21" s="720">
        <f>+'PROYECTROS INV'!B49</f>
        <v>46208546</v>
      </c>
      <c r="E21" s="720"/>
      <c r="F21" s="720">
        <f>+'PROYECTROS INV'!E49</f>
        <v>14471139</v>
      </c>
      <c r="G21" s="720">
        <f>+'PROYECTROS INV'!G49</f>
        <v>5720668.0700000003</v>
      </c>
      <c r="H21" s="441">
        <f>G21/F21*100</f>
        <v>39.531567418431955</v>
      </c>
      <c r="I21" s="257" t="s">
        <v>12</v>
      </c>
      <c r="L21" s="557" t="s">
        <v>12</v>
      </c>
    </row>
    <row r="22" spans="1:12" ht="24.95" customHeight="1">
      <c r="A22" s="442" t="s">
        <v>523</v>
      </c>
      <c r="B22" s="721"/>
      <c r="C22" s="721"/>
      <c r="D22" s="722">
        <v>0</v>
      </c>
      <c r="E22" s="722"/>
      <c r="F22" s="722">
        <v>0</v>
      </c>
      <c r="G22" s="722" t="s">
        <v>12</v>
      </c>
      <c r="H22" s="441" t="s">
        <v>12</v>
      </c>
      <c r="L22" s="555"/>
    </row>
    <row r="23" spans="1:12" ht="24.95" customHeight="1">
      <c r="A23" s="442" t="s">
        <v>524</v>
      </c>
      <c r="B23" s="721"/>
      <c r="C23" s="721"/>
      <c r="D23" s="722">
        <v>0</v>
      </c>
      <c r="E23" s="722"/>
      <c r="F23" s="722">
        <v>0</v>
      </c>
      <c r="G23" s="722">
        <v>0</v>
      </c>
      <c r="H23" s="554" t="s">
        <v>12</v>
      </c>
    </row>
    <row r="24" spans="1:12" ht="24.95" customHeight="1">
      <c r="A24" s="442" t="s">
        <v>525</v>
      </c>
      <c r="B24" s="721"/>
      <c r="C24" s="721"/>
      <c r="D24" s="722" t="s">
        <v>12</v>
      </c>
      <c r="E24" s="722"/>
      <c r="F24" s="722" t="s">
        <v>12</v>
      </c>
      <c r="G24" s="722">
        <v>0</v>
      </c>
      <c r="H24" s="441" t="s">
        <v>12</v>
      </c>
    </row>
    <row r="25" spans="1:12" ht="11.25" customHeight="1">
      <c r="A25" s="442"/>
      <c r="B25" s="721"/>
      <c r="C25" s="721"/>
      <c r="D25" s="722"/>
      <c r="E25" s="722"/>
      <c r="F25" s="722"/>
      <c r="G25" s="722" t="s">
        <v>12</v>
      </c>
      <c r="H25" s="441" t="s">
        <v>12</v>
      </c>
    </row>
    <row r="26" spans="1:12" ht="24.95" customHeight="1">
      <c r="A26" s="434" t="s">
        <v>526</v>
      </c>
      <c r="B26" s="723">
        <f>+B28+B30</f>
        <v>46208546</v>
      </c>
      <c r="C26" s="723">
        <f>SUM(C28:C30)</f>
        <v>46208546</v>
      </c>
      <c r="D26" s="723" t="e">
        <f>SUM(D28:D30)</f>
        <v>#REF!</v>
      </c>
      <c r="E26" s="723"/>
      <c r="F26" s="723">
        <f>SUM(F28:F30)</f>
        <v>10148069</v>
      </c>
      <c r="G26" s="723">
        <f>SUM(G28:G30)</f>
        <v>1100000</v>
      </c>
      <c r="H26" s="431">
        <f>G26/F26*100</f>
        <v>10.839500598586785</v>
      </c>
    </row>
    <row r="27" spans="1:12" ht="12.75" customHeight="1">
      <c r="A27" s="442"/>
      <c r="B27" s="721"/>
      <c r="C27" s="721"/>
      <c r="D27" s="722"/>
      <c r="E27" s="722"/>
      <c r="F27" s="722"/>
      <c r="G27" s="722"/>
      <c r="H27" s="431"/>
    </row>
    <row r="28" spans="1:12" ht="24.95" customHeight="1">
      <c r="A28" s="442" t="s">
        <v>527</v>
      </c>
      <c r="B28" s="722">
        <f>+'RECAUDACION ING'!C42</f>
        <v>1100000</v>
      </c>
      <c r="C28" s="722">
        <f>+'RECAUDACION ING'!D42</f>
        <v>1100000</v>
      </c>
      <c r="D28" s="722">
        <f>+'RECAUDACION ING'!D42</f>
        <v>1100000</v>
      </c>
      <c r="E28" s="722"/>
      <c r="F28" s="722">
        <f>+'RECAUDACION ING'!E42</f>
        <v>1100000</v>
      </c>
      <c r="G28" s="722">
        <f>+'RECAUDACION ING'!G43</f>
        <v>1100000</v>
      </c>
      <c r="H28" s="554">
        <f t="shared" ref="H28" si="0">G28/F28*100</f>
        <v>100</v>
      </c>
    </row>
    <row r="29" spans="1:12" ht="24.95" customHeight="1">
      <c r="A29" s="442" t="s">
        <v>528</v>
      </c>
      <c r="B29" s="721"/>
      <c r="C29" s="721"/>
      <c r="D29" s="722">
        <v>0</v>
      </c>
      <c r="E29" s="722"/>
      <c r="F29" s="722">
        <v>0</v>
      </c>
      <c r="G29" s="722">
        <v>0</v>
      </c>
      <c r="H29" s="441" t="s">
        <v>12</v>
      </c>
      <c r="K29" s="257" t="s">
        <v>12</v>
      </c>
    </row>
    <row r="30" spans="1:12" ht="24.95" customHeight="1">
      <c r="A30" s="442" t="s">
        <v>529</v>
      </c>
      <c r="B30" s="722">
        <f>+'RECAUDACION ING'!C39</f>
        <v>45108546</v>
      </c>
      <c r="C30" s="722">
        <f>+'RECAUDACION ING'!D39</f>
        <v>45108546</v>
      </c>
      <c r="D30" s="722" t="e">
        <f>+'RECAUDACION ING'!#REF!</f>
        <v>#REF!</v>
      </c>
      <c r="E30" s="722"/>
      <c r="F30" s="722">
        <f>+'RECAUDACION ING'!E39</f>
        <v>9048069</v>
      </c>
      <c r="G30" s="722">
        <f>+'RECAUDACION ING'!G39</f>
        <v>0</v>
      </c>
      <c r="H30" s="441">
        <f>G30/F30*100</f>
        <v>0</v>
      </c>
    </row>
    <row r="31" spans="1:12" ht="8.25" customHeight="1">
      <c r="A31" s="447"/>
      <c r="B31" s="724"/>
      <c r="C31" s="724"/>
      <c r="D31" s="725" t="s">
        <v>12</v>
      </c>
      <c r="E31" s="725"/>
      <c r="F31" s="725" t="s">
        <v>12</v>
      </c>
      <c r="G31" s="726" t="s">
        <v>12</v>
      </c>
      <c r="H31" s="438" t="s">
        <v>12</v>
      </c>
    </row>
    <row r="32" spans="1:12" ht="24.95" customHeight="1">
      <c r="A32" s="802" t="s">
        <v>632</v>
      </c>
      <c r="B32" s="448"/>
      <c r="C32" s="448"/>
      <c r="D32" s="449" t="s">
        <v>12</v>
      </c>
      <c r="E32" s="449"/>
      <c r="F32" s="449" t="s">
        <v>12</v>
      </c>
      <c r="G32" s="450">
        <f>G17-G19+G26</f>
        <v>-6872781.8310000002</v>
      </c>
      <c r="H32" s="451" t="s">
        <v>12</v>
      </c>
    </row>
    <row r="33" spans="1:11" ht="9" customHeight="1">
      <c r="A33" s="520"/>
      <c r="B33" s="520"/>
      <c r="C33" s="520"/>
      <c r="D33" s="521"/>
      <c r="E33" s="521"/>
      <c r="F33" s="521"/>
      <c r="G33" s="522"/>
      <c r="H33" s="523"/>
    </row>
    <row r="34" spans="1:11" ht="15" customHeight="1">
      <c r="A34" s="519" t="s">
        <v>47</v>
      </c>
      <c r="B34" s="556" t="s">
        <v>12</v>
      </c>
      <c r="C34" s="257"/>
      <c r="D34" s="257"/>
      <c r="E34" s="257"/>
      <c r="F34" s="257"/>
      <c r="G34" s="257"/>
      <c r="H34" s="259"/>
      <c r="I34" s="264"/>
      <c r="J34" s="265"/>
      <c r="K34" s="264"/>
    </row>
    <row r="35" spans="1:11" ht="12.75" customHeight="1">
      <c r="A35" s="257"/>
      <c r="B35" s="257"/>
      <c r="C35" s="257"/>
      <c r="D35" s="257"/>
      <c r="E35" s="257"/>
      <c r="F35" s="257"/>
      <c r="G35" s="854" t="s">
        <v>12</v>
      </c>
      <c r="H35" s="854"/>
      <c r="I35" s="264"/>
      <c r="J35" s="266" t="s">
        <v>12</v>
      </c>
      <c r="K35" s="264"/>
    </row>
    <row r="36" spans="1:11" ht="14.25" customHeight="1">
      <c r="D36" s="263"/>
      <c r="E36" s="263"/>
      <c r="F36" s="263"/>
      <c r="G36" s="263"/>
      <c r="H36" s="267"/>
    </row>
    <row r="37" spans="1:11" ht="11.25" customHeight="1">
      <c r="A37" s="263" t="s">
        <v>12</v>
      </c>
      <c r="B37" s="263"/>
      <c r="C37" s="263"/>
    </row>
    <row r="38" spans="1:11" ht="11.25" customHeight="1">
      <c r="A38" s="263"/>
      <c r="B38" s="263"/>
      <c r="C38" s="263"/>
      <c r="J38" s="257" t="s">
        <v>12</v>
      </c>
    </row>
    <row r="39" spans="1:11" ht="11.25" customHeight="1">
      <c r="A39" s="263"/>
      <c r="B39" s="263"/>
      <c r="C39" s="263"/>
    </row>
    <row r="56" spans="7:7">
      <c r="G56" s="264" t="s">
        <v>12</v>
      </c>
    </row>
  </sheetData>
  <mergeCells count="9">
    <mergeCell ref="G35:H35"/>
    <mergeCell ref="A2:H2"/>
    <mergeCell ref="A3:H3"/>
    <mergeCell ref="A4:H4"/>
    <mergeCell ref="A5:H5"/>
    <mergeCell ref="A7:A8"/>
    <mergeCell ref="B7:F7"/>
    <mergeCell ref="G7:G8"/>
    <mergeCell ref="H7:H8"/>
  </mergeCells>
  <pageMargins left="0.70866141732283505" right="0.59055118110236204" top="0.39370078740157499" bottom="0.39370078740157499" header="0.511811023622047" footer="0.511811023622047"/>
  <pageSetup scale="80" firstPageNumber="0" orientation="portrait" useFirstPageNumber="1" r:id="rId1"/>
  <headerFooter alignWithMargins="0"/>
  <ignoredErrors>
    <ignoredError sqref="C21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5">
    <tabColor theme="6" tint="0.39997558519241921"/>
  </sheetPr>
  <dimension ref="A1:K88"/>
  <sheetViews>
    <sheetView showGridLines="0" showZeros="0" zoomScale="96" zoomScaleNormal="96" workbookViewId="0">
      <selection activeCell="H33" sqref="H33"/>
    </sheetView>
  </sheetViews>
  <sheetFormatPr baseColWidth="10" defaultColWidth="11.42578125" defaultRowHeight="12.75"/>
  <cols>
    <col min="1" max="1" width="32" style="4" customWidth="1"/>
    <col min="2" max="2" width="11.85546875" style="369" customWidth="1"/>
    <col min="3" max="3" width="12.28515625" style="325" customWidth="1"/>
    <col min="4" max="4" width="13.28515625" style="4" hidden="1" customWidth="1"/>
    <col min="5" max="5" width="21.5703125" style="4" hidden="1" customWidth="1"/>
    <col min="6" max="6" width="12.28515625" style="4" customWidth="1"/>
    <col min="7" max="7" width="15.140625" style="4" customWidth="1"/>
    <col min="8" max="8" width="14.28515625" style="4" customWidth="1"/>
  </cols>
  <sheetData>
    <row r="1" spans="1:11" ht="18" customHeight="1">
      <c r="A1" s="830" t="s">
        <v>58</v>
      </c>
      <c r="B1" s="830"/>
      <c r="C1" s="830"/>
      <c r="D1" s="830"/>
      <c r="E1" s="830"/>
      <c r="F1" s="830"/>
      <c r="G1" s="830"/>
      <c r="H1" s="830"/>
    </row>
    <row r="2" spans="1:11" ht="19.5" customHeight="1">
      <c r="A2" s="830" t="s">
        <v>59</v>
      </c>
      <c r="B2" s="830"/>
      <c r="C2" s="830"/>
      <c r="D2" s="830"/>
      <c r="E2" s="830"/>
      <c r="F2" s="830"/>
      <c r="G2" s="830"/>
      <c r="H2" s="830"/>
    </row>
    <row r="3" spans="1:11" ht="18" customHeight="1">
      <c r="A3" s="831" t="s">
        <v>133</v>
      </c>
      <c r="B3" s="831"/>
      <c r="C3" s="831"/>
      <c r="D3" s="831"/>
      <c r="E3" s="831"/>
      <c r="F3" s="831"/>
      <c r="G3" s="831"/>
      <c r="H3" s="831"/>
    </row>
    <row r="4" spans="1:11" ht="16.5" customHeight="1">
      <c r="A4" s="831" t="s">
        <v>630</v>
      </c>
      <c r="B4" s="831"/>
      <c r="C4" s="831"/>
      <c r="D4" s="831"/>
      <c r="E4" s="831"/>
      <c r="F4" s="831"/>
      <c r="G4" s="831"/>
      <c r="H4" s="831"/>
    </row>
    <row r="5" spans="1:11" ht="8.25" customHeight="1">
      <c r="A5" s="159"/>
      <c r="B5" s="484"/>
      <c r="C5" s="734"/>
      <c r="D5" s="159"/>
      <c r="E5" s="6"/>
      <c r="F5" s="6"/>
      <c r="G5" s="6"/>
      <c r="H5" s="3"/>
    </row>
    <row r="6" spans="1:11" ht="20.100000000000001" customHeight="1">
      <c r="A6" s="865" t="s">
        <v>0</v>
      </c>
      <c r="B6" s="869" t="s">
        <v>48</v>
      </c>
      <c r="C6" s="869"/>
      <c r="D6" s="869"/>
      <c r="E6" s="869"/>
      <c r="F6" s="869"/>
      <c r="G6" s="869"/>
      <c r="H6" s="867" t="s">
        <v>40</v>
      </c>
    </row>
    <row r="7" spans="1:11" ht="31.5" customHeight="1">
      <c r="A7" s="866"/>
      <c r="B7" s="452" t="s">
        <v>2</v>
      </c>
      <c r="C7" s="735" t="s">
        <v>63</v>
      </c>
      <c r="D7" s="453" t="s">
        <v>3</v>
      </c>
      <c r="E7" s="454" t="s">
        <v>3</v>
      </c>
      <c r="F7" s="454" t="s">
        <v>25</v>
      </c>
      <c r="G7" s="453" t="s">
        <v>41</v>
      </c>
      <c r="H7" s="868"/>
      <c r="K7" t="s">
        <v>12</v>
      </c>
    </row>
    <row r="8" spans="1:11" ht="6.75" customHeight="1">
      <c r="A8" s="455"/>
      <c r="B8" s="456"/>
      <c r="C8" s="736"/>
      <c r="D8" s="457"/>
      <c r="E8" s="458"/>
      <c r="F8" s="459"/>
      <c r="G8" s="459"/>
      <c r="H8" s="460"/>
    </row>
    <row r="9" spans="1:11" ht="18" customHeight="1">
      <c r="A9" s="394" t="s">
        <v>6</v>
      </c>
      <c r="B9" s="395"/>
      <c r="C9" s="737"/>
      <c r="D9" s="461"/>
      <c r="E9" s="461"/>
      <c r="F9" s="461"/>
      <c r="G9" s="461"/>
      <c r="H9" s="462"/>
    </row>
    <row r="10" spans="1:11" ht="9" customHeight="1">
      <c r="A10" s="463"/>
      <c r="B10" s="464"/>
      <c r="C10" s="738"/>
      <c r="D10" s="465"/>
      <c r="E10" s="465"/>
      <c r="F10" s="465"/>
      <c r="G10" s="465"/>
      <c r="H10" s="466"/>
    </row>
    <row r="11" spans="1:11" ht="15" customHeight="1">
      <c r="A11" s="463" t="s">
        <v>53</v>
      </c>
      <c r="B11" s="464">
        <f>B14</f>
        <v>132140.56999999998</v>
      </c>
      <c r="C11" s="738">
        <f>C14</f>
        <v>132140.56999999998</v>
      </c>
      <c r="D11" s="464" t="e">
        <f>+D14</f>
        <v>#REF!</v>
      </c>
      <c r="E11" s="464" t="e">
        <f>+E14+#REF!</f>
        <v>#REF!</v>
      </c>
      <c r="F11" s="464">
        <f>+F14+F19</f>
        <v>40010.300000000003</v>
      </c>
      <c r="G11" s="464">
        <f>+G14</f>
        <v>27762.01053</v>
      </c>
      <c r="H11" s="467">
        <f>G11/F11*100</f>
        <v>69.387159131523617</v>
      </c>
    </row>
    <row r="12" spans="1:11" ht="11.25" customHeight="1">
      <c r="A12" s="468"/>
      <c r="B12" s="469"/>
      <c r="C12" s="739"/>
      <c r="D12" s="469"/>
      <c r="E12" s="469"/>
      <c r="F12" s="469"/>
      <c r="G12" s="469"/>
      <c r="H12" s="470" t="s">
        <v>12</v>
      </c>
    </row>
    <row r="13" spans="1:11" ht="15" customHeight="1">
      <c r="A13" s="463" t="s">
        <v>134</v>
      </c>
      <c r="B13" s="469"/>
      <c r="C13" s="739"/>
      <c r="D13" s="469"/>
      <c r="E13" s="469"/>
      <c r="F13" s="469"/>
      <c r="G13" s="469"/>
      <c r="H13" s="470" t="s">
        <v>12</v>
      </c>
    </row>
    <row r="14" spans="1:11" ht="15" customHeight="1">
      <c r="A14" s="463" t="s">
        <v>135</v>
      </c>
      <c r="B14" s="464">
        <f>SUM(B15:B18)</f>
        <v>132140.56999999998</v>
      </c>
      <c r="C14" s="738">
        <f>SUM(C15:C18)</f>
        <v>132140.56999999998</v>
      </c>
      <c r="D14" s="464" t="e">
        <f>SUM(D15:D18)</f>
        <v>#REF!</v>
      </c>
      <c r="E14" s="464">
        <f>SUM(E15:E18)</f>
        <v>132140.56999999998</v>
      </c>
      <c r="F14" s="464">
        <f>+F15+F16+F17+F18</f>
        <v>39010.300000000003</v>
      </c>
      <c r="G14" s="464">
        <f>+('RECAUDACION ING'!G13)/1000</f>
        <v>27762.01053</v>
      </c>
      <c r="H14" s="467">
        <f>G14/F14*100</f>
        <v>71.165847301866421</v>
      </c>
    </row>
    <row r="15" spans="1:11" ht="15" customHeight="1">
      <c r="A15" s="472" t="s">
        <v>136</v>
      </c>
      <c r="B15" s="471">
        <f>+('RECAUDACION ING'!C15)/1000</f>
        <v>3672.7109999999998</v>
      </c>
      <c r="C15" s="740">
        <f>+('RECAUDACION ING'!D15)/1000</f>
        <v>3672.7109999999998</v>
      </c>
      <c r="D15" s="471" t="e">
        <f>+('RECAUDACION ING'!#REF!)/1000</f>
        <v>#REF!</v>
      </c>
      <c r="E15" s="471">
        <f>+('RECAUDACION ING'!D15)/1000</f>
        <v>3672.7109999999998</v>
      </c>
      <c r="F15" s="471">
        <f>+('RECAUDACION ING'!E15)/1000</f>
        <v>1194.4059999999999</v>
      </c>
      <c r="G15" s="471">
        <f>+('RECAUDACION ING'!G15)/1000</f>
        <v>254.50721999999996</v>
      </c>
      <c r="H15" s="473">
        <f>G15/F15*100</f>
        <v>21.308267038176297</v>
      </c>
      <c r="I15" t="s">
        <v>12</v>
      </c>
    </row>
    <row r="16" spans="1:11" ht="15" customHeight="1">
      <c r="A16" s="472" t="s">
        <v>137</v>
      </c>
      <c r="B16" s="471">
        <f>+('RECAUDACION ING'!C21)/1000</f>
        <v>121012.398</v>
      </c>
      <c r="C16" s="740">
        <f>+('RECAUDACION ING'!D21)/1000</f>
        <v>121012.398</v>
      </c>
      <c r="D16" s="471">
        <f>+('RECAUDACION ING'!D21)/1000</f>
        <v>121012.398</v>
      </c>
      <c r="E16" s="471">
        <f>+('RECAUDACION ING'!D21)/1000</f>
        <v>121012.398</v>
      </c>
      <c r="F16" s="471">
        <f>+('RECAUDACION ING'!E21)/1000</f>
        <v>33074.372000000003</v>
      </c>
      <c r="G16" s="471">
        <f>+('RECAUDACION ING'!G21)/1000</f>
        <v>24408.156999999999</v>
      </c>
      <c r="H16" s="473">
        <f>G16/F16*100</f>
        <v>73.797794255927201</v>
      </c>
      <c r="J16" t="s">
        <v>12</v>
      </c>
    </row>
    <row r="17" spans="1:8" ht="15" customHeight="1">
      <c r="A17" s="472" t="s">
        <v>138</v>
      </c>
      <c r="B17" s="471">
        <f>+('RECAUDACION ING'!C26)/1000</f>
        <v>6461.7730000000001</v>
      </c>
      <c r="C17" s="740">
        <f>+('RECAUDACION ING'!D26)/1000</f>
        <v>6461.7730000000001</v>
      </c>
      <c r="D17" s="471" t="e">
        <f>+('RECAUDACION ING'!#REF!)/1000</f>
        <v>#REF!</v>
      </c>
      <c r="E17" s="471">
        <f>+('RECAUDACION ING'!D26)/1000</f>
        <v>6461.7730000000001</v>
      </c>
      <c r="F17" s="471">
        <f>+('RECAUDACION ING'!E26)/1000</f>
        <v>4194.3609999999999</v>
      </c>
      <c r="G17" s="471">
        <f>+('RECAUDACION ING'!G26)/1000</f>
        <v>1839.0940600000001</v>
      </c>
      <c r="H17" s="473">
        <f>G17/F17*100</f>
        <v>43.846823389784525</v>
      </c>
    </row>
    <row r="18" spans="1:8" ht="15" customHeight="1">
      <c r="A18" s="472" t="s">
        <v>139</v>
      </c>
      <c r="B18" s="471">
        <f>+('RECAUDACION ING'!C31)/1000</f>
        <v>993.68799999999999</v>
      </c>
      <c r="C18" s="740">
        <f>+('RECAUDACION ING'!D31)/1000</f>
        <v>993.68799999999999</v>
      </c>
      <c r="D18" s="471" t="e">
        <f>+('RECAUDACION ING'!#REF!)/1000</f>
        <v>#REF!</v>
      </c>
      <c r="E18" s="471">
        <f>+('RECAUDACION ING'!D31)/1000</f>
        <v>993.68799999999999</v>
      </c>
      <c r="F18" s="471">
        <f>+('RECAUDACION ING'!E31)/1000</f>
        <v>547.16099999999994</v>
      </c>
      <c r="G18" s="471">
        <f>+('RECAUDACION ING'!G31)/1000</f>
        <v>260.25225</v>
      </c>
      <c r="H18" s="473">
        <f>G18/F18*100</f>
        <v>47.564108187535304</v>
      </c>
    </row>
    <row r="19" spans="1:8" ht="16.5" customHeight="1">
      <c r="A19" s="463" t="s">
        <v>617</v>
      </c>
      <c r="B19" s="474">
        <f>B20</f>
        <v>1000</v>
      </c>
      <c r="C19" s="474">
        <f t="shared" ref="C19:E19" si="0">C20</f>
        <v>1000</v>
      </c>
      <c r="D19" s="474">
        <f t="shared" si="0"/>
        <v>1000</v>
      </c>
      <c r="E19" s="474">
        <f t="shared" si="0"/>
        <v>1000</v>
      </c>
      <c r="F19" s="474">
        <f>F20</f>
        <v>1000</v>
      </c>
      <c r="G19" s="464">
        <f>+G20</f>
        <v>1000</v>
      </c>
      <c r="H19" s="467"/>
    </row>
    <row r="20" spans="1:8" ht="16.5" customHeight="1">
      <c r="A20" s="472" t="s">
        <v>618</v>
      </c>
      <c r="B20" s="475">
        <v>1000</v>
      </c>
      <c r="C20" s="471">
        <f>('RECAUDACION ING'!D33)/1000</f>
        <v>1000</v>
      </c>
      <c r="D20" s="471">
        <f>+('RECAUDACION ING'!E33)/1000</f>
        <v>1000</v>
      </c>
      <c r="E20" s="471">
        <f>+('RECAUDACION ING'!F33)/1000</f>
        <v>1000</v>
      </c>
      <c r="F20" s="471">
        <f>+('RECAUDACION ING'!E34)/1000</f>
        <v>1000</v>
      </c>
      <c r="G20" s="471">
        <v>1000</v>
      </c>
      <c r="H20" s="473"/>
    </row>
    <row r="21" spans="1:8" ht="16.5" customHeight="1">
      <c r="A21" s="558"/>
      <c r="B21" s="475"/>
      <c r="C21" s="740"/>
      <c r="D21" s="475"/>
      <c r="E21" s="475"/>
      <c r="F21" s="471"/>
      <c r="G21" s="471"/>
      <c r="H21" s="473"/>
    </row>
    <row r="22" spans="1:8" ht="15" customHeight="1">
      <c r="A22" s="463" t="s">
        <v>31</v>
      </c>
      <c r="B22" s="474">
        <f t="shared" ref="B22:G22" si="1">SUM(B23:B25)</f>
        <v>46208.546000000002</v>
      </c>
      <c r="C22" s="741">
        <f t="shared" si="1"/>
        <v>46208.546000000002</v>
      </c>
      <c r="D22" s="474" t="e">
        <f t="shared" si="1"/>
        <v>#REF!</v>
      </c>
      <c r="E22" s="474">
        <f t="shared" si="1"/>
        <v>6310.5339999999997</v>
      </c>
      <c r="F22" s="474">
        <f t="shared" si="1"/>
        <v>1120.0840000000001</v>
      </c>
      <c r="G22" s="474">
        <f t="shared" si="1"/>
        <v>1100</v>
      </c>
      <c r="H22" s="467">
        <f>G22/F22*100</f>
        <v>98.206920195271067</v>
      </c>
    </row>
    <row r="23" spans="1:8" ht="15" customHeight="1">
      <c r="A23" s="472" t="s">
        <v>140</v>
      </c>
      <c r="B23" s="475">
        <f>+('RECAUDACION ING'!C42)/1000</f>
        <v>1100</v>
      </c>
      <c r="C23" s="742">
        <f>+('RECAUDACION ING'!D42)/1000</f>
        <v>1100</v>
      </c>
      <c r="D23" s="475">
        <f>+('RECAUDACION ING'!E42)/1000</f>
        <v>1100</v>
      </c>
      <c r="E23" s="475">
        <f>+('RECAUDACION ING'!F42)/1000</f>
        <v>1100</v>
      </c>
      <c r="F23" s="475">
        <f>+('RECAUDACION ING'!G42)/1000</f>
        <v>1100</v>
      </c>
      <c r="G23" s="475">
        <v>1100</v>
      </c>
      <c r="H23" s="473">
        <f>G23/F23*100</f>
        <v>100</v>
      </c>
    </row>
    <row r="24" spans="1:8" ht="15" customHeight="1">
      <c r="A24" s="472" t="s">
        <v>141</v>
      </c>
      <c r="B24" s="475">
        <v>0</v>
      </c>
      <c r="C24" s="742">
        <v>0</v>
      </c>
      <c r="D24" s="475">
        <v>0</v>
      </c>
      <c r="E24" s="475">
        <v>0</v>
      </c>
      <c r="F24" s="475">
        <v>0</v>
      </c>
      <c r="G24" s="475"/>
      <c r="H24" s="473" t="s">
        <v>12</v>
      </c>
    </row>
    <row r="25" spans="1:8" ht="15" customHeight="1">
      <c r="A25" s="463" t="s">
        <v>142</v>
      </c>
      <c r="B25" s="474">
        <f>B26</f>
        <v>45108.546000000002</v>
      </c>
      <c r="C25" s="741">
        <f>SUM(C26)</f>
        <v>45108.546000000002</v>
      </c>
      <c r="D25" s="474" t="e">
        <f>SUM(D26)</f>
        <v>#REF!</v>
      </c>
      <c r="E25" s="474">
        <f>SUM(E26)</f>
        <v>5210.5339999999997</v>
      </c>
      <c r="F25" s="474">
        <f>SUM(F26)</f>
        <v>20.084</v>
      </c>
      <c r="G25" s="474">
        <f>SUM(G26)</f>
        <v>0</v>
      </c>
      <c r="H25" s="467">
        <f>G25/F25*100</f>
        <v>0</v>
      </c>
    </row>
    <row r="26" spans="1:8" ht="15" customHeight="1">
      <c r="A26" s="472" t="s">
        <v>143</v>
      </c>
      <c r="B26" s="475">
        <f>+('RECAUDACION ING'!C40)/1000</f>
        <v>45108.546000000002</v>
      </c>
      <c r="C26" s="742">
        <f>+('RECAUDACION ING'!D40)/1000</f>
        <v>45108.546000000002</v>
      </c>
      <c r="D26" s="475" t="e">
        <f>+('RECAUDACION ING'!#REF!)/1000</f>
        <v>#REF!</v>
      </c>
      <c r="E26" s="475">
        <f>+('RECAUDACION ING'!D47)/1000</f>
        <v>5210.5339999999997</v>
      </c>
      <c r="F26" s="475">
        <f>+('RECAUDACION ING'!E40)/1000</f>
        <v>20.084</v>
      </c>
      <c r="G26" s="475">
        <f>+('RECAUDACION ING'!G39)/1000</f>
        <v>0</v>
      </c>
      <c r="H26" s="473">
        <f>G26/F26*100</f>
        <v>0</v>
      </c>
    </row>
    <row r="27" spans="1:8" ht="15" customHeight="1">
      <c r="A27" s="472" t="s">
        <v>144</v>
      </c>
      <c r="B27" s="471"/>
      <c r="C27" s="740"/>
      <c r="D27" s="471"/>
      <c r="E27" s="471"/>
      <c r="F27" s="471"/>
      <c r="G27" s="471"/>
      <c r="H27" s="473" t="s">
        <v>12</v>
      </c>
    </row>
    <row r="28" spans="1:8" ht="9" customHeight="1">
      <c r="A28" s="472"/>
      <c r="B28" s="471"/>
      <c r="C28" s="740"/>
      <c r="D28" s="471"/>
      <c r="E28" s="471"/>
      <c r="F28" s="471"/>
      <c r="G28" s="471"/>
      <c r="H28" s="473" t="s">
        <v>12</v>
      </c>
    </row>
    <row r="29" spans="1:8" ht="18" customHeight="1">
      <c r="A29" s="463" t="s">
        <v>145</v>
      </c>
      <c r="B29" s="464">
        <f t="shared" ref="B29:G29" si="2">+B11+B22</f>
        <v>178349.11599999998</v>
      </c>
      <c r="C29" s="738">
        <f t="shared" si="2"/>
        <v>178349.11599999998</v>
      </c>
      <c r="D29" s="464" t="e">
        <f t="shared" si="2"/>
        <v>#REF!</v>
      </c>
      <c r="E29" s="464" t="e">
        <f t="shared" si="2"/>
        <v>#REF!</v>
      </c>
      <c r="F29" s="464">
        <f t="shared" si="2"/>
        <v>41130.384000000005</v>
      </c>
      <c r="G29" s="464">
        <f t="shared" si="2"/>
        <v>28862.01053</v>
      </c>
      <c r="H29" s="467">
        <f>G29/F29*100</f>
        <v>70.171993847662577</v>
      </c>
    </row>
    <row r="30" spans="1:8" ht="9" customHeight="1">
      <c r="A30" s="472"/>
      <c r="B30" s="471"/>
      <c r="C30" s="740"/>
      <c r="D30" s="471"/>
      <c r="E30" s="471"/>
      <c r="F30" s="471"/>
      <c r="G30" s="471"/>
      <c r="H30" s="473" t="s">
        <v>12</v>
      </c>
    </row>
    <row r="31" spans="1:8" ht="18" customHeight="1">
      <c r="A31" s="394" t="s">
        <v>54</v>
      </c>
      <c r="B31" s="476"/>
      <c r="C31" s="743"/>
      <c r="D31" s="471"/>
      <c r="E31" s="471"/>
      <c r="F31" s="471"/>
      <c r="G31" s="471"/>
      <c r="H31" s="473" t="s">
        <v>12</v>
      </c>
    </row>
    <row r="32" spans="1:8" ht="9" customHeight="1">
      <c r="A32" s="472"/>
      <c r="B32" s="471"/>
      <c r="C32" s="740"/>
      <c r="D32" s="471"/>
      <c r="E32" s="471"/>
      <c r="F32" s="471"/>
      <c r="G32" s="471"/>
      <c r="H32" s="473" t="s">
        <v>12</v>
      </c>
    </row>
    <row r="33" spans="1:9" ht="15" customHeight="1">
      <c r="A33" s="463" t="s">
        <v>55</v>
      </c>
      <c r="B33" s="464">
        <f>+B35+B41</f>
        <v>133140.57</v>
      </c>
      <c r="C33" s="738">
        <f>+C35+C41</f>
        <v>133140.57</v>
      </c>
      <c r="D33" s="464" t="e">
        <f>+D35+D41+#REF!</f>
        <v>#REF!</v>
      </c>
      <c r="E33" s="464" t="e">
        <f>+E35+E41+#REF!</f>
        <v>#REF!</v>
      </c>
      <c r="F33" s="464">
        <f>+F35+F41</f>
        <v>40620.173999999999</v>
      </c>
      <c r="G33" s="464">
        <f>+G35+G41</f>
        <v>30014.125291</v>
      </c>
      <c r="H33" s="467">
        <f>G33/F33*100</f>
        <v>73.8897014350554</v>
      </c>
    </row>
    <row r="34" spans="1:9" ht="15" customHeight="1">
      <c r="A34" s="472"/>
      <c r="B34" s="471"/>
      <c r="C34" s="740"/>
      <c r="D34" s="471"/>
      <c r="E34" s="471"/>
      <c r="F34" s="471"/>
      <c r="G34" s="471"/>
      <c r="H34" s="473"/>
    </row>
    <row r="35" spans="1:9" ht="18" customHeight="1">
      <c r="A35" s="463" t="s">
        <v>146</v>
      </c>
      <c r="B35" s="464">
        <f t="shared" ref="B35:G35" si="3">SUM(B36:B39)</f>
        <v>131474.33199999999</v>
      </c>
      <c r="C35" s="738">
        <f t="shared" si="3"/>
        <v>131798.08199999999</v>
      </c>
      <c r="D35" s="464">
        <f t="shared" si="3"/>
        <v>131798.08199999999</v>
      </c>
      <c r="E35" s="464">
        <f t="shared" si="3"/>
        <v>131798.08199999999</v>
      </c>
      <c r="F35" s="464">
        <f t="shared" si="3"/>
        <v>39649.120999999999</v>
      </c>
      <c r="G35" s="464">
        <f t="shared" si="3"/>
        <v>29392.456491000001</v>
      </c>
      <c r="H35" s="467">
        <f>G35/F35*100</f>
        <v>74.131420192139956</v>
      </c>
      <c r="I35" s="486"/>
    </row>
    <row r="36" spans="1:9" ht="20.25" customHeight="1">
      <c r="A36" s="472" t="s">
        <v>147</v>
      </c>
      <c r="B36" s="471">
        <f>(+FUNCIONAMIENTO!C11)/1000</f>
        <v>125040.406</v>
      </c>
      <c r="C36" s="740">
        <f>(+FUNCIONAMIENTO!E11)/1000</f>
        <v>124925.393</v>
      </c>
      <c r="D36" s="471">
        <f>(+FUNCIONAMIENTO!E11)/1000</f>
        <v>124925.393</v>
      </c>
      <c r="E36" s="471">
        <f>(+FUNCIONAMIENTO!E11)/1000</f>
        <v>124925.393</v>
      </c>
      <c r="F36" s="471">
        <f>(+FUNCIONAMIENTO!F11)/1000</f>
        <v>34268.048000000003</v>
      </c>
      <c r="G36" s="471">
        <f>(+FUNCIONAMIENTO!H11)/1000</f>
        <v>26724.52677</v>
      </c>
      <c r="H36" s="473">
        <f>G36/F36*100</f>
        <v>77.986720369949282</v>
      </c>
      <c r="I36" s="486"/>
    </row>
    <row r="37" spans="1:9" ht="17.25" customHeight="1">
      <c r="A37" s="472" t="s">
        <v>148</v>
      </c>
      <c r="B37" s="471">
        <f>(+FUNCIONAMIENTO!C37)/1000</f>
        <v>3088.498</v>
      </c>
      <c r="C37" s="740">
        <f>(+FUNCIONAMIENTO!E37)/1000</f>
        <v>3349.1060000000002</v>
      </c>
      <c r="D37" s="471">
        <f>(+FUNCIONAMIENTO!E37)/1000</f>
        <v>3349.1060000000002</v>
      </c>
      <c r="E37" s="471">
        <f>(+FUNCIONAMIENTO!E37)/1000</f>
        <v>3349.1060000000002</v>
      </c>
      <c r="F37" s="471">
        <f>(+FUNCIONAMIENTO!F37)/1000</f>
        <v>2759.6419999999998</v>
      </c>
      <c r="G37" s="471">
        <f>(+FUNCIONAMIENTO!H37)/1000</f>
        <v>1242.42616</v>
      </c>
      <c r="H37" s="473">
        <f>G37/F37*100</f>
        <v>45.021280296502233</v>
      </c>
      <c r="I37" s="486"/>
    </row>
    <row r="38" spans="1:9" ht="15.75" customHeight="1">
      <c r="A38" s="472" t="s">
        <v>149</v>
      </c>
      <c r="B38" s="471">
        <f>(+FUNCIONAMIENTO!C94)/1000</f>
        <v>1027.4280000000001</v>
      </c>
      <c r="C38" s="740">
        <f>(+FUNCIONAMIENTO!E94)/1000</f>
        <v>1224.883</v>
      </c>
      <c r="D38" s="471">
        <f>(+FUNCIONAMIENTO!E94)/1000</f>
        <v>1224.883</v>
      </c>
      <c r="E38" s="471">
        <f>(+FUNCIONAMIENTO!E94)/1000</f>
        <v>1224.883</v>
      </c>
      <c r="F38" s="471">
        <f>(+FUNCIONAMIENTO!F94)/1000</f>
        <v>1151.731</v>
      </c>
      <c r="G38" s="471">
        <f>(+FUNCIONAMIENTO!H94)/1000</f>
        <v>550.753871</v>
      </c>
      <c r="H38" s="473">
        <f>G38/F38*100</f>
        <v>47.819661969678684</v>
      </c>
      <c r="I38" s="486"/>
    </row>
    <row r="39" spans="1:9" ht="17.25" customHeight="1">
      <c r="A39" s="472" t="s">
        <v>150</v>
      </c>
      <c r="B39" s="471">
        <f>(+FUNCIONAMIENTO!C155)/1000</f>
        <v>2318</v>
      </c>
      <c r="C39" s="740">
        <f>(+FUNCIONAMIENTO!E155)/1000</f>
        <v>2298.6999999999998</v>
      </c>
      <c r="D39" s="471">
        <f>(+FUNCIONAMIENTO!E155)/1000</f>
        <v>2298.6999999999998</v>
      </c>
      <c r="E39" s="471">
        <f>(+FUNCIONAMIENTO!E155)/1000</f>
        <v>2298.6999999999998</v>
      </c>
      <c r="F39" s="471">
        <f>(+FUNCIONAMIENTO!F155)/1000</f>
        <v>1469.7</v>
      </c>
      <c r="G39" s="471">
        <f>(+FUNCIONAMIENTO!H155)/1000</f>
        <v>874.74968999999999</v>
      </c>
      <c r="H39" s="473">
        <f>G39/F39*100</f>
        <v>59.518928352725041</v>
      </c>
      <c r="I39" s="486"/>
    </row>
    <row r="40" spans="1:9" ht="9" customHeight="1">
      <c r="A40" s="472" t="s">
        <v>12</v>
      </c>
      <c r="B40" s="471"/>
      <c r="C40" s="740"/>
      <c r="D40" s="471">
        <v>0</v>
      </c>
      <c r="E40" s="471">
        <v>0</v>
      </c>
      <c r="F40" s="471" t="s">
        <v>12</v>
      </c>
      <c r="G40" s="471" t="s">
        <v>12</v>
      </c>
      <c r="H40" s="473" t="s">
        <v>12</v>
      </c>
    </row>
    <row r="41" spans="1:9" ht="15" customHeight="1">
      <c r="A41" s="463" t="s">
        <v>151</v>
      </c>
      <c r="B41" s="464">
        <f>(+FUNCIONAMIENTO!C160)/1000</f>
        <v>1666.2380000000001</v>
      </c>
      <c r="C41" s="738">
        <f>(+FUNCIONAMIENTO!E160)/1000</f>
        <v>1342.4880000000001</v>
      </c>
      <c r="D41" s="464">
        <f>(+FUNCIONAMIENTO!E160)/1000</f>
        <v>1342.4880000000001</v>
      </c>
      <c r="E41" s="464">
        <f>(+FUNCIONAMIENTO!E160)/1000</f>
        <v>1342.4880000000001</v>
      </c>
      <c r="F41" s="464">
        <f>(+FUNCIONAMIENTO!F160)/1000</f>
        <v>971.053</v>
      </c>
      <c r="G41" s="464">
        <f>(+FUNCIONAMIENTO!H160)/1000</f>
        <v>621.66880000000003</v>
      </c>
      <c r="H41" s="467">
        <f>G41/F41*100</f>
        <v>64.020068935475209</v>
      </c>
    </row>
    <row r="42" spans="1:9" ht="8.25" customHeight="1">
      <c r="A42" s="472"/>
      <c r="B42" s="471"/>
      <c r="C42" s="740"/>
      <c r="D42" s="471"/>
      <c r="E42" s="471"/>
      <c r="F42" s="471"/>
      <c r="G42" s="471"/>
      <c r="H42" s="473" t="s">
        <v>12</v>
      </c>
    </row>
    <row r="43" spans="1:9" ht="15" customHeight="1">
      <c r="A43" s="463" t="s">
        <v>56</v>
      </c>
      <c r="B43" s="464">
        <f t="shared" ref="B43:G43" si="4">SUM(B45)</f>
        <v>46208.546000000002</v>
      </c>
      <c r="C43" s="738">
        <f t="shared" si="4"/>
        <v>46208.546000000002</v>
      </c>
      <c r="D43" s="464">
        <f t="shared" si="4"/>
        <v>46208.546000000002</v>
      </c>
      <c r="E43" s="464" t="e">
        <f t="shared" si="4"/>
        <v>#REF!</v>
      </c>
      <c r="F43" s="464">
        <f t="shared" si="4"/>
        <v>14471.138999999999</v>
      </c>
      <c r="G43" s="464">
        <f t="shared" si="4"/>
        <v>5720.6680700000006</v>
      </c>
      <c r="H43" s="467">
        <f>G43/F43*100</f>
        <v>39.531567418431962</v>
      </c>
      <c r="I43" t="s">
        <v>12</v>
      </c>
    </row>
    <row r="44" spans="1:9" ht="15" customHeight="1">
      <c r="A44" s="472"/>
      <c r="B44" s="471"/>
      <c r="C44" s="740"/>
      <c r="D44" s="471"/>
      <c r="E44" s="471"/>
      <c r="F44" s="471"/>
      <c r="G44" s="471"/>
      <c r="H44" s="473" t="s">
        <v>12</v>
      </c>
    </row>
    <row r="45" spans="1:9" ht="15" customHeight="1">
      <c r="A45" s="472" t="s">
        <v>152</v>
      </c>
      <c r="B45" s="471">
        <f>+('PROYECTROS INV'!B49)/1000</f>
        <v>46208.546000000002</v>
      </c>
      <c r="C45" s="740">
        <f>+('PROYECTROS INV'!D49)/1000</f>
        <v>46208.546000000002</v>
      </c>
      <c r="D45" s="471">
        <f>+('PROYECTROS INV'!D49)/1000</f>
        <v>46208.546000000002</v>
      </c>
      <c r="E45" s="471" t="e">
        <f>+(#REF!)/1000</f>
        <v>#REF!</v>
      </c>
      <c r="F45" s="471">
        <f>+('PROYECTROS INV'!E49)/1000</f>
        <v>14471.138999999999</v>
      </c>
      <c r="G45" s="471">
        <f>+('PROYECTROS INV'!G49)/1000</f>
        <v>5720.6680700000006</v>
      </c>
      <c r="H45" s="473">
        <f>G45/F45*100</f>
        <v>39.531567418431962</v>
      </c>
    </row>
    <row r="46" spans="1:9" ht="14.25" customHeight="1">
      <c r="A46" s="472" t="s">
        <v>153</v>
      </c>
      <c r="B46" s="471"/>
      <c r="C46" s="740">
        <f>+('PROYECTROS INV'!B50)/1000</f>
        <v>0</v>
      </c>
      <c r="D46" s="471">
        <v>0</v>
      </c>
      <c r="E46" s="471">
        <v>0</v>
      </c>
      <c r="F46" s="471">
        <v>0</v>
      </c>
      <c r="G46" s="471">
        <v>0</v>
      </c>
      <c r="H46" s="473" t="s">
        <v>12</v>
      </c>
    </row>
    <row r="47" spans="1:9" ht="15" customHeight="1">
      <c r="A47" s="472" t="s">
        <v>154</v>
      </c>
      <c r="B47" s="471"/>
      <c r="C47" s="740">
        <f>+('PROYECTROS INV'!B51)/1000</f>
        <v>0</v>
      </c>
      <c r="D47" s="471" t="s">
        <v>12</v>
      </c>
      <c r="E47" s="471" t="s">
        <v>12</v>
      </c>
      <c r="F47" s="471" t="s">
        <v>12</v>
      </c>
      <c r="G47" s="471" t="s">
        <v>12</v>
      </c>
      <c r="H47" s="473" t="s">
        <v>12</v>
      </c>
    </row>
    <row r="48" spans="1:9" ht="15" customHeight="1">
      <c r="A48" s="472" t="s">
        <v>155</v>
      </c>
      <c r="B48" s="471"/>
      <c r="C48" s="740"/>
      <c r="D48" s="471">
        <v>0</v>
      </c>
      <c r="E48" s="471">
        <v>0</v>
      </c>
      <c r="F48" s="471">
        <v>0</v>
      </c>
      <c r="G48" s="471">
        <v>0</v>
      </c>
      <c r="H48" s="473" t="s">
        <v>12</v>
      </c>
    </row>
    <row r="49" spans="1:8" ht="8.25" customHeight="1">
      <c r="A49" s="472"/>
      <c r="B49" s="471"/>
      <c r="C49" s="740"/>
      <c r="D49" s="471"/>
      <c r="E49" s="471"/>
      <c r="F49" s="471"/>
      <c r="G49" s="471"/>
      <c r="H49" s="473" t="s">
        <v>12</v>
      </c>
    </row>
    <row r="50" spans="1:8" ht="18" customHeight="1">
      <c r="A50" s="463" t="s">
        <v>156</v>
      </c>
      <c r="B50" s="464">
        <f>B33+B43</f>
        <v>179349.11600000001</v>
      </c>
      <c r="C50" s="738">
        <f t="shared" ref="C50:G50" si="5">+C33+C43</f>
        <v>179349.11600000001</v>
      </c>
      <c r="D50" s="464" t="e">
        <f t="shared" si="5"/>
        <v>#REF!</v>
      </c>
      <c r="E50" s="464" t="e">
        <f t="shared" si="5"/>
        <v>#REF!</v>
      </c>
      <c r="F50" s="464">
        <f t="shared" si="5"/>
        <v>55091.312999999995</v>
      </c>
      <c r="G50" s="464">
        <f t="shared" si="5"/>
        <v>35734.793361000004</v>
      </c>
      <c r="H50" s="467">
        <f>G50/F50*100</f>
        <v>64.864660896718888</v>
      </c>
    </row>
    <row r="51" spans="1:8" ht="9" customHeight="1">
      <c r="A51" s="472"/>
      <c r="B51" s="471"/>
      <c r="C51" s="740"/>
      <c r="D51" s="471"/>
      <c r="E51" s="471"/>
      <c r="F51" s="471"/>
      <c r="G51" s="471"/>
      <c r="H51" s="473" t="s">
        <v>12</v>
      </c>
    </row>
    <row r="52" spans="1:8" ht="21.75" customHeight="1">
      <c r="A52" s="477" t="s">
        <v>57</v>
      </c>
      <c r="B52" s="478"/>
      <c r="C52" s="744"/>
      <c r="D52" s="479" t="s">
        <v>12</v>
      </c>
      <c r="E52" s="479" t="e">
        <f>E29-E50</f>
        <v>#REF!</v>
      </c>
      <c r="F52" s="480" t="s">
        <v>12</v>
      </c>
      <c r="G52" s="481">
        <f>G29-G50</f>
        <v>-6872.7828310000041</v>
      </c>
      <c r="H52" s="231" t="s">
        <v>12</v>
      </c>
    </row>
    <row r="53" spans="1:8" ht="6.75" customHeight="1">
      <c r="A53" s="6"/>
      <c r="B53" s="482"/>
      <c r="C53" s="108"/>
      <c r="D53" s="6"/>
      <c r="E53" s="483"/>
      <c r="F53" s="483"/>
      <c r="G53" s="483"/>
      <c r="H53" s="3"/>
    </row>
    <row r="54" spans="1:8" ht="18.75" customHeight="1">
      <c r="A54" s="835" t="s">
        <v>39</v>
      </c>
      <c r="B54" s="835"/>
      <c r="C54" s="34"/>
      <c r="D54" s="111"/>
      <c r="E54" s="6"/>
      <c r="F54" s="6" t="s">
        <v>12</v>
      </c>
      <c r="G54" s="6"/>
      <c r="H54" s="3"/>
    </row>
    <row r="55" spans="1:8" ht="15" customHeight="1">
      <c r="A55" s="4" t="s">
        <v>12</v>
      </c>
      <c r="H55" s="165"/>
    </row>
    <row r="56" spans="1:8" ht="15" customHeight="1">
      <c r="F56" s="485" t="s">
        <v>12</v>
      </c>
      <c r="G56" s="485"/>
      <c r="H56" s="165"/>
    </row>
    <row r="57" spans="1:8" ht="15" customHeight="1">
      <c r="A57" s="170"/>
      <c r="B57" s="169"/>
      <c r="C57" s="552"/>
      <c r="D57" s="170"/>
      <c r="E57" s="171"/>
      <c r="F57" s="171"/>
      <c r="G57" s="171" t="s">
        <v>12</v>
      </c>
      <c r="H57" s="165"/>
    </row>
    <row r="58" spans="1:8" ht="15" customHeight="1">
      <c r="A58" s="170"/>
      <c r="B58" s="169"/>
      <c r="C58" s="552"/>
      <c r="D58" s="170"/>
      <c r="E58" s="171"/>
      <c r="F58" s="171"/>
      <c r="G58" s="171"/>
      <c r="H58" s="165"/>
    </row>
    <row r="59" spans="1:8" ht="15" customHeight="1">
      <c r="A59" s="170"/>
      <c r="B59" s="169"/>
      <c r="C59" s="552"/>
      <c r="D59" s="170"/>
      <c r="E59" s="171"/>
      <c r="F59" s="171"/>
      <c r="G59" s="171"/>
      <c r="H59" s="165"/>
    </row>
    <row r="60" spans="1:8" ht="15" customHeight="1">
      <c r="A60" s="160"/>
      <c r="B60" s="370"/>
      <c r="C60" s="553"/>
      <c r="D60" s="160"/>
      <c r="E60" s="160"/>
      <c r="F60" s="160"/>
      <c r="H60" s="165"/>
    </row>
    <row r="61" spans="1:8" ht="15" customHeight="1">
      <c r="A61" s="160"/>
      <c r="B61" s="370"/>
      <c r="C61" s="553"/>
      <c r="D61" s="160"/>
      <c r="E61" s="160"/>
      <c r="F61" s="160"/>
      <c r="H61" s="165"/>
    </row>
    <row r="62" spans="1:8" ht="15" customHeight="1">
      <c r="A62" s="160"/>
      <c r="B62" s="370"/>
      <c r="C62" s="553"/>
      <c r="D62" s="160"/>
      <c r="H62" s="165"/>
    </row>
    <row r="63" spans="1:8">
      <c r="A63" s="160"/>
      <c r="B63" s="370"/>
      <c r="C63" s="553"/>
      <c r="D63" s="160"/>
      <c r="H63" s="165"/>
    </row>
    <row r="64" spans="1:8">
      <c r="A64" s="160"/>
      <c r="B64" s="370"/>
      <c r="C64" s="553"/>
      <c r="D64" s="160"/>
      <c r="H64" s="165"/>
    </row>
    <row r="65" spans="1:8">
      <c r="A65" s="160"/>
      <c r="B65" s="370"/>
      <c r="C65" s="553"/>
      <c r="D65" s="160"/>
      <c r="H65" s="165"/>
    </row>
    <row r="66" spans="1:8" ht="15">
      <c r="A66" s="160"/>
      <c r="B66" s="370"/>
      <c r="C66" s="553"/>
      <c r="D66" s="160"/>
      <c r="E66" s="30"/>
      <c r="F66" s="30"/>
      <c r="G66" s="30"/>
      <c r="H66" s="165"/>
    </row>
    <row r="67" spans="1:8" ht="15">
      <c r="A67" s="160"/>
      <c r="B67" s="370"/>
      <c r="C67" s="553"/>
      <c r="D67" s="160"/>
      <c r="E67" s="30"/>
      <c r="F67" s="30"/>
      <c r="G67" s="30"/>
      <c r="H67" s="165"/>
    </row>
    <row r="68" spans="1:8">
      <c r="A68" s="160"/>
      <c r="B68" s="370"/>
      <c r="C68" s="553"/>
      <c r="D68" s="160"/>
      <c r="H68" s="165"/>
    </row>
    <row r="69" spans="1:8">
      <c r="H69" s="165"/>
    </row>
    <row r="70" spans="1:8">
      <c r="H70" s="165"/>
    </row>
    <row r="71" spans="1:8">
      <c r="H71" s="165"/>
    </row>
    <row r="72" spans="1:8">
      <c r="H72" s="165"/>
    </row>
    <row r="73" spans="1:8">
      <c r="H73" s="165"/>
    </row>
    <row r="74" spans="1:8">
      <c r="H74" s="165"/>
    </row>
    <row r="75" spans="1:8">
      <c r="H75" s="165"/>
    </row>
    <row r="76" spans="1:8">
      <c r="H76" s="165"/>
    </row>
    <row r="77" spans="1:8">
      <c r="H77" s="165"/>
    </row>
    <row r="78" spans="1:8">
      <c r="H78" s="165"/>
    </row>
    <row r="79" spans="1:8">
      <c r="H79" s="165"/>
    </row>
    <row r="80" spans="1:8">
      <c r="H80" s="165"/>
    </row>
    <row r="81" spans="8:8">
      <c r="H81" s="165"/>
    </row>
    <row r="82" spans="8:8">
      <c r="H82" s="165"/>
    </row>
    <row r="83" spans="8:8">
      <c r="H83" s="165"/>
    </row>
    <row r="84" spans="8:8">
      <c r="H84" s="165"/>
    </row>
    <row r="85" spans="8:8">
      <c r="H85" s="165"/>
    </row>
    <row r="86" spans="8:8">
      <c r="H86" s="165"/>
    </row>
    <row r="87" spans="8:8">
      <c r="H87" s="165"/>
    </row>
    <row r="88" spans="8:8">
      <c r="H88" s="165"/>
    </row>
  </sheetData>
  <mergeCells count="8">
    <mergeCell ref="A54:B54"/>
    <mergeCell ref="A6:A7"/>
    <mergeCell ref="H6:H7"/>
    <mergeCell ref="A1:H1"/>
    <mergeCell ref="A2:H2"/>
    <mergeCell ref="A3:H3"/>
    <mergeCell ref="A4:H4"/>
    <mergeCell ref="B6:G6"/>
  </mergeCells>
  <pageMargins left="1.14173228346457" right="0.86614173228346403" top="0.66929133858267698" bottom="0.59055118110236204" header="0.511811023622047" footer="0.511811023622047"/>
  <pageSetup scale="85" firstPageNumber="0" orientation="portrait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6">
    <tabColor theme="6" tint="0.39997558519241921"/>
  </sheetPr>
  <dimension ref="A1:Q181"/>
  <sheetViews>
    <sheetView showGridLines="0" showZeros="0" zoomScale="86" zoomScaleNormal="86" workbookViewId="0">
      <selection sqref="A1:K53"/>
    </sheetView>
  </sheetViews>
  <sheetFormatPr baseColWidth="10" defaultColWidth="11.42578125" defaultRowHeight="12.75"/>
  <cols>
    <col min="1" max="1" width="48" style="4" bestFit="1" customWidth="1"/>
    <col min="2" max="2" width="13" style="4" customWidth="1"/>
    <col min="3" max="3" width="13.5703125" style="4" customWidth="1"/>
    <col min="4" max="4" width="13.140625" style="4" customWidth="1"/>
    <col min="5" max="5" width="0.140625" style="4" hidden="1" customWidth="1"/>
    <col min="6" max="6" width="17.140625" style="4" customWidth="1"/>
    <col min="7" max="7" width="14.42578125" style="4" customWidth="1"/>
    <col min="8" max="8" width="12.28515625" style="4" customWidth="1"/>
    <col min="9" max="9" width="12.140625" style="4" customWidth="1"/>
    <col min="10" max="10" width="13.140625" style="4" customWidth="1"/>
    <col min="11" max="11" width="15" style="4" customWidth="1"/>
    <col min="12" max="12" width="19.5703125" customWidth="1"/>
    <col min="13" max="13" width="13.5703125" customWidth="1"/>
  </cols>
  <sheetData>
    <row r="1" spans="1:14" ht="12" customHeight="1">
      <c r="A1" s="152"/>
      <c r="B1" s="152"/>
      <c r="C1" s="152"/>
      <c r="D1" s="153"/>
      <c r="E1" s="153"/>
      <c r="F1" s="154"/>
      <c r="G1" s="154"/>
      <c r="H1" s="154"/>
      <c r="I1" s="154"/>
      <c r="J1" s="154"/>
      <c r="K1" s="154"/>
    </row>
    <row r="2" spans="1:14" ht="18" customHeight="1">
      <c r="A2" s="830" t="s">
        <v>58</v>
      </c>
      <c r="B2" s="830"/>
      <c r="C2" s="830"/>
      <c r="D2" s="830"/>
      <c r="E2" s="830"/>
      <c r="F2" s="830"/>
      <c r="G2" s="830"/>
      <c r="H2" s="830"/>
      <c r="I2" s="830"/>
      <c r="J2" s="830"/>
      <c r="K2" s="830"/>
    </row>
    <row r="3" spans="1:14" ht="15.75" customHeight="1">
      <c r="A3" s="830" t="s">
        <v>59</v>
      </c>
      <c r="B3" s="830"/>
      <c r="C3" s="830"/>
      <c r="D3" s="830"/>
      <c r="E3" s="830"/>
      <c r="F3" s="830"/>
      <c r="G3" s="830"/>
      <c r="H3" s="830"/>
      <c r="I3" s="830"/>
      <c r="J3" s="830"/>
      <c r="K3" s="830"/>
    </row>
    <row r="4" spans="1:14" ht="15">
      <c r="A4" s="831" t="s">
        <v>157</v>
      </c>
      <c r="B4" s="831"/>
      <c r="C4" s="831"/>
      <c r="D4" s="831"/>
      <c r="E4" s="831"/>
      <c r="F4" s="831"/>
      <c r="G4" s="831"/>
      <c r="H4" s="831"/>
      <c r="I4" s="831"/>
      <c r="J4" s="831"/>
      <c r="K4" s="831"/>
    </row>
    <row r="5" spans="1:14" ht="15">
      <c r="A5" s="831" t="s">
        <v>631</v>
      </c>
      <c r="B5" s="831"/>
      <c r="C5" s="831"/>
      <c r="D5" s="831"/>
      <c r="E5" s="831"/>
      <c r="F5" s="831"/>
      <c r="G5" s="831"/>
      <c r="H5" s="831"/>
      <c r="I5" s="831"/>
      <c r="J5" s="831"/>
      <c r="K5" s="831"/>
    </row>
    <row r="6" spans="1:14" ht="13.5" thickBot="1">
      <c r="A6" s="6"/>
      <c r="B6" s="6"/>
      <c r="C6" s="6"/>
      <c r="D6" s="6"/>
      <c r="E6" s="6"/>
      <c r="F6" s="6"/>
      <c r="G6" s="6"/>
      <c r="H6" s="6"/>
      <c r="I6" s="6"/>
      <c r="J6" s="6"/>
      <c r="K6" s="6" t="s">
        <v>12</v>
      </c>
      <c r="L6" t="s">
        <v>12</v>
      </c>
    </row>
    <row r="7" spans="1:14" ht="20.100000000000001" customHeight="1">
      <c r="A7" s="871" t="s">
        <v>0</v>
      </c>
      <c r="B7" s="875" t="s">
        <v>158</v>
      </c>
      <c r="C7" s="876"/>
      <c r="D7" s="876"/>
      <c r="E7" s="876"/>
      <c r="F7" s="876"/>
      <c r="G7" s="876"/>
      <c r="H7" s="877"/>
      <c r="I7" s="878" t="s">
        <v>601</v>
      </c>
      <c r="J7" s="879"/>
      <c r="K7" s="873" t="s">
        <v>40</v>
      </c>
      <c r="L7" t="s">
        <v>12</v>
      </c>
    </row>
    <row r="8" spans="1:14" ht="27.75" customHeight="1">
      <c r="A8" s="872"/>
      <c r="B8" s="338" t="s">
        <v>2</v>
      </c>
      <c r="C8" s="338" t="s">
        <v>3</v>
      </c>
      <c r="D8" s="337" t="s">
        <v>25</v>
      </c>
      <c r="E8" s="377" t="s">
        <v>64</v>
      </c>
      <c r="F8" s="378" t="s">
        <v>41</v>
      </c>
      <c r="G8" s="379" t="s">
        <v>46</v>
      </c>
      <c r="H8" s="379" t="s">
        <v>42</v>
      </c>
      <c r="I8" s="386" t="s">
        <v>50</v>
      </c>
      <c r="J8" s="380" t="s">
        <v>51</v>
      </c>
      <c r="K8" s="874"/>
      <c r="M8" t="s">
        <v>12</v>
      </c>
    </row>
    <row r="9" spans="1:14" ht="24.75" customHeight="1">
      <c r="A9" s="155" t="s">
        <v>159</v>
      </c>
      <c r="B9" s="372">
        <f>+B11+B36</f>
        <v>179349116</v>
      </c>
      <c r="C9" s="372">
        <f>+C11+C36</f>
        <v>179349116</v>
      </c>
      <c r="D9" s="156">
        <f>++D11+D36</f>
        <v>55091313</v>
      </c>
      <c r="E9" s="156">
        <f>+E11+E36</f>
        <v>16041968.611</v>
      </c>
      <c r="F9" s="156">
        <f>+F11+F36</f>
        <v>35734793.361000001</v>
      </c>
      <c r="G9" s="156">
        <f>+G11+G36</f>
        <v>26038920.300000004</v>
      </c>
      <c r="H9" s="156">
        <f>++H11+H36</f>
        <v>27051601.640000001</v>
      </c>
      <c r="I9" s="156">
        <f>+D9-F9</f>
        <v>19356519.638999999</v>
      </c>
      <c r="J9" s="156">
        <f>C9-F9</f>
        <v>143614322.639</v>
      </c>
      <c r="K9" s="161">
        <f>+F9/D9*100</f>
        <v>64.864660896718874</v>
      </c>
    </row>
    <row r="10" spans="1:14" ht="11.1" customHeight="1">
      <c r="A10" s="155"/>
      <c r="B10" s="302"/>
      <c r="C10" s="157"/>
      <c r="D10" s="157"/>
      <c r="E10" s="157"/>
      <c r="F10" s="157" t="s">
        <v>12</v>
      </c>
      <c r="G10" s="157"/>
      <c r="H10" s="157" t="s">
        <v>12</v>
      </c>
      <c r="I10" s="157" t="s">
        <v>12</v>
      </c>
      <c r="J10" s="156" t="s">
        <v>12</v>
      </c>
      <c r="K10" s="161" t="s">
        <v>12</v>
      </c>
    </row>
    <row r="11" spans="1:14" ht="15">
      <c r="A11" s="155" t="s">
        <v>160</v>
      </c>
      <c r="B11" s="302">
        <f>+B13+B20</f>
        <v>133140570</v>
      </c>
      <c r="C11" s="157">
        <f>+C13+C20+C34</f>
        <v>133140570</v>
      </c>
      <c r="D11" s="527">
        <f>+D13+D20</f>
        <v>40620174</v>
      </c>
      <c r="E11" s="527">
        <f>+E20+E13-1</f>
        <v>10849016.761</v>
      </c>
      <c r="F11" s="527">
        <f>+F20+F13</f>
        <v>30014125.291000001</v>
      </c>
      <c r="G11" s="527">
        <f>+G20+G13</f>
        <v>25120630.140000004</v>
      </c>
      <c r="H11" s="527">
        <f>+H20+H13+H34</f>
        <v>26702476.330000002</v>
      </c>
      <c r="I11" s="527">
        <f>+D11-F11</f>
        <v>10606048.708999999</v>
      </c>
      <c r="J11" s="527">
        <f>C11-F11</f>
        <v>103126444.70899999</v>
      </c>
      <c r="K11" s="727">
        <f>+F11/D11*100</f>
        <v>73.8897014350554</v>
      </c>
      <c r="N11" t="s">
        <v>12</v>
      </c>
    </row>
    <row r="12" spans="1:14" ht="10.35" customHeight="1">
      <c r="A12" s="155"/>
      <c r="B12" s="302"/>
      <c r="C12" s="157"/>
      <c r="D12" s="157"/>
      <c r="E12" s="157"/>
      <c r="F12" s="157" t="s">
        <v>12</v>
      </c>
      <c r="G12" s="157"/>
      <c r="H12" s="157"/>
      <c r="I12" s="157"/>
      <c r="J12" s="157" t="s">
        <v>12</v>
      </c>
      <c r="K12" s="728"/>
    </row>
    <row r="13" spans="1:14" ht="18" customHeight="1">
      <c r="A13" s="155" t="s">
        <v>161</v>
      </c>
      <c r="B13" s="302">
        <f>SUM(B15:B18)</f>
        <v>131474332</v>
      </c>
      <c r="C13" s="157">
        <f>SUM(C15:C18)</f>
        <v>131798082</v>
      </c>
      <c r="D13" s="157">
        <f>SUM(D15:D18)</f>
        <v>39649121</v>
      </c>
      <c r="E13" s="157">
        <f>SUM(E15:E18)+1</f>
        <v>10284857.331</v>
      </c>
      <c r="F13" s="157">
        <f>SUM(F15:F18)</f>
        <v>29392456.491</v>
      </c>
      <c r="G13" s="157">
        <f>SUM(G15:G18)</f>
        <v>24551990.470000003</v>
      </c>
      <c r="H13" s="157">
        <f>SUM(H15:H18)</f>
        <v>26133836.66</v>
      </c>
      <c r="I13" s="157">
        <f>+D13-F13</f>
        <v>10256664.509</v>
      </c>
      <c r="J13" s="157">
        <f>C13-F13</f>
        <v>102405625.509</v>
      </c>
      <c r="K13" s="728">
        <f>+F13/D13*100</f>
        <v>74.131420192139956</v>
      </c>
      <c r="M13" s="1" t="s">
        <v>12</v>
      </c>
    </row>
    <row r="14" spans="1:14" ht="11.1" customHeight="1">
      <c r="A14" s="155"/>
      <c r="B14" s="302"/>
      <c r="C14" s="157"/>
      <c r="D14" s="157"/>
      <c r="E14" s="157"/>
      <c r="F14" s="157" t="s">
        <v>12</v>
      </c>
      <c r="G14" s="157"/>
      <c r="H14" s="157"/>
      <c r="I14" s="157"/>
      <c r="J14" s="157"/>
      <c r="K14" s="728"/>
    </row>
    <row r="15" spans="1:14" ht="20.100000000000001" customHeight="1">
      <c r="A15" s="528" t="s">
        <v>162</v>
      </c>
      <c r="B15" s="529">
        <f>+FUNCIONAMIENTO!C11</f>
        <v>125040406</v>
      </c>
      <c r="C15" s="529">
        <f>+FUNCIONAMIENTO!E11</f>
        <v>124925393</v>
      </c>
      <c r="D15" s="529">
        <f>+FUNCIONAMIENTO!F11</f>
        <v>34268048</v>
      </c>
      <c r="E15" s="529">
        <f>+FUNCIONAMIENTO!G11</f>
        <v>8817561.3999999985</v>
      </c>
      <c r="F15" s="529">
        <f>+FUNCIONAMIENTO!H11</f>
        <v>26724526.77</v>
      </c>
      <c r="G15" s="529">
        <f>+FUNCIONAMIENTO!I11</f>
        <v>23197261.469999999</v>
      </c>
      <c r="H15" s="529">
        <f>+FUNCIONAMIENTO!J11</f>
        <v>25309146.73</v>
      </c>
      <c r="I15" s="529">
        <f>+D15-F15</f>
        <v>7543521.2300000004</v>
      </c>
      <c r="J15" s="529">
        <f>C15-F15</f>
        <v>98200866.230000004</v>
      </c>
      <c r="K15" s="729">
        <f>+F15/D15*100</f>
        <v>77.986720369949296</v>
      </c>
    </row>
    <row r="16" spans="1:14" ht="20.100000000000001" customHeight="1">
      <c r="A16" s="528" t="s">
        <v>163</v>
      </c>
      <c r="B16" s="529">
        <f>+FUNCIONAMIENTO!C37</f>
        <v>3088498</v>
      </c>
      <c r="C16" s="529">
        <f>+FUNCIONAMIENTO!E37</f>
        <v>3349106</v>
      </c>
      <c r="D16" s="529">
        <f>+FUNCIONAMIENTO!F37</f>
        <v>2759642</v>
      </c>
      <c r="E16" s="529">
        <f>+FUNCIONAMIENTO!G37</f>
        <v>648187.89000000013</v>
      </c>
      <c r="F16" s="529">
        <f>+FUNCIONAMIENTO!H37</f>
        <v>1242426.1599999999</v>
      </c>
      <c r="G16" s="529">
        <f>+FUNCIONAMIENTO!I37</f>
        <v>888848.69</v>
      </c>
      <c r="H16" s="529">
        <f>+FUNCIONAMIENTO!J37</f>
        <v>621170.34</v>
      </c>
      <c r="I16" s="529">
        <f>+D16-F16</f>
        <v>1517215.84</v>
      </c>
      <c r="J16" s="529">
        <f>C16-F16</f>
        <v>2106679.84</v>
      </c>
      <c r="K16" s="729">
        <f>+F16/D16*100</f>
        <v>45.021280296502226</v>
      </c>
    </row>
    <row r="17" spans="1:16" ht="20.100000000000001" customHeight="1">
      <c r="A17" s="528" t="s">
        <v>164</v>
      </c>
      <c r="B17" s="529">
        <f>+FUNCIONAMIENTO!C94</f>
        <v>1027428</v>
      </c>
      <c r="C17" s="529">
        <f>+FUNCIONAMIENTO!E94</f>
        <v>1224883</v>
      </c>
      <c r="D17" s="529">
        <f>+FUNCIONAMIENTO!F94</f>
        <v>1151731</v>
      </c>
      <c r="E17" s="529">
        <f>+FUNCIONAMIENTO!G94</f>
        <v>298515.41099999996</v>
      </c>
      <c r="F17" s="529">
        <f>+FUNCIONAMIENTO!H94</f>
        <v>550753.87100000004</v>
      </c>
      <c r="G17" s="529">
        <f>+FUNCIONAMIENTO!I94</f>
        <v>241710.51</v>
      </c>
      <c r="H17" s="529">
        <f>+FUNCIONAMIENTO!J94</f>
        <v>97215.73</v>
      </c>
      <c r="I17" s="529">
        <f>+D17-F17</f>
        <v>600977.12899999996</v>
      </c>
      <c r="J17" s="529">
        <f>C17-F17</f>
        <v>674129.12899999996</v>
      </c>
      <c r="K17" s="729">
        <f>+F17/D17*100</f>
        <v>47.819661969678691</v>
      </c>
      <c r="N17" t="s">
        <v>12</v>
      </c>
    </row>
    <row r="18" spans="1:16" ht="20.100000000000001" customHeight="1">
      <c r="A18" s="528" t="s">
        <v>165</v>
      </c>
      <c r="B18" s="529">
        <f>+FUNCIONAMIENTO!C155</f>
        <v>2318000</v>
      </c>
      <c r="C18" s="529">
        <f>+FUNCIONAMIENTO!E155</f>
        <v>2298700</v>
      </c>
      <c r="D18" s="529">
        <f>+FUNCIONAMIENTO!F155</f>
        <v>1469700</v>
      </c>
      <c r="E18" s="529">
        <f>+FUNCIONAMIENTO!G155</f>
        <v>520591.63</v>
      </c>
      <c r="F18" s="529">
        <f>+FUNCIONAMIENTO!H155</f>
        <v>874749.69</v>
      </c>
      <c r="G18" s="529">
        <f>+FUNCIONAMIENTO!I155</f>
        <v>224169.8</v>
      </c>
      <c r="H18" s="529">
        <f>+FUNCIONAMIENTO!J155</f>
        <v>106303.86</v>
      </c>
      <c r="I18" s="529">
        <f>+D18-F18</f>
        <v>594950.31000000006</v>
      </c>
      <c r="J18" s="529">
        <f>C18-F18</f>
        <v>1423950.31</v>
      </c>
      <c r="K18" s="729">
        <f>+F18/D18*100</f>
        <v>59.518928352725041</v>
      </c>
    </row>
    <row r="19" spans="1:16" ht="9.75" customHeight="1">
      <c r="A19" s="155"/>
      <c r="B19" s="302"/>
      <c r="C19" s="157"/>
      <c r="D19" s="157"/>
      <c r="E19" s="157" t="s">
        <v>12</v>
      </c>
      <c r="F19" s="157" t="s">
        <v>12</v>
      </c>
      <c r="G19" s="157" t="s">
        <v>12</v>
      </c>
      <c r="H19" s="157"/>
      <c r="I19" s="157"/>
      <c r="J19" s="157"/>
      <c r="K19" s="728" t="s">
        <v>12</v>
      </c>
    </row>
    <row r="20" spans="1:16" ht="18" customHeight="1">
      <c r="A20" s="155" t="s">
        <v>166</v>
      </c>
      <c r="B20" s="157">
        <f>+FUNCIONAMIENTO!C160</f>
        <v>1666238</v>
      </c>
      <c r="C20" s="157">
        <f>+FUNCIONAMIENTO!E160</f>
        <v>1342488</v>
      </c>
      <c r="D20" s="157">
        <f>+FUNCIONAMIENTO!F160</f>
        <v>971053</v>
      </c>
      <c r="E20" s="157">
        <f>+FUNCIONAMIENTO!G160</f>
        <v>564160.43000000005</v>
      </c>
      <c r="F20" s="157">
        <f>+FUNCIONAMIENTO!H160</f>
        <v>621668.80000000005</v>
      </c>
      <c r="G20" s="157">
        <f>+FUNCIONAMIENTO!I160</f>
        <v>568639.67000000004</v>
      </c>
      <c r="H20" s="157">
        <f>+FUNCIONAMIENTO!J160</f>
        <v>568639.67000000004</v>
      </c>
      <c r="I20" s="157">
        <f>+D20-F20</f>
        <v>349384.19999999995</v>
      </c>
      <c r="J20" s="157">
        <f>C20-F20</f>
        <v>720819.19999999995</v>
      </c>
      <c r="K20" s="728">
        <f>+F20/D20*100</f>
        <v>64.020068935475209</v>
      </c>
      <c r="P20" s="1" t="s">
        <v>12</v>
      </c>
    </row>
    <row r="21" spans="1:16" ht="12.75" customHeight="1">
      <c r="A21" s="155" t="s">
        <v>167</v>
      </c>
      <c r="B21" s="302"/>
      <c r="C21" s="157"/>
      <c r="D21" s="157"/>
      <c r="E21" s="157" t="s">
        <v>12</v>
      </c>
      <c r="F21" s="157" t="s">
        <v>12</v>
      </c>
      <c r="G21" s="157" t="s">
        <v>12</v>
      </c>
      <c r="H21" s="157"/>
      <c r="I21" s="157"/>
      <c r="J21" s="157"/>
      <c r="K21" s="728" t="s">
        <v>12</v>
      </c>
    </row>
    <row r="22" spans="1:16" ht="18" customHeight="1">
      <c r="A22" s="155" t="s">
        <v>168</v>
      </c>
      <c r="B22" s="302">
        <f>+B28</f>
        <v>1666238</v>
      </c>
      <c r="C22" s="157">
        <f t="shared" ref="C22:H22" si="0">SUM(C28)</f>
        <v>1334488</v>
      </c>
      <c r="D22" s="157">
        <f t="shared" si="0"/>
        <v>971053</v>
      </c>
      <c r="E22" s="157">
        <f t="shared" si="0"/>
        <v>560510.43000000005</v>
      </c>
      <c r="F22" s="157">
        <f t="shared" si="0"/>
        <v>621668.80000000005</v>
      </c>
      <c r="G22" s="157">
        <f t="shared" si="0"/>
        <v>568639.67000000004</v>
      </c>
      <c r="H22" s="157">
        <f t="shared" si="0"/>
        <v>567739.67000000004</v>
      </c>
      <c r="I22" s="157">
        <f>+D22-F22</f>
        <v>349384.19999999995</v>
      </c>
      <c r="J22" s="157">
        <f>C22-F22</f>
        <v>712819.19999999995</v>
      </c>
      <c r="K22" s="728">
        <f>+F22/D22*100</f>
        <v>64.020068935475209</v>
      </c>
    </row>
    <row r="23" spans="1:16" ht="12.75" hidden="1" customHeight="1">
      <c r="A23" s="155" t="s">
        <v>169</v>
      </c>
      <c r="B23" s="302"/>
      <c r="C23" s="157"/>
      <c r="D23" s="157" t="s">
        <v>12</v>
      </c>
      <c r="E23" s="157">
        <f ca="1">+F23-L23</f>
        <v>134579</v>
      </c>
      <c r="F23" s="157">
        <f t="shared" ref="F23:F35" ca="1" si="1">+E23+L23</f>
        <v>1231</v>
      </c>
      <c r="G23" s="157">
        <f>+H23-N23</f>
        <v>0</v>
      </c>
      <c r="H23" s="157"/>
      <c r="I23" s="157"/>
      <c r="J23" s="157"/>
      <c r="K23" s="728" t="s">
        <v>12</v>
      </c>
    </row>
    <row r="24" spans="1:16" ht="12.75" hidden="1" customHeight="1">
      <c r="A24" s="155" t="s">
        <v>170</v>
      </c>
      <c r="B24" s="302"/>
      <c r="C24" s="157"/>
      <c r="D24" s="157"/>
      <c r="E24" s="157">
        <f ca="1">+F24-L24</f>
        <v>134579</v>
      </c>
      <c r="F24" s="157">
        <f t="shared" ca="1" si="1"/>
        <v>1231</v>
      </c>
      <c r="G24" s="157">
        <f>+H24-N24</f>
        <v>0</v>
      </c>
      <c r="H24" s="157"/>
      <c r="I24" s="157"/>
      <c r="J24" s="157"/>
      <c r="K24" s="728" t="s">
        <v>12</v>
      </c>
    </row>
    <row r="25" spans="1:16" ht="12.75" hidden="1" customHeight="1">
      <c r="A25" s="155" t="s">
        <v>171</v>
      </c>
      <c r="B25" s="302"/>
      <c r="C25" s="157"/>
      <c r="D25" s="157"/>
      <c r="E25" s="157">
        <f ca="1">+F25-L25</f>
        <v>134579</v>
      </c>
      <c r="F25" s="157">
        <f t="shared" ca="1" si="1"/>
        <v>1231</v>
      </c>
      <c r="G25" s="157">
        <f>+H25-N25</f>
        <v>0</v>
      </c>
      <c r="H25" s="157"/>
      <c r="I25" s="157"/>
      <c r="J25" s="157"/>
      <c r="K25" s="728" t="s">
        <v>12</v>
      </c>
    </row>
    <row r="26" spans="1:16" ht="12.75" hidden="1" customHeight="1">
      <c r="A26" s="155" t="s">
        <v>172</v>
      </c>
      <c r="B26" s="302"/>
      <c r="C26" s="157"/>
      <c r="D26" s="157"/>
      <c r="E26" s="157">
        <f ca="1">+F26-L26</f>
        <v>134579</v>
      </c>
      <c r="F26" s="157">
        <f t="shared" ca="1" si="1"/>
        <v>1231</v>
      </c>
      <c r="G26" s="157">
        <f>+H26-N26</f>
        <v>0</v>
      </c>
      <c r="H26" s="157"/>
      <c r="I26" s="157"/>
      <c r="J26" s="157"/>
      <c r="K26" s="728" t="s">
        <v>12</v>
      </c>
    </row>
    <row r="27" spans="1:16" ht="12.75" customHeight="1">
      <c r="A27" s="155"/>
      <c r="B27" s="302"/>
      <c r="C27" s="157"/>
      <c r="D27" s="157"/>
      <c r="E27" s="157"/>
      <c r="F27" s="157"/>
      <c r="G27" s="157"/>
      <c r="H27" s="157"/>
      <c r="I27" s="157"/>
      <c r="J27" s="157"/>
      <c r="K27" s="728"/>
    </row>
    <row r="28" spans="1:16" ht="18" customHeight="1">
      <c r="A28" s="528" t="s">
        <v>173</v>
      </c>
      <c r="B28" s="529">
        <f>+FUNCIONAMIENTO!C161+FUNCIONAMIENTO!C163++FUNCIONAMIENTO!C170+FUNCIONAMIENTO!C174+FUNCIONAMIENTO!C176</f>
        <v>1666238</v>
      </c>
      <c r="C28" s="529">
        <f>+FUNCIONAMIENTO!E161+FUNCIONAMIENTO!E163++FUNCIONAMIENTO!E170+FUNCIONAMIENTO!E174+FUNCIONAMIENTO!E176</f>
        <v>1334488</v>
      </c>
      <c r="D28" s="529">
        <f>+FUNCIONAMIENTO!F161+FUNCIONAMIENTO!F163++FUNCIONAMIENTO!F170+FUNCIONAMIENTO!F176+FUNCIONAMIENTO!F180</f>
        <v>971053</v>
      </c>
      <c r="E28" s="529">
        <f>+FUNCIONAMIENTO!G161+FUNCIONAMIENTO!G163+FUNCIONAMIENTO!G170</f>
        <v>560510.43000000005</v>
      </c>
      <c r="F28" s="529">
        <f>+FUNCIONAMIENTO!H161+FUNCIONAMIENTO!H163++FUNCIONAMIENTO!H170+FUNCIONAMIENTO!H180+FUNCIONAMIENTO!H176</f>
        <v>621668.80000000005</v>
      </c>
      <c r="G28" s="529">
        <f>+FUNCIONAMIENTO!I161+FUNCIONAMIENTO!I163++FUNCIONAMIENTO!I170+FUNCIONAMIENTO!I180+FUNCIONAMIENTO!I176</f>
        <v>568639.67000000004</v>
      </c>
      <c r="H28" s="529">
        <f>+FUNCIONAMIENTO!J161+FUNCIONAMIENTO!J163++FUNCIONAMIENTO!J170</f>
        <v>567739.67000000004</v>
      </c>
      <c r="I28" s="529">
        <f>+I22</f>
        <v>349384.19999999995</v>
      </c>
      <c r="J28" s="529">
        <f>C28-F28</f>
        <v>712819.19999999995</v>
      </c>
      <c r="K28" s="729">
        <f>+F28/D28*100</f>
        <v>64.020068935475209</v>
      </c>
    </row>
    <row r="29" spans="1:16" ht="18" customHeight="1">
      <c r="A29" s="528" t="s">
        <v>174</v>
      </c>
      <c r="B29" s="530"/>
      <c r="C29" s="529"/>
      <c r="D29" s="529" t="s">
        <v>12</v>
      </c>
      <c r="E29" s="529" t="s">
        <v>12</v>
      </c>
      <c r="F29" s="529" t="s">
        <v>12</v>
      </c>
      <c r="G29" s="529" t="s">
        <v>12</v>
      </c>
      <c r="H29" s="529"/>
      <c r="I29" s="529"/>
      <c r="J29" s="529"/>
      <c r="K29" s="729" t="s">
        <v>12</v>
      </c>
    </row>
    <row r="30" spans="1:16" ht="18" customHeight="1">
      <c r="A30" s="528" t="s">
        <v>175</v>
      </c>
      <c r="B30" s="530"/>
      <c r="C30" s="529"/>
      <c r="D30" s="529" t="s">
        <v>12</v>
      </c>
      <c r="E30" s="529"/>
      <c r="F30" s="529">
        <f t="shared" si="1"/>
        <v>0</v>
      </c>
      <c r="G30" s="529"/>
      <c r="H30" s="529"/>
      <c r="I30" s="529"/>
      <c r="J30" s="529"/>
      <c r="K30" s="729" t="s">
        <v>12</v>
      </c>
    </row>
    <row r="31" spans="1:16" ht="9" customHeight="1">
      <c r="A31" s="528"/>
      <c r="B31" s="530"/>
      <c r="C31" s="529"/>
      <c r="D31" s="529"/>
      <c r="E31" s="529"/>
      <c r="F31" s="529"/>
      <c r="G31" s="529"/>
      <c r="H31" s="529"/>
      <c r="I31" s="529"/>
      <c r="J31" s="529"/>
      <c r="K31" s="729"/>
    </row>
    <row r="32" spans="1:16" ht="22.5" customHeight="1">
      <c r="A32" s="531" t="s">
        <v>176</v>
      </c>
      <c r="B32" s="532">
        <f>+FUNCIONAMIENTO!C176</f>
        <v>187000</v>
      </c>
      <c r="C32" s="532">
        <f>+FUNCIONAMIENTO!E176</f>
        <v>103900</v>
      </c>
      <c r="D32" s="532">
        <f>+FUNCIONAMIENTO!F176</f>
        <v>53900</v>
      </c>
      <c r="E32" s="532">
        <f>+FUNCIONAMIENTO!G176</f>
        <v>3650</v>
      </c>
      <c r="F32" s="532">
        <f>+FUNCIONAMIENTO!H176</f>
        <v>20438.13</v>
      </c>
      <c r="G32" s="532">
        <f>+FUNCIONAMIENTO!I176</f>
        <v>900</v>
      </c>
      <c r="H32" s="532">
        <f>+FUNCIONAMIENTO!J164+FUNCIONAMIENTO!J166++FUNCIONAMIENTO!J176</f>
        <v>900</v>
      </c>
      <c r="I32" s="532">
        <f>+D32-F32</f>
        <v>33461.869999999995</v>
      </c>
      <c r="J32" s="532">
        <f>C32-F32</f>
        <v>83461.87</v>
      </c>
      <c r="K32" s="730">
        <f>+F32/D32*100</f>
        <v>37.918608534322821</v>
      </c>
    </row>
    <row r="33" spans="1:17" ht="12.6" customHeight="1">
      <c r="A33" s="155"/>
      <c r="B33" s="302"/>
      <c r="C33" s="157"/>
      <c r="D33" s="157"/>
      <c r="E33" s="157"/>
      <c r="F33" s="157"/>
      <c r="G33" s="157"/>
      <c r="H33" s="157"/>
      <c r="I33" s="157"/>
      <c r="J33" s="157"/>
      <c r="K33" s="728"/>
    </row>
    <row r="34" spans="1:17" ht="15.75" customHeight="1">
      <c r="A34" s="155" t="s">
        <v>12</v>
      </c>
      <c r="B34" s="302"/>
      <c r="C34" s="157"/>
      <c r="D34" s="157" t="s">
        <v>12</v>
      </c>
      <c r="E34" s="157" t="s">
        <v>12</v>
      </c>
      <c r="F34" s="157" t="s">
        <v>12</v>
      </c>
      <c r="G34" s="157" t="s">
        <v>12</v>
      </c>
      <c r="H34" s="157">
        <v>0</v>
      </c>
      <c r="I34" s="157" t="s">
        <v>12</v>
      </c>
      <c r="J34" s="157" t="s">
        <v>12</v>
      </c>
      <c r="K34" s="728">
        <v>0</v>
      </c>
    </row>
    <row r="35" spans="1:17" ht="7.9" customHeight="1">
      <c r="A35" s="155" t="s">
        <v>12</v>
      </c>
      <c r="B35" s="302"/>
      <c r="C35" s="157"/>
      <c r="D35" s="157"/>
      <c r="E35" s="157"/>
      <c r="F35" s="157">
        <f t="shared" si="1"/>
        <v>0</v>
      </c>
      <c r="G35" s="157"/>
      <c r="H35" s="157"/>
      <c r="I35" s="157" t="s">
        <v>12</v>
      </c>
      <c r="J35" s="157" t="s">
        <v>12</v>
      </c>
      <c r="K35" s="728" t="s">
        <v>12</v>
      </c>
    </row>
    <row r="36" spans="1:17" ht="15">
      <c r="A36" s="745" t="s">
        <v>616</v>
      </c>
      <c r="B36" s="527">
        <f>+B39</f>
        <v>46208546</v>
      </c>
      <c r="C36" s="527">
        <f>+C39</f>
        <v>46208546</v>
      </c>
      <c r="D36" s="527">
        <f>+D39</f>
        <v>14471139</v>
      </c>
      <c r="E36" s="527">
        <f>+E39+E45</f>
        <v>5192951.8499999996</v>
      </c>
      <c r="F36" s="527">
        <f>+F39</f>
        <v>5720668.0700000003</v>
      </c>
      <c r="G36" s="527">
        <f>+G39+G45</f>
        <v>918290.15999999992</v>
      </c>
      <c r="H36" s="527">
        <f>+H45+H39</f>
        <v>349125.31</v>
      </c>
      <c r="I36" s="527">
        <f>+D36-F36</f>
        <v>8750470.9299999997</v>
      </c>
      <c r="J36" s="527">
        <f>C36-F36</f>
        <v>40487877.93</v>
      </c>
      <c r="K36" s="727">
        <f>+F36/D36*100</f>
        <v>39.531567418431955</v>
      </c>
      <c r="L36" s="162"/>
    </row>
    <row r="37" spans="1:17" ht="4.5" customHeight="1">
      <c r="A37" s="746"/>
      <c r="B37" s="302"/>
      <c r="C37" s="157"/>
      <c r="D37" s="533" t="s">
        <v>12</v>
      </c>
      <c r="E37" s="157" t="s">
        <v>12</v>
      </c>
      <c r="F37" s="157" t="s">
        <v>12</v>
      </c>
      <c r="G37" s="157" t="s">
        <v>12</v>
      </c>
      <c r="H37" s="157"/>
      <c r="I37" s="157"/>
      <c r="J37" s="157"/>
      <c r="K37" s="728" t="s">
        <v>12</v>
      </c>
    </row>
    <row r="38" spans="1:17" ht="15.75" customHeight="1">
      <c r="A38" s="746"/>
      <c r="B38" s="302"/>
      <c r="C38" s="157"/>
      <c r="D38" s="533"/>
      <c r="E38" s="157"/>
      <c r="F38" s="157"/>
      <c r="G38" s="157"/>
      <c r="H38" s="157"/>
      <c r="I38" s="157"/>
      <c r="J38" s="157"/>
      <c r="K38" s="728"/>
    </row>
    <row r="39" spans="1:17" ht="13.5">
      <c r="A39" s="746" t="s">
        <v>177</v>
      </c>
      <c r="B39" s="302">
        <f>+B41+B42+B43+B44</f>
        <v>46208546</v>
      </c>
      <c r="C39" s="302">
        <f>+C41+C42+C43+C44</f>
        <v>46208546</v>
      </c>
      <c r="D39" s="302">
        <f t="shared" ref="D39:J39" si="2">+D41+D42+D43+D44</f>
        <v>14471139</v>
      </c>
      <c r="E39" s="302">
        <f t="shared" si="2"/>
        <v>5192951.8499999996</v>
      </c>
      <c r="F39" s="302">
        <f t="shared" si="2"/>
        <v>5720668.0700000003</v>
      </c>
      <c r="G39" s="302">
        <f t="shared" si="2"/>
        <v>918290.15999999992</v>
      </c>
      <c r="H39" s="302">
        <f t="shared" si="2"/>
        <v>349125.31</v>
      </c>
      <c r="I39" s="302">
        <f t="shared" si="2"/>
        <v>8750470.9299999997</v>
      </c>
      <c r="J39" s="302">
        <f t="shared" si="2"/>
        <v>40487877.929999992</v>
      </c>
      <c r="K39" s="728">
        <f>+F39/D39*100</f>
        <v>39.531567418431955</v>
      </c>
      <c r="N39" t="s">
        <v>12</v>
      </c>
    </row>
    <row r="40" spans="1:17" ht="6" customHeight="1">
      <c r="A40" s="746"/>
      <c r="B40" s="302"/>
      <c r="C40" s="157"/>
      <c r="D40" s="157"/>
      <c r="E40" s="157" t="s">
        <v>12</v>
      </c>
      <c r="F40" s="157" t="s">
        <v>12</v>
      </c>
      <c r="G40" s="157" t="s">
        <v>12</v>
      </c>
      <c r="H40" s="157"/>
      <c r="I40" s="157" t="s">
        <v>12</v>
      </c>
      <c r="J40" s="157" t="s">
        <v>12</v>
      </c>
      <c r="K40" s="728"/>
    </row>
    <row r="41" spans="1:17" ht="18" customHeight="1">
      <c r="A41" s="746" t="s">
        <v>178</v>
      </c>
      <c r="B41" s="534">
        <f>+'PROYECTROS INV'!B8</f>
        <v>39203856</v>
      </c>
      <c r="C41" s="535">
        <f>+'PROYECTROS INV'!D8</f>
        <v>38062122</v>
      </c>
      <c r="D41" s="535">
        <f>+'PROYECTROS INV'!E8</f>
        <v>9207577</v>
      </c>
      <c r="E41" s="535">
        <f>+'PROYECTROS INV'!F8</f>
        <v>1985376.8099999998</v>
      </c>
      <c r="F41" s="535">
        <f>+'PROYECTROS INV'!G8</f>
        <v>2232662.09</v>
      </c>
      <c r="G41" s="535">
        <f>+'PROYECTROS INV'!H8</f>
        <v>316815.21999999997</v>
      </c>
      <c r="H41" s="535">
        <f>+'PROYECTROS INV'!I8</f>
        <v>81781.399999999994</v>
      </c>
      <c r="I41" s="535">
        <f>+D41-F41</f>
        <v>6974914.9100000001</v>
      </c>
      <c r="J41" s="731">
        <f>C41-F41</f>
        <v>35829459.909999996</v>
      </c>
      <c r="K41" s="729">
        <f>+F41/D41*100</f>
        <v>24.24809578024707</v>
      </c>
      <c r="L41" s="163"/>
      <c r="N41" s="1"/>
      <c r="O41" s="1"/>
      <c r="Q41" s="166"/>
    </row>
    <row r="42" spans="1:17" ht="18" customHeight="1">
      <c r="A42" s="747" t="s">
        <v>179</v>
      </c>
      <c r="B42" s="535">
        <f>+'PROYECTROS INV'!B20</f>
        <v>1955170</v>
      </c>
      <c r="C42" s="535">
        <f>+'PROYECTROS INV'!D20</f>
        <v>2151916</v>
      </c>
      <c r="D42" s="535">
        <f>+'PROYECTROS INV'!E20</f>
        <v>1243380</v>
      </c>
      <c r="E42" s="535">
        <f>+'PROYECTROS INV'!F20</f>
        <v>634464.62</v>
      </c>
      <c r="F42" s="535">
        <f>+'PROYECTROS INV'!G20</f>
        <v>649902.22</v>
      </c>
      <c r="G42" s="535">
        <f>+'PROYECTROS INV'!H20</f>
        <v>12695.16</v>
      </c>
      <c r="H42" s="535">
        <f>+'PROYECTROS INV'!I20</f>
        <v>0</v>
      </c>
      <c r="I42" s="535">
        <f>+D42-F42</f>
        <v>593477.78</v>
      </c>
      <c r="J42" s="535">
        <f>C42-F42</f>
        <v>1502013.78</v>
      </c>
      <c r="K42" s="732">
        <f>+F42/D42*100</f>
        <v>52.26899419324743</v>
      </c>
      <c r="L42" s="163"/>
      <c r="N42" s="1"/>
      <c r="O42" s="1"/>
      <c r="Q42" s="166"/>
    </row>
    <row r="43" spans="1:17" ht="19.5" customHeight="1">
      <c r="A43" s="747" t="s">
        <v>180</v>
      </c>
      <c r="B43" s="535">
        <f>+'PROYECTROS INV'!B37</f>
        <v>3949520</v>
      </c>
      <c r="C43" s="535">
        <f>+'PROYECTROS INV'!D37</f>
        <v>4295558</v>
      </c>
      <c r="D43" s="712">
        <f>+'PROYECTROS INV'!E37</f>
        <v>2660742</v>
      </c>
      <c r="E43" s="535">
        <f>+'PROYECTROS INV'!F37</f>
        <v>1286555.21</v>
      </c>
      <c r="F43" s="535">
        <f>'PROYECTROS INV'!G37</f>
        <v>1944995.24</v>
      </c>
      <c r="G43" s="535">
        <f>+'PROYECTROS INV'!H37</f>
        <v>568430.76</v>
      </c>
      <c r="H43" s="535">
        <f>+'PROYECTROS INV'!I37</f>
        <v>259998.36</v>
      </c>
      <c r="I43" s="537">
        <f>+D43-F43</f>
        <v>715746.76</v>
      </c>
      <c r="J43" s="712">
        <f>C43-F43</f>
        <v>2350562.7599999998</v>
      </c>
      <c r="K43" s="732">
        <f>+F43/D43*100</f>
        <v>73.099730826964802</v>
      </c>
      <c r="L43" s="163"/>
      <c r="N43" s="1"/>
      <c r="O43" s="1"/>
    </row>
    <row r="44" spans="1:17" ht="18" customHeight="1">
      <c r="A44" s="748" t="s">
        <v>608</v>
      </c>
      <c r="B44" s="715">
        <v>1100000</v>
      </c>
      <c r="C44" s="713">
        <f>+'PROYECTROS INV'!D47</f>
        <v>1698950</v>
      </c>
      <c r="D44" s="714">
        <f>+'PROYECTROS INV'!E47</f>
        <v>1359440</v>
      </c>
      <c r="E44" s="714">
        <f>+'PROYECTROS INV'!F37</f>
        <v>1286555.21</v>
      </c>
      <c r="F44" s="715">
        <f>'PROYECTROS INV'!G46</f>
        <v>893108.52</v>
      </c>
      <c r="G44" s="716">
        <f>'PROYECTROS INV'!H46</f>
        <v>20349.02</v>
      </c>
      <c r="H44" s="715">
        <f>'PROYECTROS INV'!I46</f>
        <v>7345.55</v>
      </c>
      <c r="I44" s="538">
        <f>+D44-F44</f>
        <v>466331.48</v>
      </c>
      <c r="J44" s="733">
        <f>C44-F44</f>
        <v>805841.48</v>
      </c>
      <c r="K44" s="803">
        <f>+F44/D44*100</f>
        <v>65.696795739422114</v>
      </c>
    </row>
    <row r="45" spans="1:17" ht="14.25" customHeight="1">
      <c r="A45" s="536"/>
      <c r="B45" s="536"/>
      <c r="C45" s="539"/>
      <c r="D45" s="539"/>
      <c r="E45" s="539"/>
      <c r="F45" s="539"/>
      <c r="G45" s="539"/>
      <c r="H45" s="158"/>
      <c r="I45" s="539"/>
      <c r="J45" s="539"/>
      <c r="K45" s="164"/>
      <c r="L45" t="s">
        <v>12</v>
      </c>
    </row>
    <row r="46" spans="1:17" ht="7.5" hidden="1" customHeight="1">
      <c r="A46" s="536"/>
      <c r="B46" s="536"/>
      <c r="C46" s="539"/>
      <c r="D46" s="539"/>
      <c r="E46" s="539"/>
      <c r="F46" s="539"/>
      <c r="G46" s="539"/>
      <c r="H46" s="158"/>
      <c r="I46" s="539"/>
      <c r="J46" s="539"/>
      <c r="K46" s="164"/>
      <c r="L46" t="s">
        <v>12</v>
      </c>
    </row>
    <row r="47" spans="1:17" ht="13.5" hidden="1">
      <c r="A47" s="536"/>
      <c r="B47" s="536"/>
      <c r="C47" s="539"/>
      <c r="D47" s="539"/>
      <c r="E47" s="539"/>
      <c r="F47" s="539"/>
      <c r="G47" s="539"/>
      <c r="H47" s="539"/>
      <c r="I47" s="539"/>
      <c r="J47" s="539"/>
      <c r="K47" s="164"/>
      <c r="L47" t="s">
        <v>12</v>
      </c>
    </row>
    <row r="48" spans="1:17" ht="13.5" hidden="1">
      <c r="A48" s="536"/>
      <c r="B48" s="536"/>
      <c r="C48" s="539"/>
      <c r="D48" s="539"/>
      <c r="E48" s="539"/>
      <c r="F48" s="539"/>
      <c r="G48" s="539"/>
      <c r="H48" s="539"/>
      <c r="I48" s="539"/>
      <c r="J48" s="539"/>
      <c r="K48" s="164"/>
      <c r="L48" t="s">
        <v>12</v>
      </c>
    </row>
    <row r="49" spans="1:12" ht="3.75" hidden="1" customHeight="1">
      <c r="A49" s="536"/>
      <c r="B49" s="536"/>
      <c r="C49" s="539"/>
      <c r="D49" s="539"/>
      <c r="E49" s="539"/>
      <c r="F49" s="539"/>
      <c r="G49" s="539"/>
      <c r="H49" s="539"/>
      <c r="I49" s="539"/>
      <c r="J49" s="539"/>
      <c r="K49" s="164"/>
      <c r="L49" t="s">
        <v>12</v>
      </c>
    </row>
    <row r="50" spans="1:12" ht="1.5" hidden="1" customHeight="1">
      <c r="A50" s="200"/>
      <c r="B50" s="200"/>
      <c r="C50" s="540"/>
      <c r="D50" s="541"/>
      <c r="E50" s="541"/>
      <c r="F50" s="541"/>
      <c r="G50" s="541"/>
      <c r="H50" s="541"/>
      <c r="I50" s="541"/>
      <c r="J50" s="541"/>
      <c r="K50" s="269"/>
      <c r="L50" t="s">
        <v>12</v>
      </c>
    </row>
    <row r="51" spans="1:12" ht="12" hidden="1" customHeight="1">
      <c r="A51" s="159"/>
      <c r="B51" s="159"/>
      <c r="C51" s="159"/>
      <c r="D51" s="104"/>
      <c r="E51" s="104"/>
      <c r="F51" s="526"/>
      <c r="G51" s="526"/>
      <c r="H51" s="104"/>
      <c r="I51" s="104"/>
      <c r="J51" s="526"/>
      <c r="K51" s="270"/>
    </row>
    <row r="52" spans="1:12" ht="0.75" hidden="1" customHeight="1">
      <c r="A52" s="159"/>
      <c r="B52" s="159"/>
      <c r="C52" s="159"/>
      <c r="D52" s="133"/>
      <c r="E52" s="133"/>
      <c r="F52" s="133"/>
      <c r="G52" s="133"/>
      <c r="H52" s="133"/>
      <c r="I52" s="133"/>
      <c r="J52" s="133"/>
      <c r="K52" s="3"/>
    </row>
    <row r="53" spans="1:12">
      <c r="A53" s="870" t="s">
        <v>39</v>
      </c>
      <c r="B53" s="870"/>
      <c r="C53" s="6"/>
      <c r="D53" s="1"/>
      <c r="E53" s="1"/>
      <c r="F53" s="133"/>
      <c r="G53" s="133"/>
      <c r="H53" s="133"/>
      <c r="I53" s="133"/>
      <c r="J53" s="133"/>
      <c r="K53" s="3"/>
    </row>
    <row r="54" spans="1:12">
      <c r="A54" s="160">
        <f t="array" ref="A54">A1:K54</f>
        <v>0</v>
      </c>
      <c r="B54" s="160"/>
      <c r="C54" s="160"/>
      <c r="D54" s="78"/>
      <c r="E54" s="78"/>
      <c r="F54" s="525"/>
      <c r="G54" s="525"/>
      <c r="H54" s="525"/>
      <c r="I54" s="525"/>
      <c r="J54" s="525"/>
      <c r="K54" s="165"/>
    </row>
    <row r="55" spans="1:12">
      <c r="A55" s="160" t="s">
        <v>12</v>
      </c>
      <c r="B55" s="160"/>
      <c r="C55" s="160"/>
      <c r="D55" s="78"/>
      <c r="E55" s="78"/>
      <c r="F55" s="525"/>
      <c r="G55" s="525"/>
      <c r="H55" s="525"/>
      <c r="I55" s="525"/>
      <c r="J55" s="525"/>
      <c r="K55" s="165"/>
    </row>
    <row r="56" spans="1:12">
      <c r="A56" s="160" t="s">
        <v>12</v>
      </c>
      <c r="B56" s="160"/>
      <c r="C56" s="160"/>
      <c r="D56" s="114"/>
      <c r="E56" s="114"/>
      <c r="F56" s="114"/>
      <c r="G56" s="114"/>
      <c r="H56" s="114"/>
      <c r="I56" s="114"/>
      <c r="J56" s="114"/>
      <c r="K56" s="165"/>
    </row>
    <row r="57" spans="1:12">
      <c r="A57" s="160" t="s">
        <v>12</v>
      </c>
      <c r="B57" s="160"/>
      <c r="C57" s="160"/>
      <c r="D57" s="114"/>
      <c r="E57" s="114"/>
      <c r="F57" s="114"/>
      <c r="G57" s="114"/>
      <c r="H57" s="114"/>
      <c r="I57" s="114"/>
      <c r="J57" s="114"/>
      <c r="K57" s="165"/>
    </row>
    <row r="58" spans="1:12">
      <c r="A58" s="160" t="s">
        <v>12</v>
      </c>
      <c r="B58" s="160"/>
      <c r="C58" s="160"/>
      <c r="D58" s="114"/>
      <c r="E58" s="114"/>
      <c r="F58" s="114"/>
      <c r="G58" s="114"/>
      <c r="H58" s="114"/>
      <c r="I58" s="114"/>
      <c r="J58" s="114"/>
      <c r="K58" s="165"/>
    </row>
    <row r="59" spans="1:12">
      <c r="A59" s="160" t="s">
        <v>12</v>
      </c>
      <c r="B59" s="160"/>
      <c r="C59" s="160"/>
      <c r="D59" s="114"/>
      <c r="E59" s="114"/>
      <c r="F59" s="114"/>
      <c r="G59" s="114"/>
      <c r="H59" s="114"/>
      <c r="I59" s="114"/>
      <c r="J59" s="114"/>
      <c r="K59" s="165"/>
    </row>
    <row r="60" spans="1:12">
      <c r="A60" s="160" t="s">
        <v>12</v>
      </c>
      <c r="B60" s="160"/>
      <c r="C60" s="160"/>
      <c r="D60" s="114"/>
      <c r="E60" s="114"/>
      <c r="F60" s="114"/>
      <c r="G60" s="114"/>
      <c r="H60" s="114"/>
      <c r="I60" s="114"/>
      <c r="J60" s="114"/>
      <c r="K60" s="165"/>
    </row>
    <row r="61" spans="1:12">
      <c r="A61" s="160" t="s">
        <v>12</v>
      </c>
      <c r="B61" s="160"/>
      <c r="C61" s="160"/>
      <c r="D61" s="114"/>
      <c r="E61" s="114"/>
      <c r="F61" s="114"/>
      <c r="G61" s="114"/>
      <c r="H61" s="114"/>
      <c r="I61" s="114"/>
      <c r="J61" s="114"/>
      <c r="K61" s="165"/>
    </row>
    <row r="62" spans="1:12" ht="74.25" customHeight="1">
      <c r="A62" s="160" t="s">
        <v>12</v>
      </c>
      <c r="B62" s="160"/>
      <c r="C62" s="160"/>
      <c r="D62" s="114"/>
      <c r="E62" s="114"/>
      <c r="F62" s="114"/>
      <c r="G62" s="114"/>
      <c r="H62" s="114"/>
      <c r="I62" s="114"/>
      <c r="J62" s="114"/>
      <c r="K62" s="165"/>
    </row>
    <row r="63" spans="1:12">
      <c r="A63" s="4" t="s">
        <v>12</v>
      </c>
      <c r="D63" s="114"/>
      <c r="E63" s="114"/>
      <c r="F63" s="114"/>
      <c r="G63" s="114"/>
      <c r="H63" s="114"/>
      <c r="I63" s="114"/>
      <c r="J63" s="114"/>
      <c r="K63" s="165"/>
    </row>
    <row r="64" spans="1:12">
      <c r="D64" s="114"/>
      <c r="E64" s="114"/>
      <c r="F64" s="114"/>
      <c r="G64" s="114"/>
      <c r="H64" s="114"/>
      <c r="I64" s="114"/>
      <c r="J64" s="114"/>
      <c r="K64" s="165"/>
    </row>
    <row r="65" spans="1:11">
      <c r="A65" s="4" t="s">
        <v>12</v>
      </c>
      <c r="D65" s="114"/>
      <c r="E65" s="114"/>
      <c r="F65" s="114"/>
      <c r="G65" s="114"/>
      <c r="H65" s="114"/>
      <c r="I65" s="114"/>
      <c r="J65" s="114"/>
      <c r="K65" s="165"/>
    </row>
    <row r="66" spans="1:11">
      <c r="A66" s="4" t="s">
        <v>12</v>
      </c>
      <c r="D66" s="114"/>
      <c r="E66" s="114"/>
      <c r="F66" s="114"/>
      <c r="G66" s="114"/>
      <c r="H66" s="114"/>
      <c r="I66" s="114"/>
      <c r="J66" s="114"/>
      <c r="K66" s="165"/>
    </row>
    <row r="67" spans="1:11">
      <c r="D67" s="114"/>
      <c r="E67" s="114"/>
      <c r="F67" s="114"/>
      <c r="G67" s="114"/>
      <c r="H67" s="114"/>
      <c r="I67" s="114"/>
      <c r="J67" s="114"/>
      <c r="K67" s="165"/>
    </row>
    <row r="68" spans="1:11">
      <c r="D68" s="114"/>
      <c r="E68" s="114"/>
      <c r="F68" s="114"/>
      <c r="G68" s="114"/>
      <c r="H68" s="114"/>
      <c r="I68" s="114"/>
      <c r="J68" s="114"/>
      <c r="K68" s="165"/>
    </row>
    <row r="69" spans="1:11">
      <c r="D69" s="114"/>
      <c r="E69" s="114"/>
      <c r="F69" s="114"/>
      <c r="G69" s="114"/>
      <c r="H69" s="114"/>
      <c r="I69" s="114"/>
      <c r="J69" s="114"/>
      <c r="K69" s="165"/>
    </row>
    <row r="70" spans="1:11">
      <c r="D70" s="114"/>
      <c r="E70" s="114"/>
      <c r="F70" s="114"/>
      <c r="G70" s="114"/>
      <c r="H70" s="114"/>
      <c r="I70" s="114"/>
      <c r="J70" s="114"/>
      <c r="K70" s="165"/>
    </row>
    <row r="71" spans="1:11">
      <c r="D71" s="114"/>
      <c r="E71" s="114"/>
      <c r="F71" s="114"/>
      <c r="G71" s="114"/>
      <c r="H71" s="114"/>
      <c r="I71" s="114"/>
      <c r="J71" s="114"/>
      <c r="K71" s="165"/>
    </row>
    <row r="72" spans="1:11">
      <c r="D72" s="114"/>
      <c r="E72" s="114"/>
      <c r="F72" s="114"/>
      <c r="G72" s="114"/>
      <c r="H72" s="114"/>
      <c r="I72" s="114"/>
      <c r="J72" s="114"/>
      <c r="K72" s="165"/>
    </row>
    <row r="73" spans="1:11">
      <c r="D73" s="114"/>
      <c r="E73" s="114"/>
      <c r="F73" s="114"/>
      <c r="G73" s="114"/>
      <c r="H73" s="114"/>
      <c r="I73" s="114"/>
      <c r="J73" s="114"/>
      <c r="K73" s="165"/>
    </row>
    <row r="74" spans="1:11">
      <c r="D74" s="114"/>
      <c r="E74" s="114"/>
      <c r="F74" s="114"/>
      <c r="G74" s="114"/>
      <c r="H74" s="114"/>
      <c r="I74" s="114"/>
      <c r="J74" s="114"/>
      <c r="K74" s="165"/>
    </row>
    <row r="75" spans="1:11">
      <c r="D75" s="114"/>
      <c r="E75" s="114"/>
      <c r="F75" s="114"/>
      <c r="G75" s="114"/>
      <c r="H75" s="114"/>
      <c r="I75" s="114"/>
      <c r="J75" s="114"/>
      <c r="K75" s="165"/>
    </row>
    <row r="76" spans="1:11">
      <c r="D76" s="114"/>
      <c r="E76" s="114"/>
      <c r="F76" s="114"/>
      <c r="G76" s="114"/>
      <c r="H76" s="114"/>
      <c r="I76" s="114"/>
      <c r="J76" s="114"/>
      <c r="K76" s="165"/>
    </row>
    <row r="77" spans="1:11">
      <c r="D77" s="114"/>
      <c r="E77" s="114"/>
      <c r="F77" s="114"/>
      <c r="G77" s="114"/>
      <c r="H77" s="114"/>
      <c r="I77" s="114"/>
      <c r="J77" s="114"/>
      <c r="K77" s="165"/>
    </row>
    <row r="78" spans="1:11">
      <c r="D78" s="114"/>
      <c r="E78" s="114"/>
      <c r="F78" s="114"/>
      <c r="G78" s="114"/>
      <c r="H78" s="114"/>
      <c r="I78" s="114"/>
      <c r="J78" s="114"/>
      <c r="K78" s="165"/>
    </row>
    <row r="79" spans="1:11">
      <c r="D79" s="114"/>
      <c r="E79" s="114"/>
      <c r="F79" s="114"/>
      <c r="G79" s="114"/>
      <c r="H79" s="114"/>
      <c r="I79" s="114"/>
      <c r="J79" s="114"/>
      <c r="K79" s="165"/>
    </row>
    <row r="80" spans="1:11">
      <c r="D80" s="114"/>
      <c r="E80" s="114"/>
      <c r="F80" s="114"/>
      <c r="G80" s="114"/>
      <c r="H80" s="114"/>
      <c r="I80" s="114"/>
      <c r="J80" s="114"/>
      <c r="K80" s="165"/>
    </row>
    <row r="81" spans="4:11">
      <c r="D81" s="114"/>
      <c r="E81" s="114"/>
      <c r="F81" s="114"/>
      <c r="G81" s="114"/>
      <c r="H81" s="114"/>
      <c r="I81" s="114"/>
      <c r="J81" s="114"/>
      <c r="K81" s="165"/>
    </row>
    <row r="82" spans="4:11">
      <c r="D82" s="114"/>
      <c r="E82" s="114"/>
      <c r="F82" s="114"/>
      <c r="G82" s="114"/>
      <c r="H82" s="114"/>
      <c r="I82" s="114"/>
      <c r="J82" s="114"/>
      <c r="K82" s="165"/>
    </row>
    <row r="83" spans="4:11">
      <c r="D83" s="114"/>
      <c r="E83" s="114"/>
      <c r="F83" s="114"/>
      <c r="G83" s="114"/>
      <c r="H83" s="114"/>
      <c r="I83" s="114"/>
      <c r="J83" s="114"/>
      <c r="K83" s="165"/>
    </row>
    <row r="84" spans="4:11">
      <c r="D84" s="114"/>
      <c r="E84" s="114"/>
      <c r="F84" s="114"/>
      <c r="G84" s="114"/>
      <c r="H84" s="114"/>
      <c r="I84" s="114"/>
      <c r="J84" s="114"/>
      <c r="K84" s="165"/>
    </row>
    <row r="85" spans="4:11">
      <c r="D85" s="114"/>
      <c r="E85" s="114"/>
      <c r="F85" s="114"/>
      <c r="G85" s="114"/>
      <c r="H85" s="114"/>
      <c r="I85" s="114"/>
      <c r="J85" s="114"/>
      <c r="K85" s="165"/>
    </row>
    <row r="86" spans="4:11">
      <c r="D86" s="114"/>
      <c r="E86" s="114"/>
      <c r="F86" s="114"/>
      <c r="G86" s="114"/>
      <c r="H86" s="114"/>
      <c r="I86" s="114"/>
      <c r="J86" s="114"/>
      <c r="K86" s="165"/>
    </row>
    <row r="87" spans="4:11">
      <c r="D87" s="114"/>
      <c r="E87" s="114"/>
      <c r="F87" s="114"/>
      <c r="G87" s="114"/>
      <c r="H87" s="114"/>
      <c r="I87" s="114"/>
      <c r="J87" s="114"/>
      <c r="K87" s="165"/>
    </row>
    <row r="88" spans="4:11">
      <c r="D88" s="114"/>
      <c r="E88" s="114"/>
      <c r="F88" s="114"/>
      <c r="G88" s="114"/>
      <c r="H88" s="114"/>
      <c r="I88" s="114"/>
      <c r="J88" s="114"/>
      <c r="K88" s="165"/>
    </row>
    <row r="89" spans="4:11">
      <c r="D89" s="114"/>
      <c r="E89" s="114"/>
      <c r="F89" s="114"/>
      <c r="G89" s="114"/>
      <c r="H89" s="114"/>
      <c r="I89" s="114"/>
      <c r="J89" s="114"/>
      <c r="K89" s="165"/>
    </row>
    <row r="90" spans="4:11">
      <c r="D90" s="114"/>
      <c r="E90" s="114"/>
      <c r="F90" s="114"/>
      <c r="G90" s="114"/>
      <c r="H90" s="114"/>
      <c r="I90" s="114"/>
      <c r="J90" s="114"/>
      <c r="K90" s="165"/>
    </row>
    <row r="91" spans="4:11">
      <c r="D91" s="114"/>
      <c r="E91" s="114"/>
      <c r="F91" s="114"/>
      <c r="G91" s="114"/>
      <c r="H91" s="114"/>
      <c r="I91" s="114"/>
      <c r="J91" s="114"/>
      <c r="K91" s="165"/>
    </row>
    <row r="92" spans="4:11">
      <c r="D92" s="114"/>
      <c r="E92" s="114"/>
      <c r="F92" s="114"/>
      <c r="G92" s="114"/>
      <c r="H92" s="114"/>
      <c r="I92" s="114"/>
      <c r="J92" s="114"/>
      <c r="K92" s="165"/>
    </row>
    <row r="93" spans="4:11">
      <c r="D93" s="114"/>
      <c r="E93" s="114"/>
      <c r="F93" s="114"/>
      <c r="G93" s="114"/>
      <c r="H93" s="114"/>
      <c r="I93" s="114"/>
      <c r="J93" s="114"/>
      <c r="K93" s="165"/>
    </row>
    <row r="94" spans="4:11">
      <c r="D94" s="114"/>
      <c r="E94" s="114"/>
      <c r="F94" s="114"/>
      <c r="G94" s="114"/>
      <c r="H94" s="114"/>
      <c r="I94" s="114"/>
      <c r="J94" s="114"/>
      <c r="K94" s="165"/>
    </row>
    <row r="95" spans="4:11">
      <c r="D95" s="114"/>
      <c r="E95" s="114"/>
      <c r="F95" s="114"/>
      <c r="G95" s="114"/>
      <c r="H95" s="114"/>
      <c r="I95" s="114"/>
      <c r="J95" s="114"/>
      <c r="K95" s="165"/>
    </row>
    <row r="96" spans="4:11">
      <c r="D96" s="114"/>
      <c r="E96" s="114"/>
      <c r="F96" s="114"/>
      <c r="G96" s="114"/>
      <c r="H96" s="114"/>
      <c r="I96" s="114"/>
      <c r="J96" s="114"/>
      <c r="K96" s="165"/>
    </row>
    <row r="97" spans="4:11">
      <c r="D97" s="114"/>
      <c r="E97" s="114"/>
      <c r="F97" s="114"/>
      <c r="G97" s="114"/>
      <c r="H97" s="114"/>
      <c r="I97" s="114"/>
      <c r="J97" s="114"/>
      <c r="K97" s="165"/>
    </row>
    <row r="98" spans="4:11">
      <c r="D98" s="114"/>
      <c r="E98" s="114"/>
      <c r="F98" s="114"/>
      <c r="G98" s="114"/>
      <c r="H98" s="114"/>
      <c r="I98" s="114"/>
      <c r="J98" s="114"/>
      <c r="K98" s="165"/>
    </row>
    <row r="99" spans="4:11">
      <c r="D99" s="114"/>
      <c r="E99" s="114"/>
      <c r="F99" s="114"/>
      <c r="G99" s="114"/>
      <c r="H99" s="114"/>
      <c r="I99" s="114"/>
      <c r="J99" s="114"/>
      <c r="K99" s="165"/>
    </row>
    <row r="100" spans="4:11">
      <c r="D100" s="114"/>
      <c r="E100" s="114"/>
      <c r="F100" s="114"/>
      <c r="G100" s="114"/>
      <c r="H100" s="114"/>
      <c r="I100" s="114"/>
      <c r="J100" s="114"/>
      <c r="K100" s="165"/>
    </row>
    <row r="101" spans="4:11">
      <c r="D101" s="114"/>
      <c r="E101" s="114"/>
      <c r="F101" s="114"/>
      <c r="G101" s="114"/>
      <c r="H101" s="114"/>
      <c r="I101" s="114"/>
      <c r="J101" s="114"/>
      <c r="K101" s="165"/>
    </row>
    <row r="102" spans="4:11">
      <c r="D102" s="114"/>
      <c r="E102" s="114"/>
      <c r="F102" s="114"/>
      <c r="G102" s="114"/>
      <c r="H102" s="114"/>
      <c r="I102" s="114"/>
      <c r="J102" s="114"/>
      <c r="K102" s="165"/>
    </row>
    <row r="103" spans="4:11">
      <c r="D103" s="114"/>
      <c r="E103" s="114"/>
      <c r="F103" s="114"/>
      <c r="G103" s="114"/>
      <c r="H103" s="114"/>
      <c r="I103" s="114"/>
      <c r="J103" s="114"/>
      <c r="K103" s="165"/>
    </row>
    <row r="104" spans="4:11">
      <c r="D104" s="114"/>
      <c r="E104" s="114"/>
      <c r="F104" s="114"/>
      <c r="G104" s="114"/>
      <c r="H104" s="114"/>
      <c r="I104" s="114"/>
      <c r="J104" s="114"/>
      <c r="K104" s="165"/>
    </row>
    <row r="105" spans="4:11">
      <c r="D105" s="114"/>
      <c r="E105" s="114"/>
      <c r="F105" s="114"/>
      <c r="G105" s="114"/>
      <c r="H105" s="114"/>
      <c r="I105" s="114"/>
      <c r="J105" s="114"/>
      <c r="K105" s="165"/>
    </row>
    <row r="106" spans="4:11">
      <c r="D106" s="114"/>
      <c r="E106" s="114"/>
      <c r="F106" s="114"/>
      <c r="G106" s="114"/>
      <c r="H106" s="114"/>
      <c r="I106" s="114"/>
      <c r="J106" s="114"/>
      <c r="K106" s="165"/>
    </row>
    <row r="107" spans="4:11">
      <c r="D107" s="114"/>
      <c r="E107" s="114"/>
      <c r="F107" s="114"/>
      <c r="G107" s="114"/>
      <c r="H107" s="114"/>
      <c r="I107" s="114"/>
      <c r="J107" s="114"/>
      <c r="K107" s="165"/>
    </row>
    <row r="108" spans="4:11">
      <c r="D108" s="114"/>
      <c r="E108" s="114"/>
      <c r="F108" s="114"/>
      <c r="G108" s="114"/>
      <c r="H108" s="114"/>
      <c r="I108" s="114"/>
      <c r="J108" s="114"/>
      <c r="K108" s="165"/>
    </row>
    <row r="109" spans="4:11">
      <c r="D109" s="114"/>
      <c r="E109" s="114"/>
      <c r="F109" s="114"/>
      <c r="G109" s="114"/>
      <c r="H109" s="114"/>
      <c r="I109" s="114"/>
      <c r="J109" s="114"/>
      <c r="K109" s="165"/>
    </row>
    <row r="110" spans="4:11">
      <c r="D110" s="114"/>
      <c r="E110" s="114"/>
      <c r="F110" s="114"/>
      <c r="G110" s="114"/>
      <c r="H110" s="114"/>
      <c r="I110" s="114"/>
      <c r="J110" s="114"/>
      <c r="K110" s="165"/>
    </row>
    <row r="111" spans="4:11">
      <c r="D111" s="114"/>
      <c r="E111" s="114"/>
      <c r="F111" s="114"/>
      <c r="G111" s="114"/>
      <c r="H111" s="114"/>
      <c r="I111" s="114"/>
      <c r="J111" s="114"/>
      <c r="K111" s="165"/>
    </row>
    <row r="112" spans="4:11">
      <c r="D112" s="114"/>
      <c r="E112" s="114"/>
      <c r="F112" s="114"/>
      <c r="G112" s="114"/>
      <c r="H112" s="114"/>
      <c r="I112" s="114"/>
      <c r="J112" s="114"/>
      <c r="K112" s="165"/>
    </row>
    <row r="113" spans="4:11">
      <c r="D113" s="114"/>
      <c r="E113" s="114"/>
      <c r="F113" s="114"/>
      <c r="G113" s="114"/>
      <c r="H113" s="114"/>
      <c r="I113" s="114"/>
      <c r="J113" s="114"/>
      <c r="K113" s="165"/>
    </row>
    <row r="114" spans="4:11">
      <c r="D114" s="114"/>
      <c r="E114" s="114"/>
      <c r="F114" s="114"/>
      <c r="G114" s="114"/>
      <c r="H114" s="114"/>
      <c r="I114" s="114"/>
      <c r="J114" s="114"/>
      <c r="K114" s="165"/>
    </row>
    <row r="115" spans="4:11">
      <c r="D115" s="114"/>
      <c r="E115" s="114"/>
      <c r="F115" s="114"/>
      <c r="G115" s="114"/>
      <c r="H115" s="114"/>
      <c r="I115" s="114"/>
      <c r="J115" s="114"/>
      <c r="K115" s="165"/>
    </row>
    <row r="116" spans="4:11">
      <c r="D116" s="114"/>
      <c r="E116" s="114"/>
      <c r="F116" s="114"/>
      <c r="G116" s="114"/>
      <c r="H116" s="114"/>
      <c r="I116" s="114"/>
      <c r="J116" s="114"/>
      <c r="K116" s="165"/>
    </row>
    <row r="117" spans="4:11">
      <c r="D117" s="114"/>
      <c r="E117" s="114"/>
      <c r="F117" s="114"/>
      <c r="G117" s="114"/>
      <c r="H117" s="114"/>
      <c r="I117" s="114"/>
      <c r="J117" s="114"/>
      <c r="K117" s="165"/>
    </row>
    <row r="118" spans="4:11">
      <c r="D118" s="114"/>
      <c r="E118" s="114"/>
      <c r="F118" s="114"/>
      <c r="G118" s="114"/>
      <c r="H118" s="114"/>
      <c r="I118" s="114"/>
      <c r="J118" s="114"/>
      <c r="K118" s="165"/>
    </row>
    <row r="119" spans="4:11">
      <c r="D119" s="114"/>
      <c r="E119" s="114"/>
      <c r="F119" s="114"/>
      <c r="G119" s="114"/>
      <c r="H119" s="114"/>
      <c r="I119" s="114"/>
      <c r="J119" s="114"/>
      <c r="K119" s="165"/>
    </row>
    <row r="120" spans="4:11">
      <c r="D120" s="114"/>
      <c r="E120" s="114"/>
      <c r="F120" s="114"/>
      <c r="G120" s="114"/>
      <c r="H120" s="114"/>
      <c r="I120" s="114"/>
      <c r="J120" s="114"/>
      <c r="K120" s="165"/>
    </row>
    <row r="121" spans="4:11">
      <c r="D121" s="114"/>
      <c r="E121" s="114"/>
      <c r="F121" s="114"/>
      <c r="G121" s="114"/>
      <c r="H121" s="114"/>
      <c r="I121" s="114"/>
      <c r="J121" s="114"/>
      <c r="K121" s="165"/>
    </row>
    <row r="122" spans="4:11">
      <c r="K122" s="165"/>
    </row>
    <row r="123" spans="4:11">
      <c r="K123" s="165"/>
    </row>
    <row r="124" spans="4:11">
      <c r="K124" s="165"/>
    </row>
    <row r="125" spans="4:11">
      <c r="K125" s="165"/>
    </row>
    <row r="126" spans="4:11">
      <c r="K126" s="165"/>
    </row>
    <row r="127" spans="4:11">
      <c r="K127" s="165"/>
    </row>
    <row r="128" spans="4:11">
      <c r="K128" s="165"/>
    </row>
    <row r="129" spans="11:11">
      <c r="K129" s="165"/>
    </row>
    <row r="130" spans="11:11">
      <c r="K130" s="165"/>
    </row>
    <row r="131" spans="11:11">
      <c r="K131" s="165"/>
    </row>
    <row r="132" spans="11:11">
      <c r="K132" s="165"/>
    </row>
    <row r="133" spans="11:11">
      <c r="K133" s="165"/>
    </row>
    <row r="134" spans="11:11">
      <c r="K134" s="165"/>
    </row>
    <row r="135" spans="11:11">
      <c r="K135" s="165"/>
    </row>
    <row r="136" spans="11:11">
      <c r="K136" s="165"/>
    </row>
    <row r="137" spans="11:11">
      <c r="K137" s="165"/>
    </row>
    <row r="138" spans="11:11">
      <c r="K138" s="165"/>
    </row>
    <row r="139" spans="11:11">
      <c r="K139" s="165"/>
    </row>
    <row r="140" spans="11:11">
      <c r="K140" s="165"/>
    </row>
    <row r="141" spans="11:11">
      <c r="K141" s="165"/>
    </row>
    <row r="142" spans="11:11">
      <c r="K142" s="165"/>
    </row>
    <row r="143" spans="11:11">
      <c r="K143" s="165"/>
    </row>
    <row r="144" spans="11:11">
      <c r="K144" s="165"/>
    </row>
    <row r="145" spans="11:11">
      <c r="K145" s="165"/>
    </row>
    <row r="146" spans="11:11">
      <c r="K146" s="165"/>
    </row>
    <row r="147" spans="11:11">
      <c r="K147" s="165"/>
    </row>
    <row r="148" spans="11:11">
      <c r="K148" s="165"/>
    </row>
    <row r="149" spans="11:11">
      <c r="K149" s="165"/>
    </row>
    <row r="150" spans="11:11">
      <c r="K150" s="165"/>
    </row>
    <row r="151" spans="11:11">
      <c r="K151" s="165"/>
    </row>
    <row r="152" spans="11:11">
      <c r="K152" s="165"/>
    </row>
    <row r="153" spans="11:11">
      <c r="K153" s="165"/>
    </row>
    <row r="154" spans="11:11">
      <c r="K154" s="165"/>
    </row>
    <row r="155" spans="11:11">
      <c r="K155" s="165"/>
    </row>
    <row r="156" spans="11:11">
      <c r="K156" s="165"/>
    </row>
    <row r="157" spans="11:11">
      <c r="K157" s="165"/>
    </row>
    <row r="158" spans="11:11">
      <c r="K158" s="165"/>
    </row>
    <row r="159" spans="11:11">
      <c r="K159" s="165"/>
    </row>
    <row r="160" spans="11:11">
      <c r="K160" s="165"/>
    </row>
    <row r="161" spans="11:11">
      <c r="K161" s="165"/>
    </row>
    <row r="162" spans="11:11">
      <c r="K162" s="165"/>
    </row>
    <row r="163" spans="11:11">
      <c r="K163" s="165"/>
    </row>
    <row r="164" spans="11:11">
      <c r="K164" s="165"/>
    </row>
    <row r="165" spans="11:11">
      <c r="K165" s="165"/>
    </row>
    <row r="166" spans="11:11">
      <c r="K166" s="165"/>
    </row>
    <row r="167" spans="11:11">
      <c r="K167" s="165"/>
    </row>
    <row r="168" spans="11:11">
      <c r="K168" s="165"/>
    </row>
    <row r="169" spans="11:11">
      <c r="K169" s="165"/>
    </row>
    <row r="170" spans="11:11">
      <c r="K170" s="165"/>
    </row>
    <row r="171" spans="11:11">
      <c r="K171" s="165"/>
    </row>
    <row r="172" spans="11:11">
      <c r="K172" s="165"/>
    </row>
    <row r="173" spans="11:11">
      <c r="K173" s="165"/>
    </row>
    <row r="174" spans="11:11">
      <c r="K174" s="165"/>
    </row>
    <row r="175" spans="11:11">
      <c r="K175" s="165"/>
    </row>
    <row r="176" spans="11:11">
      <c r="K176" s="165"/>
    </row>
    <row r="177" spans="11:11">
      <c r="K177" s="165"/>
    </row>
    <row r="178" spans="11:11">
      <c r="K178" s="165"/>
    </row>
    <row r="179" spans="11:11">
      <c r="K179" s="165"/>
    </row>
    <row r="180" spans="11:11">
      <c r="K180" s="165"/>
    </row>
    <row r="181" spans="11:11">
      <c r="K181" s="165"/>
    </row>
  </sheetData>
  <mergeCells count="9">
    <mergeCell ref="A53:B53"/>
    <mergeCell ref="A7:A8"/>
    <mergeCell ref="K7:K8"/>
    <mergeCell ref="A2:K2"/>
    <mergeCell ref="A3:K3"/>
    <mergeCell ref="A4:K4"/>
    <mergeCell ref="A5:K5"/>
    <mergeCell ref="B7:H7"/>
    <mergeCell ref="I7:J7"/>
  </mergeCells>
  <pageMargins left="0.196850393700787" right="7.8740157480315001E-2" top="0.98425196850393704" bottom="0.78740157480314998" header="0.511811023622047" footer="0.511811023622047"/>
  <pageSetup scale="75" firstPageNumber="0" orientation="landscape" useFirstPageNumber="1" r:id="rId1"/>
  <headerFooter alignWithMargins="0"/>
  <ignoredErrors>
    <ignoredError sqref="D9 E36:F36 E13 C11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7">
    <tabColor theme="6" tint="0.39997558519241921"/>
  </sheetPr>
  <dimension ref="A1:V203"/>
  <sheetViews>
    <sheetView showGridLines="0" showZeros="0" topLeftCell="A2" zoomScale="93" zoomScaleNormal="93" workbookViewId="0">
      <selection activeCell="S33" sqref="S33"/>
    </sheetView>
  </sheetViews>
  <sheetFormatPr baseColWidth="10" defaultColWidth="11.42578125" defaultRowHeight="12.75"/>
  <cols>
    <col min="1" max="1" width="4.85546875" style="113" customWidth="1"/>
    <col min="2" max="2" width="33.42578125" style="113" customWidth="1"/>
    <col min="3" max="3" width="11.42578125" style="113" customWidth="1"/>
    <col min="4" max="4" width="13.85546875" style="113" hidden="1" customWidth="1"/>
    <col min="5" max="5" width="15.28515625" style="149" customWidth="1"/>
    <col min="6" max="6" width="14.42578125" style="149" customWidth="1"/>
    <col min="7" max="7" width="14" style="149" customWidth="1"/>
    <col min="8" max="8" width="13.42578125" style="149" customWidth="1"/>
    <col min="9" max="9" width="12.85546875" style="149" customWidth="1"/>
    <col min="10" max="10" width="13" style="149" customWidth="1"/>
    <col min="11" max="12" width="17.140625" style="149" customWidth="1"/>
    <col min="13" max="13" width="12.42578125" style="113" customWidth="1"/>
    <col min="14" max="14" width="0.140625" hidden="1" customWidth="1"/>
    <col min="15" max="15" width="22.7109375" hidden="1" customWidth="1"/>
    <col min="16" max="16" width="22.140625" customWidth="1"/>
    <col min="17" max="17" width="13.140625" customWidth="1"/>
  </cols>
  <sheetData>
    <row r="1" spans="1:18" hidden="1"/>
    <row r="2" spans="1:18" ht="15.75">
      <c r="A2" s="830" t="s">
        <v>58</v>
      </c>
      <c r="B2" s="830"/>
      <c r="C2" s="830"/>
      <c r="D2" s="830"/>
      <c r="E2" s="830"/>
      <c r="F2" s="830"/>
      <c r="G2" s="830"/>
      <c r="H2" s="830"/>
      <c r="I2" s="830"/>
      <c r="J2" s="830"/>
      <c r="K2" s="830"/>
      <c r="L2" s="830"/>
      <c r="M2" s="830"/>
    </row>
    <row r="3" spans="1:18" ht="15.75">
      <c r="A3" s="830" t="s">
        <v>59</v>
      </c>
      <c r="B3" s="830"/>
      <c r="C3" s="830"/>
      <c r="D3" s="830"/>
      <c r="E3" s="830"/>
      <c r="F3" s="830"/>
      <c r="G3" s="830"/>
      <c r="H3" s="830"/>
      <c r="I3" s="830"/>
      <c r="J3" s="830"/>
      <c r="K3" s="830"/>
      <c r="L3" s="830"/>
      <c r="M3" s="830"/>
    </row>
    <row r="4" spans="1:18" ht="15">
      <c r="A4" s="831" t="s">
        <v>181</v>
      </c>
      <c r="B4" s="831"/>
      <c r="C4" s="831"/>
      <c r="D4" s="831"/>
      <c r="E4" s="831"/>
      <c r="F4" s="831"/>
      <c r="G4" s="831"/>
      <c r="H4" s="831"/>
      <c r="I4" s="831"/>
      <c r="J4" s="831"/>
      <c r="K4" s="831"/>
      <c r="L4" s="831"/>
      <c r="M4" s="831"/>
      <c r="Q4" t="s">
        <v>12</v>
      </c>
    </row>
    <row r="5" spans="1:18" ht="15">
      <c r="A5" s="831" t="s">
        <v>620</v>
      </c>
      <c r="B5" s="831"/>
      <c r="C5" s="831"/>
      <c r="D5" s="831"/>
      <c r="E5" s="831"/>
      <c r="F5" s="831"/>
      <c r="G5" s="831"/>
      <c r="H5" s="831"/>
      <c r="I5" s="831"/>
      <c r="J5" s="831"/>
      <c r="K5" s="831"/>
      <c r="L5" s="831"/>
      <c r="M5" s="831"/>
    </row>
    <row r="6" spans="1:18" ht="6.75" customHeight="1">
      <c r="A6" s="114"/>
      <c r="B6" s="114"/>
      <c r="C6" s="114"/>
      <c r="D6" s="114"/>
      <c r="E6" s="560"/>
      <c r="F6" s="560"/>
      <c r="G6" s="560"/>
      <c r="H6" s="560"/>
      <c r="I6" s="560"/>
      <c r="J6" s="560"/>
      <c r="K6" s="560"/>
      <c r="L6" s="560"/>
      <c r="M6" s="114"/>
    </row>
    <row r="7" spans="1:18" ht="0.75" customHeight="1">
      <c r="A7" s="114"/>
      <c r="B7" s="114"/>
      <c r="C7" s="114"/>
      <c r="D7" s="114"/>
      <c r="E7" s="560"/>
      <c r="F7" s="560"/>
      <c r="G7" s="560"/>
      <c r="H7" s="560"/>
      <c r="I7" s="560"/>
      <c r="J7" s="560"/>
      <c r="K7" s="560"/>
      <c r="L7" s="560"/>
      <c r="M7" s="114"/>
    </row>
    <row r="8" spans="1:18" ht="15.75" customHeight="1" thickBot="1">
      <c r="A8" s="885" t="s">
        <v>182</v>
      </c>
      <c r="B8" s="888" t="s">
        <v>0</v>
      </c>
      <c r="C8" s="881" t="s">
        <v>48</v>
      </c>
      <c r="D8" s="881"/>
      <c r="E8" s="881"/>
      <c r="F8" s="881"/>
      <c r="G8" s="883" t="s">
        <v>183</v>
      </c>
      <c r="H8" s="883"/>
      <c r="I8" s="891" t="s">
        <v>184</v>
      </c>
      <c r="J8" s="891" t="s">
        <v>185</v>
      </c>
      <c r="K8" s="897" t="s">
        <v>601</v>
      </c>
      <c r="L8" s="898"/>
      <c r="M8" s="894" t="s">
        <v>186</v>
      </c>
      <c r="O8" s="880" t="s">
        <v>187</v>
      </c>
    </row>
    <row r="9" spans="1:18" ht="4.5" hidden="1" customHeight="1" thickBot="1">
      <c r="A9" s="886"/>
      <c r="B9" s="889"/>
      <c r="C9" s="882"/>
      <c r="D9" s="882"/>
      <c r="E9" s="882"/>
      <c r="F9" s="882"/>
      <c r="G9" s="884"/>
      <c r="H9" s="884"/>
      <c r="I9" s="892"/>
      <c r="J9" s="892"/>
      <c r="K9" s="638"/>
      <c r="L9" s="639"/>
      <c r="M9" s="895"/>
      <c r="O9" s="880"/>
    </row>
    <row r="10" spans="1:18" ht="23.25" customHeight="1">
      <c r="A10" s="887"/>
      <c r="B10" s="890"/>
      <c r="C10" s="335" t="s">
        <v>2</v>
      </c>
      <c r="D10" s="336" t="s">
        <v>533</v>
      </c>
      <c r="E10" s="335" t="s">
        <v>3</v>
      </c>
      <c r="F10" s="335" t="s">
        <v>25</v>
      </c>
      <c r="G10" s="335" t="s">
        <v>64</v>
      </c>
      <c r="H10" s="613" t="s">
        <v>114</v>
      </c>
      <c r="I10" s="893"/>
      <c r="J10" s="893"/>
      <c r="K10" s="640" t="s">
        <v>50</v>
      </c>
      <c r="L10" s="641" t="s">
        <v>51</v>
      </c>
      <c r="M10" s="896"/>
      <c r="O10" s="880"/>
    </row>
    <row r="11" spans="1:18" ht="19.5" customHeight="1">
      <c r="A11" s="488" t="s">
        <v>188</v>
      </c>
      <c r="B11" s="489" t="s">
        <v>189</v>
      </c>
      <c r="C11" s="490">
        <f>SUM(C12+C16+C20+C21+C22+C27+C29)</f>
        <v>125040406</v>
      </c>
      <c r="D11" s="491"/>
      <c r="E11" s="561">
        <f>+E12+E16+E20+E21+E22+E29</f>
        <v>124925393</v>
      </c>
      <c r="F11" s="579">
        <f>SUM(F12+F16+F20+F21+F22+F27+F29)</f>
        <v>34268048</v>
      </c>
      <c r="G11" s="579">
        <f>+G12+G16+G20+G22+G29+G21</f>
        <v>8817561.3999999985</v>
      </c>
      <c r="H11" s="628">
        <f>+H12+H16+H20+H21+H22+H29</f>
        <v>26724526.77</v>
      </c>
      <c r="I11" s="579">
        <f>+I12+I16+I20+I21+I22+I29</f>
        <v>23197261.469999999</v>
      </c>
      <c r="J11" s="579">
        <f>+J12+J16+J20+J21+J22+J29</f>
        <v>25309146.73</v>
      </c>
      <c r="K11" s="579">
        <f>+F11-H11</f>
        <v>7543521.2300000004</v>
      </c>
      <c r="L11" s="579">
        <f t="shared" ref="L11:L26" si="0">+E11-H11</f>
        <v>98200866.230000004</v>
      </c>
      <c r="M11" s="492">
        <f t="shared" ref="M11:M26" si="1">+H11*100/F11</f>
        <v>77.986720369949296</v>
      </c>
      <c r="N11" s="26" t="s">
        <v>12</v>
      </c>
      <c r="O11" s="26">
        <f>O12+O16+O20+O21+O22+O29</f>
        <v>17906965.68</v>
      </c>
      <c r="P11" t="s">
        <v>12</v>
      </c>
      <c r="Q11" s="1">
        <v>0</v>
      </c>
      <c r="R11" s="1" t="s">
        <v>12</v>
      </c>
    </row>
    <row r="12" spans="1:18" ht="17.25" customHeight="1">
      <c r="A12" s="115" t="s">
        <v>190</v>
      </c>
      <c r="B12" s="116" t="s">
        <v>191</v>
      </c>
      <c r="C12" s="326">
        <f>SUM(C13:C15)</f>
        <v>82014910</v>
      </c>
      <c r="D12" s="318"/>
      <c r="E12" s="562">
        <f>+E13+E14+E15</f>
        <v>81889910</v>
      </c>
      <c r="F12" s="580">
        <f>SUM(F13:F15)</f>
        <v>21406406</v>
      </c>
      <c r="G12" s="580">
        <f>SUM(G13:G15)</f>
        <v>6213222.1500000004</v>
      </c>
      <c r="H12" s="615">
        <f>+H13+H14+H15</f>
        <v>17003210.029999997</v>
      </c>
      <c r="I12" s="580">
        <f>SUM(I13:I15)</f>
        <v>17003210.029999997</v>
      </c>
      <c r="J12" s="580">
        <f>SUM(J13:J15)</f>
        <v>17003210.029999997</v>
      </c>
      <c r="K12" s="580">
        <f t="shared" ref="K12:K35" si="2">+F12-H12</f>
        <v>4403195.9700000025</v>
      </c>
      <c r="L12" s="580">
        <f t="shared" si="0"/>
        <v>64886699.969999999</v>
      </c>
      <c r="M12" s="125">
        <f t="shared" si="1"/>
        <v>79.430475297908472</v>
      </c>
      <c r="O12" s="108">
        <v>10789988.189999999</v>
      </c>
      <c r="R12" t="s">
        <v>12</v>
      </c>
    </row>
    <row r="13" spans="1:18">
      <c r="A13" s="118" t="s">
        <v>192</v>
      </c>
      <c r="B13" s="119" t="s">
        <v>191</v>
      </c>
      <c r="C13" s="327">
        <v>71448892</v>
      </c>
      <c r="D13" s="319"/>
      <c r="E13" s="563">
        <v>71570012</v>
      </c>
      <c r="F13" s="581">
        <v>17351570</v>
      </c>
      <c r="G13" s="581">
        <v>5296824.18</v>
      </c>
      <c r="H13" s="614">
        <f>O13+G13</f>
        <v>15793271.109999999</v>
      </c>
      <c r="I13" s="581">
        <v>15793271.109999999</v>
      </c>
      <c r="J13" s="581">
        <v>15793271.109999999</v>
      </c>
      <c r="K13" s="581">
        <f t="shared" si="2"/>
        <v>1558298.8900000006</v>
      </c>
      <c r="L13" s="581">
        <f t="shared" si="0"/>
        <v>55776740.890000001</v>
      </c>
      <c r="M13" s="126">
        <f t="shared" si="1"/>
        <v>91.019262867855758</v>
      </c>
      <c r="O13" s="277">
        <v>10496446.93</v>
      </c>
      <c r="P13" t="s">
        <v>12</v>
      </c>
    </row>
    <row r="14" spans="1:18">
      <c r="A14" s="118" t="s">
        <v>193</v>
      </c>
      <c r="B14" s="119" t="s">
        <v>194</v>
      </c>
      <c r="C14" s="327">
        <v>3449605</v>
      </c>
      <c r="D14" s="319"/>
      <c r="E14" s="563">
        <v>3203485</v>
      </c>
      <c r="F14" s="581">
        <v>694440</v>
      </c>
      <c r="G14" s="581">
        <v>190473.74</v>
      </c>
      <c r="H14" s="581">
        <f>O14+G14</f>
        <v>482299.68</v>
      </c>
      <c r="I14" s="711">
        <v>482299.68</v>
      </c>
      <c r="J14" s="581">
        <v>482299.68</v>
      </c>
      <c r="K14" s="581">
        <f t="shared" si="2"/>
        <v>212140.32</v>
      </c>
      <c r="L14" s="581">
        <f t="shared" si="0"/>
        <v>2721185.32</v>
      </c>
      <c r="M14" s="126">
        <f t="shared" si="1"/>
        <v>69.451598410229821</v>
      </c>
      <c r="O14" s="627">
        <f>291826.25-0.31</f>
        <v>291825.94</v>
      </c>
    </row>
    <row r="15" spans="1:18">
      <c r="A15" s="118" t="s">
        <v>195</v>
      </c>
      <c r="B15" s="119" t="s">
        <v>196</v>
      </c>
      <c r="C15" s="327">
        <v>7116413</v>
      </c>
      <c r="D15" s="319"/>
      <c r="E15" s="563">
        <v>7116413</v>
      </c>
      <c r="F15" s="581">
        <v>3360396</v>
      </c>
      <c r="G15" s="581">
        <v>725924.23</v>
      </c>
      <c r="H15" s="614">
        <f t="shared" ref="H15:H35" si="3">O15+G15</f>
        <v>727639.24</v>
      </c>
      <c r="I15" s="581">
        <v>727639.24</v>
      </c>
      <c r="J15" s="581">
        <v>727639.24</v>
      </c>
      <c r="K15" s="581">
        <f t="shared" ref="K15" si="4">+F15-H15</f>
        <v>2632756.7599999998</v>
      </c>
      <c r="L15" s="581">
        <f t="shared" ref="L15" si="5">+E15-H15</f>
        <v>6388773.7599999998</v>
      </c>
      <c r="M15" s="126">
        <f t="shared" si="1"/>
        <v>21.653377756669155</v>
      </c>
      <c r="O15" s="26">
        <v>1715.01</v>
      </c>
    </row>
    <row r="16" spans="1:18" ht="15" customHeight="1">
      <c r="A16" s="121" t="s">
        <v>197</v>
      </c>
      <c r="B16" s="116" t="s">
        <v>198</v>
      </c>
      <c r="C16" s="326">
        <f t="shared" ref="C16:J16" si="6">SUM(C17:C19)</f>
        <v>17802407</v>
      </c>
      <c r="D16" s="318"/>
      <c r="E16" s="562">
        <f t="shared" si="6"/>
        <v>17775407</v>
      </c>
      <c r="F16" s="580">
        <f t="shared" si="6"/>
        <v>4288538</v>
      </c>
      <c r="G16" s="580">
        <f t="shared" si="6"/>
        <v>1340946.69</v>
      </c>
      <c r="H16" s="615">
        <f t="shared" si="3"/>
        <v>4024457.71</v>
      </c>
      <c r="I16" s="580">
        <f>SUM(I17:I19)</f>
        <v>4024457.71</v>
      </c>
      <c r="J16" s="580">
        <f t="shared" si="6"/>
        <v>4024457.71</v>
      </c>
      <c r="K16" s="580">
        <f t="shared" si="2"/>
        <v>264080.29000000004</v>
      </c>
      <c r="L16" s="580">
        <f t="shared" si="0"/>
        <v>13750949.289999999</v>
      </c>
      <c r="M16" s="125">
        <f t="shared" si="1"/>
        <v>93.84218374653554</v>
      </c>
      <c r="O16" s="108">
        <v>2683511.02</v>
      </c>
    </row>
    <row r="17" spans="1:15" ht="13.9" customHeight="1">
      <c r="A17" s="118" t="s">
        <v>199</v>
      </c>
      <c r="B17" s="119" t="s">
        <v>200</v>
      </c>
      <c r="C17" s="327">
        <v>169242</v>
      </c>
      <c r="D17" s="319"/>
      <c r="E17" s="563">
        <v>169242</v>
      </c>
      <c r="F17" s="581">
        <v>21824</v>
      </c>
      <c r="G17" s="581">
        <v>6096.83</v>
      </c>
      <c r="H17" s="614">
        <f t="shared" si="3"/>
        <v>14781.96</v>
      </c>
      <c r="I17" s="581">
        <v>14781.96</v>
      </c>
      <c r="J17" s="581">
        <v>14781.96</v>
      </c>
      <c r="K17" s="581">
        <f t="shared" si="2"/>
        <v>7042.0400000000009</v>
      </c>
      <c r="L17" s="581">
        <f t="shared" si="0"/>
        <v>154460.04</v>
      </c>
      <c r="M17" s="126">
        <f t="shared" si="1"/>
        <v>67.732587976539591</v>
      </c>
      <c r="O17" s="26">
        <v>8685.1299999999992</v>
      </c>
    </row>
    <row r="18" spans="1:15" ht="13.9" customHeight="1">
      <c r="A18" s="122" t="s">
        <v>201</v>
      </c>
      <c r="B18" s="119" t="s">
        <v>202</v>
      </c>
      <c r="C18" s="327">
        <v>1094100</v>
      </c>
      <c r="D18" s="319"/>
      <c r="E18" s="563">
        <v>1109100</v>
      </c>
      <c r="F18" s="581">
        <v>288525</v>
      </c>
      <c r="G18" s="600">
        <v>79728.33</v>
      </c>
      <c r="H18" s="614">
        <f t="shared" si="3"/>
        <v>245845.04000000004</v>
      </c>
      <c r="I18" s="581">
        <v>245845.04</v>
      </c>
      <c r="J18" s="581">
        <v>245845.04</v>
      </c>
      <c r="K18" s="581">
        <f t="shared" si="2"/>
        <v>42679.959999999963</v>
      </c>
      <c r="L18" s="581">
        <f t="shared" si="0"/>
        <v>863254.96</v>
      </c>
      <c r="M18" s="126">
        <f t="shared" si="1"/>
        <v>85.207534875660699</v>
      </c>
      <c r="O18" s="26">
        <v>166116.71000000002</v>
      </c>
    </row>
    <row r="19" spans="1:15" ht="15.6" customHeight="1">
      <c r="A19" s="118" t="s">
        <v>203</v>
      </c>
      <c r="B19" s="119" t="s">
        <v>204</v>
      </c>
      <c r="C19" s="327">
        <v>16539065</v>
      </c>
      <c r="D19" s="319"/>
      <c r="E19" s="563">
        <v>16497065</v>
      </c>
      <c r="F19" s="581">
        <v>3978189</v>
      </c>
      <c r="G19" s="600">
        <v>1255121.53</v>
      </c>
      <c r="H19" s="614">
        <f t="shared" si="3"/>
        <v>3763830.71</v>
      </c>
      <c r="I19" s="581">
        <v>3763830.71</v>
      </c>
      <c r="J19" s="581">
        <v>3763830.71</v>
      </c>
      <c r="K19" s="581">
        <f t="shared" si="2"/>
        <v>214358.29000000004</v>
      </c>
      <c r="L19" s="581">
        <f t="shared" si="0"/>
        <v>12733234.289999999</v>
      </c>
      <c r="M19" s="126">
        <f t="shared" si="1"/>
        <v>94.611661487174189</v>
      </c>
      <c r="O19" s="26">
        <v>2508709.1800000002</v>
      </c>
    </row>
    <row r="20" spans="1:15">
      <c r="A20" s="121" t="s">
        <v>205</v>
      </c>
      <c r="B20" s="116" t="s">
        <v>206</v>
      </c>
      <c r="C20" s="326">
        <v>228000</v>
      </c>
      <c r="D20" s="318"/>
      <c r="E20" s="562">
        <v>228000</v>
      </c>
      <c r="F20" s="580">
        <v>57000</v>
      </c>
      <c r="G20" s="580">
        <v>18600</v>
      </c>
      <c r="H20" s="615">
        <f t="shared" si="3"/>
        <v>55800</v>
      </c>
      <c r="I20" s="580">
        <v>55800</v>
      </c>
      <c r="J20" s="580">
        <v>55800</v>
      </c>
      <c r="K20" s="580">
        <f t="shared" si="2"/>
        <v>1200</v>
      </c>
      <c r="L20" s="580">
        <f t="shared" si="0"/>
        <v>172200</v>
      </c>
      <c r="M20" s="125">
        <f t="shared" si="1"/>
        <v>97.89473684210526</v>
      </c>
      <c r="O20" s="108">
        <v>37200</v>
      </c>
    </row>
    <row r="21" spans="1:15">
      <c r="A21" s="121" t="s">
        <v>207</v>
      </c>
      <c r="B21" s="116" t="s">
        <v>208</v>
      </c>
      <c r="C21" s="326">
        <v>8322356</v>
      </c>
      <c r="D21" s="318"/>
      <c r="E21" s="562">
        <v>8082465</v>
      </c>
      <c r="F21" s="580">
        <v>2534252</v>
      </c>
      <c r="G21" s="580">
        <v>53154.44</v>
      </c>
      <c r="H21" s="615">
        <f t="shared" si="3"/>
        <v>2113793.73</v>
      </c>
      <c r="I21" s="580">
        <v>2113793.73</v>
      </c>
      <c r="J21" s="580">
        <v>2113793.73</v>
      </c>
      <c r="K21" s="580">
        <f t="shared" ref="K21" si="7">+F21-H21</f>
        <v>420458.27</v>
      </c>
      <c r="L21" s="580">
        <f t="shared" ref="L21" si="8">+E21-H21</f>
        <v>5968671.2699999996</v>
      </c>
      <c r="M21" s="125">
        <f t="shared" si="1"/>
        <v>83.408979454292634</v>
      </c>
      <c r="O21" s="108">
        <v>2060639.29</v>
      </c>
    </row>
    <row r="22" spans="1:15" ht="14.25" customHeight="1">
      <c r="A22" s="115" t="s">
        <v>209</v>
      </c>
      <c r="B22" s="116" t="s">
        <v>210</v>
      </c>
      <c r="C22" s="326">
        <f t="shared" ref="C22:J22" si="9">SUM(C23:C26)</f>
        <v>16672733</v>
      </c>
      <c r="D22" s="326">
        <f t="shared" si="9"/>
        <v>0</v>
      </c>
      <c r="E22" s="564">
        <f t="shared" si="9"/>
        <v>16617733</v>
      </c>
      <c r="F22" s="580">
        <f t="shared" si="9"/>
        <v>5649974</v>
      </c>
      <c r="G22" s="580">
        <f t="shared" si="9"/>
        <v>1191638.1199999999</v>
      </c>
      <c r="H22" s="615">
        <f t="shared" si="9"/>
        <v>3526340.0900000003</v>
      </c>
      <c r="I22" s="581"/>
      <c r="J22" s="580">
        <f t="shared" si="9"/>
        <v>2110960.0499999998</v>
      </c>
      <c r="K22" s="580">
        <f t="shared" si="2"/>
        <v>2123633.9099999997</v>
      </c>
      <c r="L22" s="580">
        <f t="shared" si="0"/>
        <v>13091392.91</v>
      </c>
      <c r="M22" s="125">
        <f t="shared" si="1"/>
        <v>62.413386150095569</v>
      </c>
      <c r="N22" s="6"/>
      <c r="O22" s="108">
        <v>2334701.9699999997</v>
      </c>
    </row>
    <row r="23" spans="1:15" ht="15" customHeight="1">
      <c r="A23" s="118" t="s">
        <v>211</v>
      </c>
      <c r="B23" s="120" t="s">
        <v>212</v>
      </c>
      <c r="C23" s="327">
        <v>14173069</v>
      </c>
      <c r="D23" s="319"/>
      <c r="E23" s="563">
        <v>14118069</v>
      </c>
      <c r="F23" s="581">
        <v>5004511</v>
      </c>
      <c r="G23" s="581">
        <v>1009984.31</v>
      </c>
      <c r="H23" s="614">
        <f t="shared" si="3"/>
        <v>3022260.9800000004</v>
      </c>
      <c r="I23" s="581"/>
      <c r="J23" s="581">
        <v>1791254.7</v>
      </c>
      <c r="K23" s="581">
        <f t="shared" si="2"/>
        <v>1982250.0199999996</v>
      </c>
      <c r="L23" s="581">
        <f t="shared" si="0"/>
        <v>11095808.02</v>
      </c>
      <c r="M23" s="126">
        <f t="shared" si="1"/>
        <v>60.390735078811907</v>
      </c>
      <c r="O23" s="26">
        <v>2012276.6700000002</v>
      </c>
    </row>
    <row r="24" spans="1:15" ht="13.5" customHeight="1">
      <c r="A24" s="118" t="s">
        <v>213</v>
      </c>
      <c r="B24" s="119" t="s">
        <v>214</v>
      </c>
      <c r="C24" s="327">
        <v>1499798</v>
      </c>
      <c r="D24" s="319"/>
      <c r="E24" s="563">
        <v>1499798</v>
      </c>
      <c r="F24" s="581">
        <v>387272</v>
      </c>
      <c r="G24" s="581">
        <v>113405</v>
      </c>
      <c r="H24" s="614">
        <f t="shared" si="3"/>
        <v>315572.57</v>
      </c>
      <c r="I24" s="581"/>
      <c r="J24" s="581">
        <v>202223.79</v>
      </c>
      <c r="K24" s="581">
        <f t="shared" si="2"/>
        <v>71699.429999999993</v>
      </c>
      <c r="L24" s="581">
        <f t="shared" si="0"/>
        <v>1184225.43</v>
      </c>
      <c r="M24" s="126">
        <f t="shared" si="1"/>
        <v>81.486027908033634</v>
      </c>
      <c r="O24" s="26">
        <v>202167.57</v>
      </c>
    </row>
    <row r="25" spans="1:15" ht="13.5" customHeight="1">
      <c r="A25" s="118" t="s">
        <v>215</v>
      </c>
      <c r="B25" s="119" t="s">
        <v>216</v>
      </c>
      <c r="C25" s="327">
        <v>699907</v>
      </c>
      <c r="D25" s="319"/>
      <c r="E25" s="563">
        <v>699907</v>
      </c>
      <c r="F25" s="581">
        <v>180735</v>
      </c>
      <c r="G25" s="581">
        <v>53055.16</v>
      </c>
      <c r="H25" s="614">
        <f t="shared" si="3"/>
        <v>147663.63</v>
      </c>
      <c r="I25" s="581"/>
      <c r="J25" s="581">
        <v>91822.64</v>
      </c>
      <c r="K25" s="581">
        <f t="shared" si="2"/>
        <v>33071.369999999995</v>
      </c>
      <c r="L25" s="581">
        <f t="shared" si="0"/>
        <v>552243.37</v>
      </c>
      <c r="M25" s="126">
        <f t="shared" si="1"/>
        <v>81.70173458378288</v>
      </c>
      <c r="O25" s="26">
        <v>94608.47</v>
      </c>
    </row>
    <row r="26" spans="1:15" ht="13.5" customHeight="1">
      <c r="A26" s="118" t="s">
        <v>217</v>
      </c>
      <c r="B26" s="119" t="s">
        <v>218</v>
      </c>
      <c r="C26" s="327">
        <v>299959</v>
      </c>
      <c r="D26" s="319"/>
      <c r="E26" s="563">
        <v>299959</v>
      </c>
      <c r="F26" s="581">
        <v>77456</v>
      </c>
      <c r="G26" s="581">
        <v>15193.65</v>
      </c>
      <c r="H26" s="614">
        <f t="shared" si="3"/>
        <v>40842.910000000003</v>
      </c>
      <c r="I26" s="581"/>
      <c r="J26" s="581">
        <v>25658.92</v>
      </c>
      <c r="K26" s="581">
        <f t="shared" si="2"/>
        <v>36613.089999999997</v>
      </c>
      <c r="L26" s="581">
        <f t="shared" si="0"/>
        <v>259116.09</v>
      </c>
      <c r="M26" s="126">
        <f t="shared" si="1"/>
        <v>52.730466329270818</v>
      </c>
      <c r="O26" s="26">
        <v>25649.260000000002</v>
      </c>
    </row>
    <row r="27" spans="1:15" ht="1.5" hidden="1" customHeight="1">
      <c r="A27" s="115" t="s">
        <v>219</v>
      </c>
      <c r="B27" s="116" t="s">
        <v>220</v>
      </c>
      <c r="C27" s="326">
        <f>SUM(C28:C28)</f>
        <v>0</v>
      </c>
      <c r="D27" s="318"/>
      <c r="E27" s="562" t="e">
        <f>SUM(E28:E28)</f>
        <v>#REF!</v>
      </c>
      <c r="F27" s="580">
        <v>0</v>
      </c>
      <c r="G27" s="580">
        <v>0</v>
      </c>
      <c r="H27" s="614">
        <f t="shared" si="3"/>
        <v>0</v>
      </c>
      <c r="I27" s="580"/>
      <c r="J27" s="580">
        <f>SUM(J28)</f>
        <v>0</v>
      </c>
      <c r="K27" s="580">
        <f t="shared" si="2"/>
        <v>0</v>
      </c>
      <c r="L27" s="580" t="e">
        <f>SUM(L28:L28)</f>
        <v>#REF!</v>
      </c>
      <c r="M27" s="126"/>
      <c r="O27" s="26">
        <v>0</v>
      </c>
    </row>
    <row r="28" spans="1:15" ht="9.75" hidden="1" customHeight="1">
      <c r="A28" s="118" t="s">
        <v>221</v>
      </c>
      <c r="B28" s="119" t="s">
        <v>222</v>
      </c>
      <c r="C28" s="327">
        <v>0</v>
      </c>
      <c r="D28" s="319"/>
      <c r="E28" s="563" t="e">
        <f>+C28+#REF!</f>
        <v>#REF!</v>
      </c>
      <c r="F28" s="581">
        <v>0</v>
      </c>
      <c r="G28" s="581">
        <v>0</v>
      </c>
      <c r="H28" s="614">
        <f t="shared" si="3"/>
        <v>0</v>
      </c>
      <c r="I28" s="581"/>
      <c r="J28" s="581">
        <v>0</v>
      </c>
      <c r="K28" s="581">
        <f t="shared" si="2"/>
        <v>0</v>
      </c>
      <c r="L28" s="581" t="e">
        <f t="shared" ref="L28:L35" si="10">+E28-H28</f>
        <v>#REF!</v>
      </c>
      <c r="M28" s="126"/>
      <c r="O28" s="26">
        <v>0</v>
      </c>
    </row>
    <row r="29" spans="1:15" ht="13.5" customHeight="1">
      <c r="A29" s="115" t="s">
        <v>223</v>
      </c>
      <c r="B29" s="116" t="s">
        <v>224</v>
      </c>
      <c r="C29" s="327">
        <v>0</v>
      </c>
      <c r="D29" s="319"/>
      <c r="E29" s="562">
        <f>SUM(E30:E35)</f>
        <v>331878</v>
      </c>
      <c r="F29" s="580">
        <f>SUM(F30:F35)</f>
        <v>331878</v>
      </c>
      <c r="G29" s="580">
        <f>SUM(G30:G35)</f>
        <v>0</v>
      </c>
      <c r="H29" s="615">
        <f t="shared" si="3"/>
        <v>925.21</v>
      </c>
      <c r="I29" s="580">
        <f>+I30+I31+I32+I33</f>
        <v>0</v>
      </c>
      <c r="J29" s="580">
        <f>SUM(J30:J35)</f>
        <v>925.21</v>
      </c>
      <c r="K29" s="580">
        <f t="shared" si="2"/>
        <v>330952.78999999998</v>
      </c>
      <c r="L29" s="580">
        <f t="shared" si="10"/>
        <v>330952.78999999998</v>
      </c>
      <c r="M29" s="125">
        <f t="shared" ref="M29:M35" si="11">+H29*100/F29</f>
        <v>0.27878015415303214</v>
      </c>
      <c r="O29" s="108">
        <f>O30+O33+O34+O35</f>
        <v>925.21</v>
      </c>
    </row>
    <row r="30" spans="1:15" ht="13.5" customHeight="1">
      <c r="A30" s="118" t="s">
        <v>225</v>
      </c>
      <c r="B30" s="119" t="s">
        <v>226</v>
      </c>
      <c r="C30" s="327">
        <v>0</v>
      </c>
      <c r="D30" s="319"/>
      <c r="E30" s="563">
        <v>81000</v>
      </c>
      <c r="F30" s="581">
        <v>81000</v>
      </c>
      <c r="G30" s="581"/>
      <c r="H30" s="614">
        <f t="shared" si="3"/>
        <v>0</v>
      </c>
      <c r="I30" s="581"/>
      <c r="J30" s="581"/>
      <c r="K30" s="580">
        <f t="shared" si="2"/>
        <v>81000</v>
      </c>
      <c r="L30" s="580">
        <f t="shared" si="10"/>
        <v>81000</v>
      </c>
      <c r="M30" s="125">
        <f t="shared" si="11"/>
        <v>0</v>
      </c>
      <c r="O30" s="26">
        <v>0</v>
      </c>
    </row>
    <row r="31" spans="1:15" ht="1.5" customHeight="1">
      <c r="A31" s="118" t="s">
        <v>227</v>
      </c>
      <c r="B31" s="119" t="s">
        <v>228</v>
      </c>
      <c r="C31" s="327">
        <v>0</v>
      </c>
      <c r="D31" s="319"/>
      <c r="E31" s="563"/>
      <c r="F31" s="581"/>
      <c r="G31" s="581"/>
      <c r="H31" s="614">
        <f t="shared" si="3"/>
        <v>0</v>
      </c>
      <c r="I31" s="581"/>
      <c r="J31" s="581"/>
      <c r="K31" s="580">
        <f t="shared" si="2"/>
        <v>0</v>
      </c>
      <c r="L31" s="580">
        <f t="shared" si="10"/>
        <v>0</v>
      </c>
      <c r="M31" s="125" t="e">
        <f t="shared" si="11"/>
        <v>#DIV/0!</v>
      </c>
      <c r="O31" s="26">
        <v>0</v>
      </c>
    </row>
    <row r="32" spans="1:15" ht="11.25" hidden="1" customHeight="1">
      <c r="A32" s="118" t="s">
        <v>229</v>
      </c>
      <c r="B32" s="119" t="s">
        <v>230</v>
      </c>
      <c r="C32" s="327">
        <v>0</v>
      </c>
      <c r="D32" s="319"/>
      <c r="E32" s="563"/>
      <c r="F32" s="581"/>
      <c r="G32" s="581"/>
      <c r="H32" s="614">
        <f t="shared" si="3"/>
        <v>0</v>
      </c>
      <c r="I32" s="581"/>
      <c r="J32" s="581"/>
      <c r="K32" s="580">
        <f t="shared" si="2"/>
        <v>0</v>
      </c>
      <c r="L32" s="580">
        <f t="shared" si="10"/>
        <v>0</v>
      </c>
      <c r="M32" s="125" t="e">
        <f t="shared" si="11"/>
        <v>#DIV/0!</v>
      </c>
      <c r="O32" s="26">
        <v>0</v>
      </c>
    </row>
    <row r="33" spans="1:19" ht="13.5" customHeight="1">
      <c r="A33" s="118" t="s">
        <v>231</v>
      </c>
      <c r="B33" s="119" t="s">
        <v>232</v>
      </c>
      <c r="C33" s="327">
        <v>0</v>
      </c>
      <c r="D33" s="319"/>
      <c r="E33" s="563">
        <v>104448</v>
      </c>
      <c r="F33" s="581">
        <v>104448</v>
      </c>
      <c r="G33" s="581"/>
      <c r="H33" s="614">
        <f t="shared" si="3"/>
        <v>0</v>
      </c>
      <c r="I33" s="581"/>
      <c r="J33" s="581"/>
      <c r="K33" s="580">
        <f t="shared" si="2"/>
        <v>104448</v>
      </c>
      <c r="L33" s="580">
        <f t="shared" si="10"/>
        <v>104448</v>
      </c>
      <c r="M33" s="125">
        <f t="shared" si="11"/>
        <v>0</v>
      </c>
      <c r="O33" s="26">
        <v>0</v>
      </c>
    </row>
    <row r="34" spans="1:19" ht="13.5" customHeight="1">
      <c r="A34" s="118">
        <v>98</v>
      </c>
      <c r="B34" s="119" t="s">
        <v>233</v>
      </c>
      <c r="C34" s="327">
        <v>0</v>
      </c>
      <c r="D34" s="319"/>
      <c r="E34" s="563">
        <v>90000</v>
      </c>
      <c r="F34" s="581">
        <v>90000</v>
      </c>
      <c r="G34" s="581"/>
      <c r="H34" s="614">
        <f t="shared" si="3"/>
        <v>0</v>
      </c>
      <c r="I34" s="581"/>
      <c r="J34" s="581"/>
      <c r="K34" s="580">
        <f t="shared" si="2"/>
        <v>90000</v>
      </c>
      <c r="L34" s="580">
        <f t="shared" si="10"/>
        <v>90000</v>
      </c>
      <c r="M34" s="126">
        <f t="shared" si="11"/>
        <v>0</v>
      </c>
      <c r="O34" s="26">
        <v>0</v>
      </c>
    </row>
    <row r="35" spans="1:19" ht="10.5" customHeight="1">
      <c r="A35" s="118" t="s">
        <v>234</v>
      </c>
      <c r="B35" s="119" t="s">
        <v>235</v>
      </c>
      <c r="C35" s="327">
        <v>0</v>
      </c>
      <c r="D35" s="319"/>
      <c r="E35" s="563">
        <v>56430</v>
      </c>
      <c r="F35" s="581">
        <v>56430</v>
      </c>
      <c r="G35" s="581"/>
      <c r="H35" s="614">
        <f t="shared" si="3"/>
        <v>925.21</v>
      </c>
      <c r="I35" s="581"/>
      <c r="J35" s="600">
        <v>925.21</v>
      </c>
      <c r="K35" s="581">
        <f t="shared" si="2"/>
        <v>55504.79</v>
      </c>
      <c r="L35" s="581">
        <f t="shared" si="10"/>
        <v>55504.79</v>
      </c>
      <c r="M35" s="126">
        <f t="shared" si="11"/>
        <v>1.6395711500974659</v>
      </c>
      <c r="O35" s="26">
        <v>925.21</v>
      </c>
    </row>
    <row r="36" spans="1:19" ht="3.75" hidden="1" customHeight="1">
      <c r="A36" s="118"/>
      <c r="B36" s="119"/>
      <c r="C36" s="327"/>
      <c r="D36" s="319"/>
      <c r="E36" s="563"/>
      <c r="F36" s="581"/>
      <c r="G36" s="581">
        <v>0</v>
      </c>
      <c r="H36" s="581"/>
      <c r="I36" s="581"/>
      <c r="J36" s="581"/>
      <c r="K36" s="581"/>
      <c r="L36" s="581"/>
      <c r="M36" s="126"/>
      <c r="O36" s="26"/>
    </row>
    <row r="37" spans="1:19" ht="20.25" customHeight="1">
      <c r="A37" s="493" t="s">
        <v>236</v>
      </c>
      <c r="B37" s="494" t="s">
        <v>237</v>
      </c>
      <c r="C37" s="495">
        <f>C38+C45+C54++C55+C58+C67+C73+C76+C62+C83</f>
        <v>3088498</v>
      </c>
      <c r="D37" s="496">
        <f>D57+D61+D64+D71+D73+D74+D76+D78+D80</f>
        <v>0</v>
      </c>
      <c r="E37" s="565">
        <f t="shared" ref="E37:L37" si="12">E38+E45+E54++E55+E58+E67+E73+E76+E62+E83</f>
        <v>3349106</v>
      </c>
      <c r="F37" s="565">
        <f t="shared" si="12"/>
        <v>2759642</v>
      </c>
      <c r="G37" s="601">
        <f t="shared" si="12"/>
        <v>648187.89000000013</v>
      </c>
      <c r="H37" s="601">
        <f t="shared" si="12"/>
        <v>1242426.1599999999</v>
      </c>
      <c r="I37" s="601">
        <f t="shared" si="12"/>
        <v>888848.69</v>
      </c>
      <c r="J37" s="601">
        <f t="shared" si="12"/>
        <v>621170.34</v>
      </c>
      <c r="K37" s="642">
        <f t="shared" si="12"/>
        <v>1517215.8399999999</v>
      </c>
      <c r="L37" s="601">
        <f t="shared" si="12"/>
        <v>2106679.84</v>
      </c>
      <c r="M37" s="127">
        <f t="shared" ref="M37:M42" si="13">+H37*100/F37</f>
        <v>45.021280296502219</v>
      </c>
      <c r="N37" s="26" t="s">
        <v>12</v>
      </c>
      <c r="O37" s="108">
        <f>O38+O45+O54+O55+O58+O62+O67+O73+O76+O83</f>
        <v>594283.99</v>
      </c>
      <c r="P37" s="26"/>
      <c r="Q37" s="26"/>
      <c r="R37" s="1"/>
      <c r="S37" s="26"/>
    </row>
    <row r="38" spans="1:19" ht="15.75" customHeight="1">
      <c r="A38" s="115">
        <v>100</v>
      </c>
      <c r="B38" s="116" t="s">
        <v>238</v>
      </c>
      <c r="C38" s="326">
        <f>SUM(C39:C44)</f>
        <v>71025</v>
      </c>
      <c r="D38" s="318"/>
      <c r="E38" s="562">
        <f>SUM(E39:E44)</f>
        <v>83393</v>
      </c>
      <c r="F38" s="580">
        <f>SUM(F39:F44)</f>
        <v>75393</v>
      </c>
      <c r="G38" s="580">
        <f>SUM(G39:G44)</f>
        <v>6176.76</v>
      </c>
      <c r="H38" s="636">
        <f>+O38+G38</f>
        <v>21397.510000000002</v>
      </c>
      <c r="I38" s="580">
        <f>SUM(I39:I44)</f>
        <v>7883.76</v>
      </c>
      <c r="J38" s="580">
        <f>SUM(J39:J44)</f>
        <v>2426.7600000000002</v>
      </c>
      <c r="K38" s="580">
        <f t="shared" ref="K38:K54" si="14">+F38-H38</f>
        <v>53995.49</v>
      </c>
      <c r="L38" s="580">
        <f t="shared" ref="L38:L54" si="15">+E38-H38</f>
        <v>61995.49</v>
      </c>
      <c r="M38" s="126">
        <f t="shared" si="13"/>
        <v>28.38129534572175</v>
      </c>
      <c r="O38" s="108">
        <f>O40+O44</f>
        <v>15220.75</v>
      </c>
      <c r="R38" s="1"/>
    </row>
    <row r="39" spans="1:19" ht="15" customHeight="1">
      <c r="A39" s="123" t="s">
        <v>239</v>
      </c>
      <c r="B39" s="120" t="s">
        <v>240</v>
      </c>
      <c r="C39" s="327">
        <v>6000</v>
      </c>
      <c r="D39" s="319"/>
      <c r="E39" s="563">
        <v>11900</v>
      </c>
      <c r="F39" s="581">
        <v>5900</v>
      </c>
      <c r="G39" s="581"/>
      <c r="H39" s="637"/>
      <c r="I39" s="581"/>
      <c r="J39" s="581"/>
      <c r="K39" s="581">
        <f t="shared" si="14"/>
        <v>5900</v>
      </c>
      <c r="L39" s="581">
        <f t="shared" si="15"/>
        <v>11900</v>
      </c>
      <c r="M39" s="126">
        <f t="shared" si="13"/>
        <v>0</v>
      </c>
      <c r="O39" s="26"/>
    </row>
    <row r="40" spans="1:19" ht="13.5" customHeight="1">
      <c r="A40" s="118" t="s">
        <v>241</v>
      </c>
      <c r="B40" s="119" t="s">
        <v>242</v>
      </c>
      <c r="C40" s="327">
        <v>2000</v>
      </c>
      <c r="D40" s="319"/>
      <c r="E40" s="563">
        <v>13970</v>
      </c>
      <c r="F40" s="581">
        <v>11970</v>
      </c>
      <c r="G40" s="581"/>
      <c r="H40" s="637">
        <f>O40+G40</f>
        <v>2461</v>
      </c>
      <c r="I40" s="581">
        <v>2461</v>
      </c>
      <c r="J40" s="581"/>
      <c r="K40" s="581">
        <f t="shared" si="14"/>
        <v>9509</v>
      </c>
      <c r="L40" s="581">
        <f t="shared" si="15"/>
        <v>11509</v>
      </c>
      <c r="M40" s="126">
        <f t="shared" si="13"/>
        <v>20.559732664995824</v>
      </c>
      <c r="O40" s="26">
        <v>2461</v>
      </c>
      <c r="Q40" s="26"/>
    </row>
    <row r="41" spans="1:19" ht="11.25" customHeight="1">
      <c r="A41" s="118" t="s">
        <v>243</v>
      </c>
      <c r="B41" s="119" t="s">
        <v>244</v>
      </c>
      <c r="C41" s="327">
        <v>28778</v>
      </c>
      <c r="D41" s="319"/>
      <c r="E41" s="563">
        <v>30280</v>
      </c>
      <c r="F41" s="581">
        <v>30280</v>
      </c>
      <c r="G41" s="581">
        <v>3750</v>
      </c>
      <c r="H41" s="637">
        <f>O41+G41</f>
        <v>3750</v>
      </c>
      <c r="I41" s="581"/>
      <c r="J41" s="581"/>
      <c r="K41" s="581">
        <f t="shared" si="14"/>
        <v>26530</v>
      </c>
      <c r="L41" s="581">
        <f t="shared" si="15"/>
        <v>26530</v>
      </c>
      <c r="M41" s="126">
        <f t="shared" si="13"/>
        <v>12.384412153236459</v>
      </c>
      <c r="O41" s="26"/>
    </row>
    <row r="42" spans="1:19" ht="14.25" customHeight="1">
      <c r="A42" s="118" t="s">
        <v>245</v>
      </c>
      <c r="B42" s="119" t="s">
        <v>246</v>
      </c>
      <c r="C42" s="327"/>
      <c r="D42" s="319"/>
      <c r="E42" s="563">
        <v>200</v>
      </c>
      <c r="F42" s="581">
        <v>200</v>
      </c>
      <c r="G42" s="581"/>
      <c r="H42" s="637"/>
      <c r="I42" s="581"/>
      <c r="J42" s="581"/>
      <c r="K42" s="581">
        <f t="shared" si="14"/>
        <v>200</v>
      </c>
      <c r="L42" s="581">
        <f t="shared" si="15"/>
        <v>200</v>
      </c>
      <c r="M42" s="126">
        <f t="shared" si="13"/>
        <v>0</v>
      </c>
      <c r="O42" s="26"/>
    </row>
    <row r="43" spans="1:19" ht="15" hidden="1" customHeight="1">
      <c r="A43" s="118" t="s">
        <v>247</v>
      </c>
      <c r="B43" s="119" t="s">
        <v>248</v>
      </c>
      <c r="C43" s="327"/>
      <c r="D43" s="319"/>
      <c r="E43" s="563"/>
      <c r="F43" s="581"/>
      <c r="G43" s="581"/>
      <c r="H43" s="637">
        <v>0</v>
      </c>
      <c r="I43" s="581">
        <v>0</v>
      </c>
      <c r="J43" s="581">
        <v>0</v>
      </c>
      <c r="K43" s="580">
        <f t="shared" si="14"/>
        <v>0</v>
      </c>
      <c r="L43" s="580">
        <f t="shared" si="15"/>
        <v>0</v>
      </c>
      <c r="M43" s="126"/>
      <c r="O43" s="26">
        <v>0</v>
      </c>
    </row>
    <row r="44" spans="1:19" ht="15" customHeight="1">
      <c r="A44" s="118" t="s">
        <v>249</v>
      </c>
      <c r="B44" s="119" t="s">
        <v>250</v>
      </c>
      <c r="C44" s="327">
        <v>34247</v>
      </c>
      <c r="D44" s="319"/>
      <c r="E44" s="563">
        <v>27043</v>
      </c>
      <c r="F44" s="581">
        <v>27043</v>
      </c>
      <c r="G44" s="600">
        <v>2426.7600000000002</v>
      </c>
      <c r="H44" s="637">
        <f>O44+G44</f>
        <v>15186.51</v>
      </c>
      <c r="I44" s="581">
        <v>5422.76</v>
      </c>
      <c r="J44" s="581">
        <v>2426.7600000000002</v>
      </c>
      <c r="K44" s="581">
        <f t="shared" si="14"/>
        <v>11856.49</v>
      </c>
      <c r="L44" s="581">
        <f t="shared" si="15"/>
        <v>11856.49</v>
      </c>
      <c r="M44" s="126">
        <f t="shared" ref="M44:M51" si="16">+H44*100/F44</f>
        <v>56.156898273120589</v>
      </c>
      <c r="O44" s="26">
        <v>12759.75</v>
      </c>
    </row>
    <row r="45" spans="1:19">
      <c r="A45" s="124" t="s">
        <v>251</v>
      </c>
      <c r="B45" s="117" t="s">
        <v>252</v>
      </c>
      <c r="C45" s="326">
        <f>SUM(C46:C53)</f>
        <v>1880203</v>
      </c>
      <c r="D45" s="318"/>
      <c r="E45" s="562">
        <f>SUM(E46:E53)</f>
        <v>1697603</v>
      </c>
      <c r="F45" s="580">
        <f>SUM(F46:F53)</f>
        <v>1326606</v>
      </c>
      <c r="G45" s="580">
        <f>SUM(G46:G53)</f>
        <v>360153.32</v>
      </c>
      <c r="H45" s="636">
        <f>O45+G45</f>
        <v>551441.73</v>
      </c>
      <c r="I45" s="580">
        <f>SUM(I46:I53)</f>
        <v>540515.17000000004</v>
      </c>
      <c r="J45" s="580">
        <f>SUM(J46:J53)</f>
        <v>401521.95999999996</v>
      </c>
      <c r="K45" s="580">
        <f t="shared" si="14"/>
        <v>775164.27</v>
      </c>
      <c r="L45" s="580">
        <f t="shared" si="15"/>
        <v>1146161.27</v>
      </c>
      <c r="M45" s="125">
        <f t="shared" si="16"/>
        <v>41.567860389595708</v>
      </c>
      <c r="N45" s="26" t="s">
        <v>12</v>
      </c>
      <c r="O45" s="108">
        <v>191288.40999999997</v>
      </c>
      <c r="P45" s="26"/>
      <c r="Q45" s="26"/>
      <c r="R45" s="26"/>
    </row>
    <row r="46" spans="1:19" ht="12" customHeight="1">
      <c r="A46" s="123" t="s">
        <v>253</v>
      </c>
      <c r="B46" s="120" t="s">
        <v>254</v>
      </c>
      <c r="C46" s="327">
        <v>100000</v>
      </c>
      <c r="D46" s="319"/>
      <c r="E46" s="563">
        <v>90700</v>
      </c>
      <c r="F46" s="581">
        <v>20700</v>
      </c>
      <c r="G46" s="581">
        <v>9147.31</v>
      </c>
      <c r="H46" s="637">
        <f>O46+G46</f>
        <v>18523.510000000002</v>
      </c>
      <c r="I46" s="581">
        <v>18523.509999999998</v>
      </c>
      <c r="J46" s="581">
        <v>9376.2000000000007</v>
      </c>
      <c r="K46" s="581">
        <f t="shared" si="14"/>
        <v>2176.489999999998</v>
      </c>
      <c r="L46" s="581">
        <f t="shared" si="15"/>
        <v>72176.489999999991</v>
      </c>
      <c r="M46" s="126">
        <f t="shared" si="16"/>
        <v>89.485555555555564</v>
      </c>
      <c r="O46" s="26">
        <v>9376.2000000000007</v>
      </c>
    </row>
    <row r="47" spans="1:19" ht="14.25" customHeight="1">
      <c r="A47" s="118" t="s">
        <v>255</v>
      </c>
      <c r="B47" s="119" t="s">
        <v>256</v>
      </c>
      <c r="C47" s="327">
        <v>20180</v>
      </c>
      <c r="D47" s="319"/>
      <c r="E47" s="563">
        <v>31780</v>
      </c>
      <c r="F47" s="581">
        <v>21780</v>
      </c>
      <c r="G47" s="581">
        <v>9505.34</v>
      </c>
      <c r="H47" s="637">
        <f>O47+G47</f>
        <v>9898.380000000001</v>
      </c>
      <c r="I47" s="581">
        <v>1562.38</v>
      </c>
      <c r="J47" s="581">
        <v>749.54</v>
      </c>
      <c r="K47" s="581">
        <f t="shared" si="14"/>
        <v>11881.619999999999</v>
      </c>
      <c r="L47" s="581">
        <f t="shared" si="15"/>
        <v>21881.62</v>
      </c>
      <c r="M47" s="126">
        <f t="shared" si="16"/>
        <v>45.447107438016538</v>
      </c>
      <c r="O47" s="26">
        <v>393.04</v>
      </c>
    </row>
    <row r="48" spans="1:19" ht="13.5" customHeight="1">
      <c r="A48" s="118" t="s">
        <v>257</v>
      </c>
      <c r="B48" s="119" t="s">
        <v>258</v>
      </c>
      <c r="C48" s="327">
        <v>1000</v>
      </c>
      <c r="D48" s="319"/>
      <c r="E48" s="563">
        <v>1000</v>
      </c>
      <c r="F48" s="581">
        <v>1000</v>
      </c>
      <c r="G48" s="581"/>
      <c r="H48" s="637">
        <v>50</v>
      </c>
      <c r="I48" s="581">
        <v>50</v>
      </c>
      <c r="J48" s="581"/>
      <c r="K48" s="581">
        <f t="shared" si="14"/>
        <v>950</v>
      </c>
      <c r="L48" s="581">
        <f t="shared" si="15"/>
        <v>950</v>
      </c>
      <c r="M48" s="126">
        <f t="shared" si="16"/>
        <v>5</v>
      </c>
      <c r="O48" s="26">
        <v>50</v>
      </c>
    </row>
    <row r="49" spans="1:22" ht="13.5" customHeight="1">
      <c r="A49" s="118" t="s">
        <v>259</v>
      </c>
      <c r="B49" s="119" t="s">
        <v>260</v>
      </c>
      <c r="C49" s="327">
        <v>1000000</v>
      </c>
      <c r="D49" s="319"/>
      <c r="E49" s="563">
        <v>847800</v>
      </c>
      <c r="F49" s="581">
        <v>847800</v>
      </c>
      <c r="G49" s="581">
        <v>289850.25</v>
      </c>
      <c r="H49" s="637">
        <f>O49+G49</f>
        <v>467865.33999999997</v>
      </c>
      <c r="I49" s="581">
        <v>467865.34</v>
      </c>
      <c r="J49" s="581">
        <v>391396.22</v>
      </c>
      <c r="K49" s="581">
        <f t="shared" si="14"/>
        <v>379934.66000000003</v>
      </c>
      <c r="L49" s="581">
        <f t="shared" si="15"/>
        <v>379934.66000000003</v>
      </c>
      <c r="M49" s="126">
        <f t="shared" si="16"/>
        <v>55.185815050719512</v>
      </c>
      <c r="O49" s="26">
        <v>178015.09</v>
      </c>
    </row>
    <row r="50" spans="1:22" ht="15" customHeight="1">
      <c r="A50" s="118" t="s">
        <v>261</v>
      </c>
      <c r="B50" s="119" t="s">
        <v>262</v>
      </c>
      <c r="C50" s="327">
        <v>390500</v>
      </c>
      <c r="D50" s="319"/>
      <c r="E50" s="563">
        <v>390500</v>
      </c>
      <c r="F50" s="581">
        <v>120003</v>
      </c>
      <c r="G50" s="581">
        <v>51650.42</v>
      </c>
      <c r="H50" s="637">
        <f>O50+G50</f>
        <v>51650.42</v>
      </c>
      <c r="I50" s="581">
        <v>51650.42</v>
      </c>
      <c r="J50" s="581"/>
      <c r="K50" s="581">
        <f t="shared" si="14"/>
        <v>68352.58</v>
      </c>
      <c r="L50" s="581">
        <f t="shared" si="15"/>
        <v>338849.58</v>
      </c>
      <c r="M50" s="126">
        <f t="shared" si="16"/>
        <v>43.040940643150591</v>
      </c>
      <c r="O50" s="26"/>
    </row>
    <row r="51" spans="1:22" ht="13.15" customHeight="1">
      <c r="A51" s="118">
        <v>116</v>
      </c>
      <c r="B51" s="119" t="s">
        <v>263</v>
      </c>
      <c r="C51" s="327">
        <v>348023</v>
      </c>
      <c r="D51" s="319"/>
      <c r="E51" s="566">
        <v>315323</v>
      </c>
      <c r="F51" s="581">
        <v>315323</v>
      </c>
      <c r="G51" s="581"/>
      <c r="H51" s="637">
        <f>O51+G51</f>
        <v>3454.08</v>
      </c>
      <c r="I51" s="581">
        <v>863.52</v>
      </c>
      <c r="J51" s="581"/>
      <c r="K51" s="581">
        <f t="shared" si="14"/>
        <v>311868.92</v>
      </c>
      <c r="L51" s="581">
        <f t="shared" si="15"/>
        <v>311868.92</v>
      </c>
      <c r="M51" s="126">
        <f t="shared" si="16"/>
        <v>1.0954101032909112</v>
      </c>
      <c r="O51" s="26">
        <v>3454.08</v>
      </c>
    </row>
    <row r="52" spans="1:22" ht="12.75" customHeight="1">
      <c r="A52" s="118">
        <v>117</v>
      </c>
      <c r="B52" s="119" t="s">
        <v>264</v>
      </c>
      <c r="C52" s="327">
        <v>20500</v>
      </c>
      <c r="D52" s="319"/>
      <c r="E52" s="563">
        <v>20500</v>
      </c>
      <c r="F52" s="581"/>
      <c r="G52" s="581"/>
      <c r="H52" s="637"/>
      <c r="I52" s="581"/>
      <c r="J52" s="581"/>
      <c r="K52" s="581">
        <f t="shared" si="14"/>
        <v>0</v>
      </c>
      <c r="L52" s="581">
        <f t="shared" si="15"/>
        <v>20500</v>
      </c>
      <c r="M52" s="126"/>
      <c r="O52" s="26"/>
    </row>
    <row r="53" spans="1:22" ht="13.5" hidden="1" customHeight="1">
      <c r="A53" s="118">
        <v>119</v>
      </c>
      <c r="B53" s="119" t="s">
        <v>265</v>
      </c>
      <c r="C53" s="327"/>
      <c r="D53" s="319"/>
      <c r="E53" s="563"/>
      <c r="F53" s="581"/>
      <c r="G53" s="581"/>
      <c r="H53" s="637"/>
      <c r="I53" s="581"/>
      <c r="J53" s="581"/>
      <c r="K53" s="580">
        <f t="shared" si="14"/>
        <v>0</v>
      </c>
      <c r="L53" s="581">
        <f t="shared" si="15"/>
        <v>0</v>
      </c>
      <c r="M53" s="126"/>
      <c r="O53" s="26"/>
    </row>
    <row r="54" spans="1:22" ht="12.75" customHeight="1">
      <c r="A54" s="115">
        <v>120</v>
      </c>
      <c r="B54" s="117" t="s">
        <v>266</v>
      </c>
      <c r="C54" s="326">
        <v>6923</v>
      </c>
      <c r="D54" s="318"/>
      <c r="E54" s="562">
        <v>13623</v>
      </c>
      <c r="F54" s="580">
        <v>13623</v>
      </c>
      <c r="G54" s="580">
        <v>3145.93</v>
      </c>
      <c r="H54" s="636">
        <f>O54+G54</f>
        <v>3405.2599999999998</v>
      </c>
      <c r="I54" s="580">
        <v>310.69</v>
      </c>
      <c r="J54" s="580">
        <v>310.69</v>
      </c>
      <c r="K54" s="580">
        <f t="shared" si="14"/>
        <v>10217.74</v>
      </c>
      <c r="L54" s="580">
        <f t="shared" si="15"/>
        <v>10217.74</v>
      </c>
      <c r="M54" s="125">
        <f t="shared" ref="M54:M67" si="17">+H54*100/F54</f>
        <v>24.996403141745578</v>
      </c>
      <c r="N54" s="6"/>
      <c r="O54" s="108">
        <v>259.33</v>
      </c>
      <c r="V54">
        <f ca="1">V54</f>
        <v>0</v>
      </c>
    </row>
    <row r="55" spans="1:22" ht="13.5" customHeight="1">
      <c r="A55" s="124" t="s">
        <v>267</v>
      </c>
      <c r="B55" s="117" t="s">
        <v>268</v>
      </c>
      <c r="C55" s="326">
        <f>SUM(C56:C57)</f>
        <v>15000</v>
      </c>
      <c r="D55" s="318"/>
      <c r="E55" s="562">
        <f>SUM(E56:E57)</f>
        <v>6600</v>
      </c>
      <c r="F55" s="562">
        <f>SUM(F56:F57)</f>
        <v>6600</v>
      </c>
      <c r="G55" s="562">
        <f>SUM(G56:G57)</f>
        <v>0</v>
      </c>
      <c r="H55" s="636">
        <f>H56+H57</f>
        <v>1974.2499999999998</v>
      </c>
      <c r="I55" s="580">
        <f>+I56+I57</f>
        <v>292.98</v>
      </c>
      <c r="J55" s="580">
        <f>J56</f>
        <v>27.64</v>
      </c>
      <c r="K55" s="580">
        <f t="shared" ref="K55:K61" si="18">+F55-H55</f>
        <v>4625.75</v>
      </c>
      <c r="L55" s="580">
        <f t="shared" ref="L55:L72" si="19">+E55-H55</f>
        <v>4625.75</v>
      </c>
      <c r="M55" s="125">
        <f t="shared" si="17"/>
        <v>29.912878787878782</v>
      </c>
      <c r="N55" s="6"/>
      <c r="O55" s="108">
        <v>1986.45</v>
      </c>
    </row>
    <row r="56" spans="1:22" ht="14.25" customHeight="1">
      <c r="A56" s="118" t="s">
        <v>269</v>
      </c>
      <c r="B56" s="120" t="s">
        <v>270</v>
      </c>
      <c r="C56" s="327">
        <v>10000</v>
      </c>
      <c r="D56" s="319"/>
      <c r="E56" s="563">
        <v>3800</v>
      </c>
      <c r="F56" s="581">
        <v>3800</v>
      </c>
      <c r="G56" s="581"/>
      <c r="H56" s="820">
        <f t="shared" ref="H56:H63" si="20">O56+G56</f>
        <v>1619.6699999999998</v>
      </c>
      <c r="I56" s="581">
        <v>292.98</v>
      </c>
      <c r="J56" s="581">
        <v>27.64</v>
      </c>
      <c r="K56" s="581">
        <f t="shared" si="18"/>
        <v>2180.33</v>
      </c>
      <c r="L56" s="581">
        <f t="shared" si="19"/>
        <v>2180.33</v>
      </c>
      <c r="M56" s="126">
        <f t="shared" si="17"/>
        <v>42.622894736842099</v>
      </c>
      <c r="N56" s="6"/>
      <c r="O56" s="627">
        <f>1631.87-12.2</f>
        <v>1619.6699999999998</v>
      </c>
    </row>
    <row r="57" spans="1:22" ht="15" customHeight="1">
      <c r="A57" s="118" t="s">
        <v>271</v>
      </c>
      <c r="B57" s="120" t="s">
        <v>272</v>
      </c>
      <c r="C57" s="327">
        <v>5000</v>
      </c>
      <c r="D57" s="320"/>
      <c r="E57" s="563">
        <v>2800</v>
      </c>
      <c r="F57" s="581">
        <v>2800</v>
      </c>
      <c r="G57" s="581"/>
      <c r="H57" s="637">
        <f t="shared" si="20"/>
        <v>354.58</v>
      </c>
      <c r="I57" s="581"/>
      <c r="J57" s="581"/>
      <c r="K57" s="581">
        <f t="shared" si="18"/>
        <v>2445.42</v>
      </c>
      <c r="L57" s="581">
        <f t="shared" si="19"/>
        <v>2445.42</v>
      </c>
      <c r="M57" s="126">
        <f t="shared" si="17"/>
        <v>12.663571428571428</v>
      </c>
      <c r="N57" s="6"/>
      <c r="O57" s="26">
        <v>354.58</v>
      </c>
      <c r="Q57" s="26" t="s">
        <v>12</v>
      </c>
    </row>
    <row r="58" spans="1:22">
      <c r="A58" s="124" t="s">
        <v>273</v>
      </c>
      <c r="B58" s="117" t="s">
        <v>274</v>
      </c>
      <c r="C58" s="326">
        <f>SUM(C59:C61)</f>
        <v>210000</v>
      </c>
      <c r="D58" s="318"/>
      <c r="E58" s="562">
        <f>SUM(E59:E61)</f>
        <v>144729</v>
      </c>
      <c r="F58" s="580">
        <f>SUM(F59:F61)</f>
        <v>84729</v>
      </c>
      <c r="G58" s="580">
        <f>SUM(G59:G61)</f>
        <v>12474</v>
      </c>
      <c r="H58" s="636">
        <f t="shared" si="20"/>
        <v>19707</v>
      </c>
      <c r="I58" s="580">
        <f>SUM(I59:I61)</f>
        <v>19707</v>
      </c>
      <c r="J58" s="580">
        <f>SUM(J59:J61)</f>
        <v>18797</v>
      </c>
      <c r="K58" s="580">
        <f t="shared" si="18"/>
        <v>65022</v>
      </c>
      <c r="L58" s="580">
        <f t="shared" si="19"/>
        <v>125022</v>
      </c>
      <c r="M58" s="125">
        <f t="shared" si="17"/>
        <v>23.258860602627198</v>
      </c>
      <c r="N58" s="6"/>
      <c r="O58" s="108">
        <f>O59+O60+O61</f>
        <v>7233</v>
      </c>
      <c r="P58" s="26"/>
      <c r="Q58" s="26" t="s">
        <v>12</v>
      </c>
      <c r="R58" s="2" t="s">
        <v>12</v>
      </c>
    </row>
    <row r="59" spans="1:22" ht="15.75" customHeight="1">
      <c r="A59" s="123" t="s">
        <v>275</v>
      </c>
      <c r="B59" s="120" t="s">
        <v>276</v>
      </c>
      <c r="C59" s="327">
        <v>150000</v>
      </c>
      <c r="D59" s="319"/>
      <c r="E59" s="563">
        <v>121595</v>
      </c>
      <c r="F59" s="581">
        <v>61595</v>
      </c>
      <c r="G59" s="581">
        <v>6376</v>
      </c>
      <c r="H59" s="637">
        <f t="shared" si="20"/>
        <v>11757</v>
      </c>
      <c r="I59" s="581">
        <v>11757</v>
      </c>
      <c r="J59" s="581">
        <v>11147</v>
      </c>
      <c r="K59" s="581">
        <f t="shared" si="18"/>
        <v>49838</v>
      </c>
      <c r="L59" s="581">
        <f t="shared" si="19"/>
        <v>109838</v>
      </c>
      <c r="M59" s="126">
        <f t="shared" si="17"/>
        <v>19.08758827826934</v>
      </c>
      <c r="O59" s="629">
        <f>4569+812</f>
        <v>5381</v>
      </c>
      <c r="P59" s="128"/>
    </row>
    <row r="60" spans="1:22" ht="13.5" customHeight="1">
      <c r="A60" s="118" t="s">
        <v>277</v>
      </c>
      <c r="B60" s="119" t="s">
        <v>278</v>
      </c>
      <c r="C60" s="327">
        <v>50000</v>
      </c>
      <c r="D60" s="319"/>
      <c r="E60" s="563">
        <v>15484</v>
      </c>
      <c r="F60" s="581">
        <v>15484</v>
      </c>
      <c r="G60" s="581">
        <v>1750</v>
      </c>
      <c r="H60" s="637">
        <f t="shared" si="20"/>
        <v>3350</v>
      </c>
      <c r="I60" s="581">
        <v>3350</v>
      </c>
      <c r="J60" s="581">
        <v>3350</v>
      </c>
      <c r="K60" s="581">
        <f t="shared" si="18"/>
        <v>12134</v>
      </c>
      <c r="L60" s="581">
        <f t="shared" si="19"/>
        <v>12134</v>
      </c>
      <c r="M60" s="126">
        <f t="shared" si="17"/>
        <v>21.635236373030224</v>
      </c>
      <c r="O60" s="26">
        <v>1600</v>
      </c>
    </row>
    <row r="61" spans="1:22" ht="12" customHeight="1">
      <c r="A61" s="118">
        <v>143</v>
      </c>
      <c r="B61" s="119" t="s">
        <v>279</v>
      </c>
      <c r="C61" s="327">
        <v>10000</v>
      </c>
      <c r="D61" s="320"/>
      <c r="E61" s="563">
        <v>7650</v>
      </c>
      <c r="F61" s="581">
        <v>7650</v>
      </c>
      <c r="G61" s="581">
        <v>4348</v>
      </c>
      <c r="H61" s="637">
        <f t="shared" si="20"/>
        <v>4600</v>
      </c>
      <c r="I61" s="581">
        <v>4600</v>
      </c>
      <c r="J61" s="581">
        <v>4300</v>
      </c>
      <c r="K61" s="581">
        <f t="shared" si="18"/>
        <v>3050</v>
      </c>
      <c r="L61" s="581">
        <f t="shared" si="19"/>
        <v>3050</v>
      </c>
      <c r="M61" s="126">
        <f t="shared" si="17"/>
        <v>60.130718954248366</v>
      </c>
      <c r="O61" s="26">
        <v>252</v>
      </c>
      <c r="R61" s="2" t="s">
        <v>12</v>
      </c>
    </row>
    <row r="62" spans="1:22">
      <c r="A62" s="124" t="s">
        <v>280</v>
      </c>
      <c r="B62" s="117" t="s">
        <v>281</v>
      </c>
      <c r="C62" s="326">
        <f>SUM(C63:C65)</f>
        <v>123336</v>
      </c>
      <c r="D62" s="318"/>
      <c r="E62" s="562">
        <f>SUM(E63:E66)</f>
        <v>79834</v>
      </c>
      <c r="F62" s="580">
        <f>+F63+F64+F65+F66</f>
        <v>79834</v>
      </c>
      <c r="G62" s="580">
        <f>+G63+G64+G65+G66</f>
        <v>5057.12</v>
      </c>
      <c r="H62" s="636">
        <f t="shared" si="20"/>
        <v>9324.9399999999987</v>
      </c>
      <c r="I62" s="580">
        <f>+I63+I64+I65+I66</f>
        <v>5278.8200000000006</v>
      </c>
      <c r="J62" s="580">
        <f>SUM(J63:J66)</f>
        <v>2582.64</v>
      </c>
      <c r="K62" s="580">
        <f t="shared" ref="K62:K76" si="21">+F62-H62</f>
        <v>70509.06</v>
      </c>
      <c r="L62" s="580">
        <f t="shared" si="19"/>
        <v>70509.06</v>
      </c>
      <c r="M62" s="125">
        <f t="shared" si="17"/>
        <v>11.68041185459829</v>
      </c>
      <c r="N62" s="6"/>
      <c r="O62" s="108">
        <f>O63+O64+O65+O66</f>
        <v>4267.82</v>
      </c>
      <c r="P62" s="26"/>
      <c r="Q62" s="26" t="s">
        <v>12</v>
      </c>
      <c r="R62" s="2" t="s">
        <v>12</v>
      </c>
    </row>
    <row r="63" spans="1:22" ht="15" customHeight="1">
      <c r="A63" s="123" t="s">
        <v>282</v>
      </c>
      <c r="B63" s="120" t="s">
        <v>276</v>
      </c>
      <c r="C63" s="327">
        <v>58056</v>
      </c>
      <c r="D63" s="319"/>
      <c r="E63" s="563">
        <v>47056</v>
      </c>
      <c r="F63" s="581">
        <v>47056</v>
      </c>
      <c r="G63" s="581">
        <v>2328.4499999999998</v>
      </c>
      <c r="H63" s="637">
        <f t="shared" si="20"/>
        <v>3517.12</v>
      </c>
      <c r="I63" s="581">
        <v>3109.46</v>
      </c>
      <c r="J63" s="581">
        <v>2366.71</v>
      </c>
      <c r="K63" s="581">
        <f t="shared" si="21"/>
        <v>43538.879999999997</v>
      </c>
      <c r="L63" s="581">
        <f t="shared" si="19"/>
        <v>43538.879999999997</v>
      </c>
      <c r="M63" s="126">
        <f t="shared" si="17"/>
        <v>7.4743284597075821</v>
      </c>
      <c r="O63" s="629">
        <f>1132.67+56</f>
        <v>1188.67</v>
      </c>
      <c r="P63" s="128"/>
      <c r="Q63" s="26"/>
    </row>
    <row r="64" spans="1:22" ht="12.75" customHeight="1">
      <c r="A64" s="118" t="s">
        <v>283</v>
      </c>
      <c r="B64" s="119" t="s">
        <v>278</v>
      </c>
      <c r="C64" s="327">
        <v>41500</v>
      </c>
      <c r="D64" s="320"/>
      <c r="E64" s="563">
        <v>15000</v>
      </c>
      <c r="F64" s="581">
        <v>15000</v>
      </c>
      <c r="G64" s="581">
        <v>2379.36</v>
      </c>
      <c r="H64" s="637">
        <f t="shared" ref="H64:H66" si="22">O64+G64</f>
        <v>5219.76</v>
      </c>
      <c r="I64" s="581">
        <v>1581.3</v>
      </c>
      <c r="J64" s="581"/>
      <c r="K64" s="581">
        <f t="shared" si="21"/>
        <v>9780.24</v>
      </c>
      <c r="L64" s="581">
        <f t="shared" si="19"/>
        <v>9780.24</v>
      </c>
      <c r="M64" s="126">
        <f t="shared" si="17"/>
        <v>34.798400000000001</v>
      </c>
      <c r="O64" s="26">
        <v>2840.4</v>
      </c>
    </row>
    <row r="65" spans="1:18" ht="12.75" customHeight="1">
      <c r="A65" s="118">
        <v>153</v>
      </c>
      <c r="B65" s="119" t="s">
        <v>284</v>
      </c>
      <c r="C65" s="327">
        <v>23780</v>
      </c>
      <c r="D65" s="319"/>
      <c r="E65" s="563">
        <v>14778</v>
      </c>
      <c r="F65" s="581">
        <v>14778</v>
      </c>
      <c r="G65" s="581">
        <v>67.84</v>
      </c>
      <c r="H65" s="637">
        <f t="shared" si="22"/>
        <v>189.68</v>
      </c>
      <c r="I65" s="621">
        <v>189.68</v>
      </c>
      <c r="J65" s="581"/>
      <c r="K65" s="581">
        <f t="shared" si="21"/>
        <v>14588.32</v>
      </c>
      <c r="L65" s="581">
        <f t="shared" si="19"/>
        <v>14588.32</v>
      </c>
      <c r="M65" s="126">
        <f t="shared" si="17"/>
        <v>1.283529570983895</v>
      </c>
      <c r="O65" s="26">
        <v>121.84</v>
      </c>
    </row>
    <row r="66" spans="1:18" ht="14.1" customHeight="1">
      <c r="A66" s="118">
        <v>154</v>
      </c>
      <c r="B66" s="119" t="s">
        <v>285</v>
      </c>
      <c r="C66" s="327"/>
      <c r="D66" s="319"/>
      <c r="E66" s="563">
        <v>3000</v>
      </c>
      <c r="F66" s="581">
        <v>3000</v>
      </c>
      <c r="G66" s="581">
        <v>281.47000000000003</v>
      </c>
      <c r="H66" s="637">
        <f t="shared" si="22"/>
        <v>398.38</v>
      </c>
      <c r="I66" s="581">
        <v>398.38</v>
      </c>
      <c r="J66" s="581">
        <v>215.93</v>
      </c>
      <c r="K66" s="581">
        <f t="shared" si="21"/>
        <v>2601.62</v>
      </c>
      <c r="L66" s="581">
        <f t="shared" si="19"/>
        <v>2601.62</v>
      </c>
      <c r="M66" s="126">
        <f t="shared" si="17"/>
        <v>13.279333333333334</v>
      </c>
      <c r="O66" s="26">
        <v>116.91</v>
      </c>
    </row>
    <row r="67" spans="1:18" ht="15.75" customHeight="1">
      <c r="A67" s="124" t="s">
        <v>286</v>
      </c>
      <c r="B67" s="117" t="s">
        <v>287</v>
      </c>
      <c r="C67" s="326">
        <f>SUM(C68:C72)</f>
        <v>274019</v>
      </c>
      <c r="D67" s="318"/>
      <c r="E67" s="562">
        <f>SUM(E68:E72)</f>
        <v>477485</v>
      </c>
      <c r="F67" s="580">
        <f>SUM(F68:F72)</f>
        <v>477485</v>
      </c>
      <c r="G67" s="580">
        <f>SUM(G68:G72)</f>
        <v>90209.53</v>
      </c>
      <c r="H67" s="636">
        <f>+O67+G67</f>
        <v>143823.64000000001</v>
      </c>
      <c r="I67" s="580">
        <f>+I68+I69+I70+I72+I71</f>
        <v>15002.23</v>
      </c>
      <c r="J67" s="580">
        <f>+J68+J69+J70+J72+J71</f>
        <v>4430.04</v>
      </c>
      <c r="K67" s="580">
        <f t="shared" si="21"/>
        <v>333661.36</v>
      </c>
      <c r="L67" s="643">
        <f t="shared" si="19"/>
        <v>333661.36</v>
      </c>
      <c r="M67" s="125">
        <f t="shared" si="17"/>
        <v>30.121080243358435</v>
      </c>
      <c r="O67" s="108">
        <v>53614.11</v>
      </c>
      <c r="P67" s="26"/>
      <c r="Q67" s="26"/>
    </row>
    <row r="68" spans="1:18" ht="0.75" customHeight="1">
      <c r="A68" s="118">
        <v>162</v>
      </c>
      <c r="B68" s="120" t="s">
        <v>288</v>
      </c>
      <c r="C68" s="327">
        <v>0</v>
      </c>
      <c r="D68" s="319"/>
      <c r="E68" s="563">
        <v>0</v>
      </c>
      <c r="F68" s="581">
        <v>0</v>
      </c>
      <c r="G68" s="581"/>
      <c r="H68" s="637"/>
      <c r="I68" s="581"/>
      <c r="J68" s="581"/>
      <c r="K68" s="580">
        <f t="shared" si="21"/>
        <v>0</v>
      </c>
      <c r="L68" s="643">
        <f t="shared" si="19"/>
        <v>0</v>
      </c>
      <c r="M68" s="125"/>
      <c r="O68" s="26"/>
    </row>
    <row r="69" spans="1:18" ht="13.5" hidden="1" customHeight="1">
      <c r="A69" s="123" t="s">
        <v>289</v>
      </c>
      <c r="B69" s="120" t="s">
        <v>290</v>
      </c>
      <c r="C69" s="327"/>
      <c r="D69" s="319"/>
      <c r="E69" s="563">
        <v>0</v>
      </c>
      <c r="F69" s="581">
        <v>0</v>
      </c>
      <c r="G69" s="581"/>
      <c r="H69" s="637">
        <f>+O69+G69</f>
        <v>0</v>
      </c>
      <c r="I69" s="581"/>
      <c r="J69" s="581"/>
      <c r="K69" s="580">
        <f t="shared" si="21"/>
        <v>0</v>
      </c>
      <c r="L69" s="643">
        <f t="shared" si="19"/>
        <v>0</v>
      </c>
      <c r="M69" s="126" t="s">
        <v>12</v>
      </c>
      <c r="O69" s="26">
        <v>0</v>
      </c>
    </row>
    <row r="70" spans="1:18" ht="15" customHeight="1">
      <c r="A70" s="123" t="s">
        <v>291</v>
      </c>
      <c r="B70" s="120" t="s">
        <v>292</v>
      </c>
      <c r="C70" s="327"/>
      <c r="D70" s="319"/>
      <c r="E70" s="563">
        <v>217500</v>
      </c>
      <c r="F70" s="581">
        <v>217500</v>
      </c>
      <c r="G70" s="581">
        <v>25935.61</v>
      </c>
      <c r="H70" s="637">
        <f>+O70+G70</f>
        <v>28557.73</v>
      </c>
      <c r="I70" s="581">
        <v>23.28</v>
      </c>
      <c r="J70" s="581"/>
      <c r="K70" s="580">
        <f t="shared" si="21"/>
        <v>188942.27</v>
      </c>
      <c r="L70" s="643">
        <f t="shared" si="19"/>
        <v>188942.27</v>
      </c>
      <c r="M70" s="126">
        <f>+H70*100/F70</f>
        <v>13.129990804597702</v>
      </c>
      <c r="O70" s="26">
        <v>2622.12</v>
      </c>
    </row>
    <row r="71" spans="1:18" ht="15" customHeight="1">
      <c r="A71" s="118">
        <v>165</v>
      </c>
      <c r="B71" s="120" t="s">
        <v>293</v>
      </c>
      <c r="C71" s="327">
        <v>146641</v>
      </c>
      <c r="D71" s="319"/>
      <c r="E71" s="563">
        <v>224195</v>
      </c>
      <c r="F71" s="581">
        <v>224195</v>
      </c>
      <c r="G71" s="581">
        <v>58570.26</v>
      </c>
      <c r="H71" s="637">
        <f t="shared" ref="H71:H72" si="23">+O71+G71</f>
        <v>93019.77</v>
      </c>
      <c r="I71" s="581">
        <v>7665.77</v>
      </c>
      <c r="J71" s="581">
        <v>4049.1</v>
      </c>
      <c r="K71" s="581">
        <f t="shared" si="21"/>
        <v>131175.22999999998</v>
      </c>
      <c r="L71" s="587">
        <f t="shared" si="19"/>
        <v>131175.22999999998</v>
      </c>
      <c r="M71" s="126">
        <f>+H71*100/F71</f>
        <v>41.490564017930822</v>
      </c>
      <c r="O71" s="26">
        <v>34449.51</v>
      </c>
      <c r="R71" s="26"/>
    </row>
    <row r="72" spans="1:18" ht="12.75" customHeight="1">
      <c r="A72" s="118" t="s">
        <v>294</v>
      </c>
      <c r="B72" s="119" t="s">
        <v>295</v>
      </c>
      <c r="C72" s="327">
        <v>127378</v>
      </c>
      <c r="D72" s="319"/>
      <c r="E72" s="563">
        <v>35790</v>
      </c>
      <c r="F72" s="581">
        <v>35790</v>
      </c>
      <c r="G72" s="581">
        <v>5703.66</v>
      </c>
      <c r="H72" s="637">
        <f t="shared" si="23"/>
        <v>22246.14</v>
      </c>
      <c r="I72" s="581">
        <v>7313.18</v>
      </c>
      <c r="J72" s="581">
        <v>380.94</v>
      </c>
      <c r="K72" s="581">
        <f t="shared" si="21"/>
        <v>13543.86</v>
      </c>
      <c r="L72" s="587">
        <f t="shared" si="19"/>
        <v>13543.86</v>
      </c>
      <c r="M72" s="126">
        <f>+H72*100/F72</f>
        <v>62.157418273260689</v>
      </c>
      <c r="O72" s="26">
        <v>16542.48</v>
      </c>
    </row>
    <row r="73" spans="1:18">
      <c r="A73" s="129">
        <v>170</v>
      </c>
      <c r="B73" s="130" t="s">
        <v>296</v>
      </c>
      <c r="C73" s="326">
        <f>SUM(C74:C75)</f>
        <v>312000</v>
      </c>
      <c r="D73" s="318"/>
      <c r="E73" s="562">
        <f>+E74+E75</f>
        <v>210776</v>
      </c>
      <c r="F73" s="580">
        <f>SUM(F74:F75)</f>
        <v>85469</v>
      </c>
      <c r="G73" s="580">
        <f>SUM(G74:G75)</f>
        <v>5088.7</v>
      </c>
      <c r="H73" s="636">
        <f>+O73+G73</f>
        <v>15096.470000000001</v>
      </c>
      <c r="I73" s="580">
        <f>+I75</f>
        <v>11684.8</v>
      </c>
      <c r="J73" s="580">
        <f>+J75</f>
        <v>1874.07</v>
      </c>
      <c r="K73" s="580">
        <f t="shared" si="21"/>
        <v>70372.53</v>
      </c>
      <c r="L73" s="580">
        <f>+E73-H73</f>
        <v>195679.53</v>
      </c>
      <c r="M73" s="125">
        <f>+H73*100/F73</f>
        <v>17.66309422129661</v>
      </c>
      <c r="O73" s="108">
        <v>10007.77</v>
      </c>
    </row>
    <row r="74" spans="1:18">
      <c r="A74" s="131">
        <v>171</v>
      </c>
      <c r="B74" s="132" t="s">
        <v>297</v>
      </c>
      <c r="C74" s="327">
        <v>143000</v>
      </c>
      <c r="D74" s="319"/>
      <c r="E74" s="563">
        <v>41776</v>
      </c>
      <c r="F74" s="581">
        <v>41776</v>
      </c>
      <c r="G74" s="580"/>
      <c r="H74" s="636"/>
      <c r="I74" s="580"/>
      <c r="J74" s="580"/>
      <c r="K74" s="580">
        <f t="shared" si="21"/>
        <v>41776</v>
      </c>
      <c r="L74" s="581">
        <f>+E74-H74</f>
        <v>41776</v>
      </c>
      <c r="M74" s="125"/>
      <c r="O74" s="26"/>
    </row>
    <row r="75" spans="1:18" ht="15" customHeight="1">
      <c r="A75" s="118" t="s">
        <v>298</v>
      </c>
      <c r="B75" s="119" t="s">
        <v>299</v>
      </c>
      <c r="C75" s="327">
        <v>169000</v>
      </c>
      <c r="D75" s="319"/>
      <c r="E75" s="563">
        <v>169000</v>
      </c>
      <c r="F75" s="581">
        <v>43693</v>
      </c>
      <c r="G75" s="581">
        <v>5088.7</v>
      </c>
      <c r="H75" s="637">
        <f>O75+G75</f>
        <v>15096.470000000001</v>
      </c>
      <c r="I75" s="581">
        <v>11684.8</v>
      </c>
      <c r="J75" s="581">
        <v>1874.07</v>
      </c>
      <c r="K75" s="581">
        <f t="shared" si="21"/>
        <v>28596.53</v>
      </c>
      <c r="L75" s="581">
        <f>+E75-H75</f>
        <v>153903.53</v>
      </c>
      <c r="M75" s="126">
        <f>+H75*100/F75</f>
        <v>34.551232462865904</v>
      </c>
      <c r="O75" s="26">
        <v>10007.77</v>
      </c>
    </row>
    <row r="76" spans="1:18">
      <c r="A76" s="124" t="s">
        <v>300</v>
      </c>
      <c r="B76" s="117" t="s">
        <v>301</v>
      </c>
      <c r="C76" s="326">
        <f>SUM(C77:C82)</f>
        <v>195992</v>
      </c>
      <c r="D76" s="318"/>
      <c r="E76" s="562">
        <f>SUM(E77:E82)</f>
        <v>276452</v>
      </c>
      <c r="F76" s="562">
        <f>SUM(F77:F82)</f>
        <v>251292</v>
      </c>
      <c r="G76" s="580">
        <f>SUM(G77:G82)</f>
        <v>97040.1</v>
      </c>
      <c r="H76" s="636">
        <f>+O76+G76</f>
        <v>163723.88</v>
      </c>
      <c r="I76" s="580">
        <v>19274.61</v>
      </c>
      <c r="J76" s="580">
        <f>SUM(J77:J82)</f>
        <v>11105.279999999999</v>
      </c>
      <c r="K76" s="580">
        <f t="shared" si="21"/>
        <v>87568.12</v>
      </c>
      <c r="L76" s="580">
        <f>+E76-H76</f>
        <v>112728.12</v>
      </c>
      <c r="M76" s="125">
        <f>+H76*100/F76</f>
        <v>65.15284211196537</v>
      </c>
      <c r="N76" s="6"/>
      <c r="O76" s="108">
        <v>66683.780000000013</v>
      </c>
      <c r="Q76" s="26"/>
    </row>
    <row r="77" spans="1:18" ht="14.25" customHeight="1">
      <c r="A77" s="118">
        <v>181</v>
      </c>
      <c r="B77" s="120" t="s">
        <v>302</v>
      </c>
      <c r="C77" s="327">
        <v>25160</v>
      </c>
      <c r="D77" s="319"/>
      <c r="E77" s="563">
        <v>30460</v>
      </c>
      <c r="F77" s="581">
        <v>5300</v>
      </c>
      <c r="G77" s="581"/>
      <c r="H77" s="637"/>
      <c r="I77" s="581"/>
      <c r="J77" s="581"/>
      <c r="K77" s="581">
        <f t="shared" ref="K77:K82" si="24">+F77-H77</f>
        <v>5300</v>
      </c>
      <c r="L77" s="581">
        <f t="shared" ref="L77:L82" si="25">+E77-H77</f>
        <v>30460</v>
      </c>
      <c r="M77" s="125">
        <f>+H77*100/F77</f>
        <v>0</v>
      </c>
      <c r="O77" s="26"/>
    </row>
    <row r="78" spans="1:18" ht="14.25" customHeight="1">
      <c r="A78" s="123" t="s">
        <v>303</v>
      </c>
      <c r="B78" s="120" t="s">
        <v>304</v>
      </c>
      <c r="C78" s="327">
        <v>55209</v>
      </c>
      <c r="D78" s="319"/>
      <c r="E78" s="563">
        <v>61319</v>
      </c>
      <c r="F78" s="581">
        <v>61319</v>
      </c>
      <c r="G78" s="581">
        <v>21822.35</v>
      </c>
      <c r="H78" s="637">
        <f>O78+G78</f>
        <v>38348.81</v>
      </c>
      <c r="I78" s="581">
        <v>6400</v>
      </c>
      <c r="J78" s="581">
        <v>4023.69</v>
      </c>
      <c r="K78" s="581">
        <f t="shared" si="24"/>
        <v>22970.190000000002</v>
      </c>
      <c r="L78" s="581">
        <f t="shared" si="25"/>
        <v>22970.190000000002</v>
      </c>
      <c r="M78" s="126">
        <f>+H78*100/F78</f>
        <v>62.539848986447922</v>
      </c>
      <c r="O78" s="26">
        <v>16526.46</v>
      </c>
    </row>
    <row r="79" spans="1:18" ht="12.75" customHeight="1">
      <c r="A79" s="118">
        <v>183</v>
      </c>
      <c r="B79" s="120" t="s">
        <v>305</v>
      </c>
      <c r="C79" s="327">
        <v>5000</v>
      </c>
      <c r="D79" s="319"/>
      <c r="E79" s="563">
        <v>500</v>
      </c>
      <c r="F79" s="581">
        <v>500</v>
      </c>
      <c r="G79" s="581"/>
      <c r="H79" s="637">
        <f t="shared" ref="H79:H82" si="26">O79+G79</f>
        <v>0</v>
      </c>
      <c r="I79" s="581"/>
      <c r="J79" s="581"/>
      <c r="K79" s="581">
        <f t="shared" si="24"/>
        <v>500</v>
      </c>
      <c r="L79" s="581">
        <f t="shared" si="25"/>
        <v>500</v>
      </c>
      <c r="M79" s="126">
        <f>+H79*100/F79</f>
        <v>0</v>
      </c>
      <c r="O79" s="26">
        <v>0</v>
      </c>
    </row>
    <row r="80" spans="1:18" ht="12" customHeight="1">
      <c r="A80" s="118">
        <v>184</v>
      </c>
      <c r="B80" s="120" t="s">
        <v>306</v>
      </c>
      <c r="C80" s="327"/>
      <c r="D80" s="319"/>
      <c r="E80" s="563">
        <v>500</v>
      </c>
      <c r="F80" s="581">
        <v>500</v>
      </c>
      <c r="G80" s="581"/>
      <c r="H80" s="637">
        <f t="shared" si="26"/>
        <v>0</v>
      </c>
      <c r="I80" s="581"/>
      <c r="J80" s="581"/>
      <c r="K80" s="581">
        <f t="shared" si="24"/>
        <v>500</v>
      </c>
      <c r="L80" s="581">
        <f t="shared" si="25"/>
        <v>500</v>
      </c>
      <c r="M80" s="126">
        <f t="shared" ref="M80:M84" si="27">+H80*100/F80</f>
        <v>0</v>
      </c>
      <c r="O80" s="26">
        <v>0</v>
      </c>
    </row>
    <row r="81" spans="1:19" ht="12.75" customHeight="1">
      <c r="A81" s="118">
        <v>185</v>
      </c>
      <c r="B81" s="120" t="s">
        <v>307</v>
      </c>
      <c r="C81" s="327">
        <v>7120</v>
      </c>
      <c r="D81" s="319"/>
      <c r="E81" s="563">
        <v>58220</v>
      </c>
      <c r="F81" s="581">
        <v>58220</v>
      </c>
      <c r="G81" s="581">
        <v>23518.09</v>
      </c>
      <c r="H81" s="637">
        <f t="shared" si="26"/>
        <v>25987.65</v>
      </c>
      <c r="I81" s="581">
        <v>224.7</v>
      </c>
      <c r="J81" s="581">
        <v>21.4</v>
      </c>
      <c r="K81" s="581">
        <f t="shared" si="24"/>
        <v>32232.35</v>
      </c>
      <c r="L81" s="581">
        <f t="shared" si="25"/>
        <v>32232.35</v>
      </c>
      <c r="M81" s="126">
        <f t="shared" si="27"/>
        <v>44.636980419099963</v>
      </c>
      <c r="O81" s="26">
        <v>2469.56</v>
      </c>
    </row>
    <row r="82" spans="1:19" ht="15.75" customHeight="1">
      <c r="A82" s="118">
        <v>189</v>
      </c>
      <c r="B82" s="119" t="s">
        <v>308</v>
      </c>
      <c r="C82" s="327">
        <v>103503</v>
      </c>
      <c r="D82" s="319"/>
      <c r="E82" s="563">
        <v>125453</v>
      </c>
      <c r="F82" s="581">
        <v>125453</v>
      </c>
      <c r="G82" s="581">
        <v>51699.66</v>
      </c>
      <c r="H82" s="637">
        <f t="shared" si="26"/>
        <v>99387.420000000013</v>
      </c>
      <c r="I82" s="581">
        <v>12649.91</v>
      </c>
      <c r="J82" s="581">
        <v>7060.19</v>
      </c>
      <c r="K82" s="581">
        <f t="shared" si="24"/>
        <v>26065.579999999987</v>
      </c>
      <c r="L82" s="581">
        <f t="shared" si="25"/>
        <v>26065.579999999987</v>
      </c>
      <c r="M82" s="126">
        <f t="shared" si="27"/>
        <v>79.222832455182427</v>
      </c>
      <c r="O82" s="26">
        <v>47687.76</v>
      </c>
    </row>
    <row r="83" spans="1:19" ht="12" customHeight="1">
      <c r="A83" s="497">
        <v>190</v>
      </c>
      <c r="B83" s="116" t="s">
        <v>309</v>
      </c>
      <c r="C83" s="326">
        <f>+C85+C89</f>
        <v>0</v>
      </c>
      <c r="D83" s="318"/>
      <c r="E83" s="562">
        <f>SUM(E84:E92)</f>
        <v>358611</v>
      </c>
      <c r="F83" s="580">
        <f>SUM(F84:F92)</f>
        <v>358611</v>
      </c>
      <c r="G83" s="580">
        <f>SUM(G84:G92)</f>
        <v>68842.430000000008</v>
      </c>
      <c r="H83" s="636">
        <f>SUM(H84:H92)</f>
        <v>312531.48000000004</v>
      </c>
      <c r="I83" s="580">
        <f>SUM(I85:I92)</f>
        <v>268898.63</v>
      </c>
      <c r="J83" s="580">
        <f>SUM(J84:J92)</f>
        <v>178094.26</v>
      </c>
      <c r="K83" s="580">
        <f>+F83-H83</f>
        <v>46079.51999999996</v>
      </c>
      <c r="L83" s="580">
        <f>+E83-H83</f>
        <v>46079.51999999996</v>
      </c>
      <c r="M83" s="125">
        <f t="shared" si="27"/>
        <v>87.150555894827548</v>
      </c>
      <c r="O83" s="108">
        <v>243722.57</v>
      </c>
    </row>
    <row r="84" spans="1:19" ht="15.75" customHeight="1">
      <c r="A84" s="498">
        <v>191</v>
      </c>
      <c r="B84" s="119" t="s">
        <v>310</v>
      </c>
      <c r="C84" s="326"/>
      <c r="D84" s="318"/>
      <c r="E84" s="563">
        <v>4800</v>
      </c>
      <c r="F84" s="581">
        <v>4800</v>
      </c>
      <c r="G84" s="580">
        <v>0</v>
      </c>
      <c r="H84" s="637">
        <f>+O84+G84</f>
        <v>0</v>
      </c>
      <c r="I84" s="581"/>
      <c r="J84" s="581"/>
      <c r="K84" s="581">
        <f t="shared" ref="K84:K93" si="28">+F84-H84</f>
        <v>4800</v>
      </c>
      <c r="L84" s="581">
        <f t="shared" ref="L84:L93" si="29">+E84-H84</f>
        <v>4800</v>
      </c>
      <c r="M84" s="125">
        <f t="shared" si="27"/>
        <v>0</v>
      </c>
      <c r="O84" s="26">
        <v>0</v>
      </c>
    </row>
    <row r="85" spans="1:19" ht="11.25" customHeight="1">
      <c r="A85" s="498">
        <v>192</v>
      </c>
      <c r="B85" s="119" t="s">
        <v>311</v>
      </c>
      <c r="C85" s="327"/>
      <c r="D85" s="319"/>
      <c r="E85" s="563">
        <v>266420</v>
      </c>
      <c r="F85" s="581">
        <v>266420</v>
      </c>
      <c r="G85" s="581">
        <v>37765.230000000003</v>
      </c>
      <c r="H85" s="637">
        <f>O85+G85</f>
        <v>265285.69</v>
      </c>
      <c r="I85" s="581">
        <v>255589.72</v>
      </c>
      <c r="J85" s="581">
        <v>164294.79</v>
      </c>
      <c r="K85" s="581">
        <f t="shared" si="28"/>
        <v>1134.3099999999977</v>
      </c>
      <c r="L85" s="581">
        <f t="shared" si="29"/>
        <v>1134.3099999999977</v>
      </c>
      <c r="M85" s="126">
        <f>+H85*100/F85</f>
        <v>99.574239921927784</v>
      </c>
      <c r="O85" s="26">
        <v>227520.46000000002</v>
      </c>
    </row>
    <row r="86" spans="1:19" ht="17.25" hidden="1" customHeight="1">
      <c r="A86" s="498">
        <v>193</v>
      </c>
      <c r="B86" s="119" t="s">
        <v>312</v>
      </c>
      <c r="C86" s="327"/>
      <c r="D86" s="319"/>
      <c r="E86" s="563"/>
      <c r="F86" s="581"/>
      <c r="G86" s="581"/>
      <c r="H86" s="637">
        <f t="shared" ref="H86:H92" si="30">O86+G86</f>
        <v>0</v>
      </c>
      <c r="I86" s="581"/>
      <c r="J86" s="581"/>
      <c r="K86" s="580">
        <f t="shared" si="28"/>
        <v>0</v>
      </c>
      <c r="L86" s="580">
        <f t="shared" si="29"/>
        <v>0</v>
      </c>
      <c r="M86" s="126" t="e">
        <f t="shared" ref="M86:M87" si="31">+H86*100/F86</f>
        <v>#DIV/0!</v>
      </c>
      <c r="O86" s="26">
        <v>0</v>
      </c>
    </row>
    <row r="87" spans="1:19" ht="12.75" customHeight="1">
      <c r="A87" s="498">
        <v>194</v>
      </c>
      <c r="B87" s="119" t="s">
        <v>313</v>
      </c>
      <c r="C87" s="327"/>
      <c r="D87" s="319"/>
      <c r="E87" s="563">
        <v>650</v>
      </c>
      <c r="F87" s="581">
        <v>650</v>
      </c>
      <c r="G87" s="581">
        <v>311.14</v>
      </c>
      <c r="H87" s="637">
        <f t="shared" si="30"/>
        <v>311.14</v>
      </c>
      <c r="I87" s="581"/>
      <c r="J87" s="581"/>
      <c r="K87" s="581">
        <f t="shared" si="28"/>
        <v>338.86</v>
      </c>
      <c r="L87" s="581">
        <f t="shared" si="29"/>
        <v>338.86</v>
      </c>
      <c r="M87" s="126">
        <f t="shared" si="31"/>
        <v>47.867692307692309</v>
      </c>
      <c r="O87" s="26">
        <v>0</v>
      </c>
    </row>
    <row r="88" spans="1:19" ht="13.5" customHeight="1">
      <c r="A88" s="498">
        <v>195</v>
      </c>
      <c r="B88" s="119" t="s">
        <v>314</v>
      </c>
      <c r="C88" s="327"/>
      <c r="D88" s="319"/>
      <c r="E88" s="563">
        <v>10950</v>
      </c>
      <c r="F88" s="581">
        <v>10950</v>
      </c>
      <c r="G88" s="581">
        <v>560</v>
      </c>
      <c r="H88" s="820">
        <f t="shared" si="30"/>
        <v>1630</v>
      </c>
      <c r="I88" s="614">
        <v>1630</v>
      </c>
      <c r="J88" s="581">
        <v>1164</v>
      </c>
      <c r="K88" s="581">
        <f t="shared" si="28"/>
        <v>9320</v>
      </c>
      <c r="L88" s="581">
        <f t="shared" si="29"/>
        <v>9320</v>
      </c>
      <c r="M88" s="126">
        <f t="shared" ref="M88:M92" si="32">+H88*100/F88</f>
        <v>14.885844748858448</v>
      </c>
      <c r="O88" s="629">
        <f>1086-16</f>
        <v>1070</v>
      </c>
    </row>
    <row r="89" spans="1:19" ht="13.5" customHeight="1">
      <c r="A89" s="498">
        <v>196</v>
      </c>
      <c r="B89" s="119" t="s">
        <v>315</v>
      </c>
      <c r="C89" s="327"/>
      <c r="D89" s="319"/>
      <c r="E89" s="563">
        <v>9545</v>
      </c>
      <c r="F89" s="581">
        <v>9545</v>
      </c>
      <c r="G89" s="581">
        <v>3629</v>
      </c>
      <c r="H89" s="820">
        <f t="shared" si="30"/>
        <v>5400.9400000000005</v>
      </c>
      <c r="I89" s="614">
        <v>5400.94</v>
      </c>
      <c r="J89" s="581">
        <v>4821.9399999999996</v>
      </c>
      <c r="K89" s="581">
        <f t="shared" si="28"/>
        <v>4144.0599999999995</v>
      </c>
      <c r="L89" s="581">
        <f t="shared" si="29"/>
        <v>4144.0599999999995</v>
      </c>
      <c r="M89" s="126">
        <f t="shared" si="32"/>
        <v>56.583970665269774</v>
      </c>
      <c r="O89" s="627">
        <f>1789.46-17.52</f>
        <v>1771.94</v>
      </c>
    </row>
    <row r="90" spans="1:19" ht="14.25" customHeight="1">
      <c r="A90" s="498">
        <v>197</v>
      </c>
      <c r="B90" s="119" t="s">
        <v>316</v>
      </c>
      <c r="C90" s="327"/>
      <c r="D90" s="319"/>
      <c r="E90" s="563">
        <v>27945</v>
      </c>
      <c r="F90" s="581">
        <v>27945</v>
      </c>
      <c r="G90" s="581">
        <v>11875.72</v>
      </c>
      <c r="H90" s="637">
        <f t="shared" si="30"/>
        <v>14750.46</v>
      </c>
      <c r="I90" s="581">
        <v>789.4</v>
      </c>
      <c r="J90" s="581">
        <v>948.74</v>
      </c>
      <c r="K90" s="581">
        <f t="shared" si="28"/>
        <v>13194.54</v>
      </c>
      <c r="L90" s="581">
        <f t="shared" si="29"/>
        <v>13194.54</v>
      </c>
      <c r="M90" s="126">
        <f t="shared" si="32"/>
        <v>52.783896940418678</v>
      </c>
      <c r="O90" s="26">
        <v>2874.74</v>
      </c>
    </row>
    <row r="91" spans="1:19" ht="14.25" customHeight="1">
      <c r="A91" s="498">
        <v>198</v>
      </c>
      <c r="B91" s="119" t="s">
        <v>597</v>
      </c>
      <c r="C91" s="133"/>
      <c r="D91" s="319"/>
      <c r="E91" s="563">
        <v>8658</v>
      </c>
      <c r="F91" s="581">
        <v>8658</v>
      </c>
      <c r="G91" s="581"/>
      <c r="H91" s="637">
        <f t="shared" si="30"/>
        <v>8182</v>
      </c>
      <c r="I91" s="581">
        <v>3112</v>
      </c>
      <c r="J91" s="581">
        <v>4127.9799999999996</v>
      </c>
      <c r="K91" s="581">
        <f t="shared" si="28"/>
        <v>476</v>
      </c>
      <c r="L91" s="581">
        <f t="shared" si="29"/>
        <v>476</v>
      </c>
      <c r="M91" s="126">
        <f t="shared" si="32"/>
        <v>94.502194502194499</v>
      </c>
      <c r="O91" s="26">
        <v>8182</v>
      </c>
    </row>
    <row r="92" spans="1:19" ht="19.5" customHeight="1">
      <c r="A92" s="499">
        <v>199</v>
      </c>
      <c r="B92" s="134" t="s">
        <v>317</v>
      </c>
      <c r="C92" s="328"/>
      <c r="D92" s="321"/>
      <c r="E92" s="563">
        <v>29643</v>
      </c>
      <c r="F92" s="581">
        <v>29643</v>
      </c>
      <c r="G92" s="581">
        <v>14701.34</v>
      </c>
      <c r="H92" s="637">
        <f t="shared" si="30"/>
        <v>16971.25</v>
      </c>
      <c r="I92" s="581">
        <v>2376.5700000000002</v>
      </c>
      <c r="J92" s="581">
        <v>2736.81</v>
      </c>
      <c r="K92" s="581">
        <f t="shared" si="28"/>
        <v>12671.75</v>
      </c>
      <c r="L92" s="581">
        <f t="shared" si="29"/>
        <v>12671.75</v>
      </c>
      <c r="M92" s="126">
        <f t="shared" si="32"/>
        <v>57.252133724656751</v>
      </c>
      <c r="O92" s="26">
        <v>2269.91</v>
      </c>
    </row>
    <row r="93" spans="1:19" ht="3.75" hidden="1" customHeight="1" thickBot="1">
      <c r="A93" s="498"/>
      <c r="B93" s="134"/>
      <c r="C93" s="501"/>
      <c r="D93" s="396"/>
      <c r="E93" s="567"/>
      <c r="F93" s="582"/>
      <c r="G93" s="582"/>
      <c r="H93" s="582"/>
      <c r="I93" s="582"/>
      <c r="J93" s="582"/>
      <c r="K93" s="580">
        <f t="shared" si="28"/>
        <v>0</v>
      </c>
      <c r="L93" s="580">
        <f t="shared" si="29"/>
        <v>0</v>
      </c>
      <c r="M93" s="126"/>
      <c r="O93" s="26"/>
    </row>
    <row r="94" spans="1:19" ht="21.75" customHeight="1">
      <c r="A94" s="502" t="s">
        <v>318</v>
      </c>
      <c r="B94" s="503" t="s">
        <v>319</v>
      </c>
      <c r="C94" s="504">
        <f t="shared" ref="C94:I94" si="33">+C95+C98+C104+C110+C114+C120+C129+C135+C144+C145</f>
        <v>1027428</v>
      </c>
      <c r="D94" s="505">
        <f>D96+D99+D101+D109+D114+D118+D119+D122+D123+D124+D125+D127+D140</f>
        <v>0</v>
      </c>
      <c r="E94" s="568">
        <f t="shared" si="33"/>
        <v>1224883</v>
      </c>
      <c r="F94" s="583">
        <f t="shared" si="33"/>
        <v>1151731</v>
      </c>
      <c r="G94" s="583">
        <f t="shared" si="33"/>
        <v>298515.41099999996</v>
      </c>
      <c r="H94" s="583">
        <f t="shared" si="33"/>
        <v>550753.87100000004</v>
      </c>
      <c r="I94" s="583">
        <f t="shared" si="33"/>
        <v>241710.51</v>
      </c>
      <c r="J94" s="583">
        <f>J95+J98+J104+J110+J114+J120+J129+J135+J144+J145</f>
        <v>97215.73</v>
      </c>
      <c r="K94" s="644">
        <f t="shared" ref="K94:K120" si="34">+F94-H94</f>
        <v>600977.12899999996</v>
      </c>
      <c r="L94" s="596">
        <f t="shared" ref="L94:L120" si="35">+E94-H94</f>
        <v>674129.12899999996</v>
      </c>
      <c r="M94" s="509">
        <f t="shared" ref="M94:M142" si="36">+H94*100/F94</f>
        <v>47.819661969678684</v>
      </c>
      <c r="O94" s="108">
        <v>252284.91</v>
      </c>
      <c r="P94" s="26"/>
      <c r="Q94" s="26"/>
      <c r="R94" s="1"/>
    </row>
    <row r="95" spans="1:19" ht="16.5" customHeight="1">
      <c r="A95" s="135" t="s">
        <v>320</v>
      </c>
      <c r="B95" s="135" t="s">
        <v>321</v>
      </c>
      <c r="C95" s="329">
        <f>SUM(C96:C97)</f>
        <v>61924</v>
      </c>
      <c r="D95" s="322"/>
      <c r="E95" s="569">
        <f>SUM(E96:E97)</f>
        <v>50804</v>
      </c>
      <c r="F95" s="584">
        <f>SUM(F96:F97)</f>
        <v>30804</v>
      </c>
      <c r="G95" s="569">
        <f>G96+G97</f>
        <v>1140.03</v>
      </c>
      <c r="H95" s="616">
        <f>O95+G95</f>
        <v>1508.09</v>
      </c>
      <c r="I95" s="588">
        <f>SUM(I96:I97)</f>
        <v>1233.0899999999999</v>
      </c>
      <c r="J95" s="588">
        <f>SUM(J96:J97)</f>
        <v>1009.79</v>
      </c>
      <c r="K95" s="603">
        <f t="shared" si="34"/>
        <v>29295.91</v>
      </c>
      <c r="L95" s="588">
        <f t="shared" si="35"/>
        <v>49295.91</v>
      </c>
      <c r="M95" s="140">
        <f t="shared" si="36"/>
        <v>4.8957602908713156</v>
      </c>
      <c r="O95" s="108">
        <f>O96+O97</f>
        <v>368.06</v>
      </c>
      <c r="P95" s="26"/>
      <c r="Q95" s="141"/>
      <c r="S95" t="s">
        <v>12</v>
      </c>
    </row>
    <row r="96" spans="1:19" ht="13.5" customHeight="1">
      <c r="A96" s="133" t="s">
        <v>322</v>
      </c>
      <c r="B96" s="137" t="s">
        <v>323</v>
      </c>
      <c r="C96" s="330">
        <v>56824</v>
      </c>
      <c r="D96" s="319"/>
      <c r="E96" s="570">
        <v>47124</v>
      </c>
      <c r="F96" s="585">
        <v>27124</v>
      </c>
      <c r="G96" s="570">
        <v>828.62</v>
      </c>
      <c r="H96" s="614">
        <f>O96+G96</f>
        <v>1182.78</v>
      </c>
      <c r="I96" s="581">
        <v>1182.78</v>
      </c>
      <c r="J96" s="591">
        <v>959.48</v>
      </c>
      <c r="K96" s="645">
        <f t="shared" si="34"/>
        <v>25941.22</v>
      </c>
      <c r="L96" s="646">
        <f t="shared" si="35"/>
        <v>45941.22</v>
      </c>
      <c r="M96" s="142">
        <f t="shared" si="36"/>
        <v>4.36064002359534</v>
      </c>
      <c r="O96" s="26">
        <v>354.16</v>
      </c>
    </row>
    <row r="97" spans="1:18" ht="13.5" customHeight="1">
      <c r="A97" s="498" t="s">
        <v>324</v>
      </c>
      <c r="B97" s="138" t="s">
        <v>325</v>
      </c>
      <c r="C97" s="330">
        <v>5100</v>
      </c>
      <c r="D97" s="319"/>
      <c r="E97" s="570">
        <v>3680</v>
      </c>
      <c r="F97" s="585">
        <v>3680</v>
      </c>
      <c r="G97" s="602">
        <v>311.41000000000003</v>
      </c>
      <c r="H97" s="614">
        <f>O97+G97</f>
        <v>325.31</v>
      </c>
      <c r="I97" s="581">
        <v>50.31</v>
      </c>
      <c r="J97" s="591">
        <v>50.31</v>
      </c>
      <c r="K97" s="645">
        <f t="shared" si="34"/>
        <v>3354.69</v>
      </c>
      <c r="L97" s="646">
        <f t="shared" si="35"/>
        <v>3354.69</v>
      </c>
      <c r="M97" s="142">
        <f t="shared" si="36"/>
        <v>8.8399456521739133</v>
      </c>
      <c r="O97" s="26">
        <v>13.9</v>
      </c>
      <c r="P97" s="26"/>
      <c r="Q97" s="26"/>
    </row>
    <row r="98" spans="1:18">
      <c r="A98" s="25" t="s">
        <v>326</v>
      </c>
      <c r="B98" s="139" t="s">
        <v>327</v>
      </c>
      <c r="C98" s="331">
        <f>SUM(C99:C103)</f>
        <v>43200</v>
      </c>
      <c r="D98" s="318"/>
      <c r="E98" s="571">
        <f>SUM(E99:E103)</f>
        <v>42304</v>
      </c>
      <c r="F98" s="586">
        <f>SUM(F99:F103)</f>
        <v>12304</v>
      </c>
      <c r="G98" s="586">
        <f>SUM(G99:G103)</f>
        <v>2223.42</v>
      </c>
      <c r="H98" s="615">
        <f>+O98+G98</f>
        <v>3751.32</v>
      </c>
      <c r="I98" s="571">
        <f>SUM(I99:I103)</f>
        <v>1707.62</v>
      </c>
      <c r="J98" s="571">
        <f>SUM(J99:J103)</f>
        <v>213.9</v>
      </c>
      <c r="K98" s="580">
        <f t="shared" si="34"/>
        <v>8552.68</v>
      </c>
      <c r="L98" s="608">
        <f t="shared" si="35"/>
        <v>38552.68</v>
      </c>
      <c r="M98" s="142">
        <f t="shared" si="36"/>
        <v>30.488621586475944</v>
      </c>
      <c r="O98" s="108">
        <f>O99+O100</f>
        <v>1527.9</v>
      </c>
    </row>
    <row r="99" spans="1:18" ht="12" customHeight="1">
      <c r="A99" s="133" t="s">
        <v>328</v>
      </c>
      <c r="B99" s="137" t="s">
        <v>329</v>
      </c>
      <c r="C99" s="330">
        <v>20000</v>
      </c>
      <c r="D99" s="319"/>
      <c r="E99" s="570">
        <v>14354</v>
      </c>
      <c r="F99" s="585">
        <v>4354</v>
      </c>
      <c r="G99" s="602">
        <v>675.64</v>
      </c>
      <c r="H99" s="614">
        <f>O99+G99</f>
        <v>2169.36</v>
      </c>
      <c r="I99" s="581">
        <v>1622.37</v>
      </c>
      <c r="J99" s="591">
        <v>128.65</v>
      </c>
      <c r="K99" s="581">
        <f t="shared" si="34"/>
        <v>2184.64</v>
      </c>
      <c r="L99" s="591">
        <f t="shared" si="35"/>
        <v>12184.64</v>
      </c>
      <c r="M99" s="142">
        <f t="shared" si="36"/>
        <v>49.824529168580618</v>
      </c>
      <c r="O99" s="26">
        <v>1493.72</v>
      </c>
    </row>
    <row r="100" spans="1:18" ht="12" customHeight="1">
      <c r="A100" s="498" t="s">
        <v>330</v>
      </c>
      <c r="B100" s="138" t="s">
        <v>331</v>
      </c>
      <c r="C100" s="330">
        <v>10000</v>
      </c>
      <c r="D100" s="319"/>
      <c r="E100" s="570">
        <v>13150</v>
      </c>
      <c r="F100" s="585">
        <v>3150</v>
      </c>
      <c r="G100" s="602">
        <v>1546.71</v>
      </c>
      <c r="H100" s="614">
        <f t="shared" ref="H100:H103" si="37">O100+G100</f>
        <v>1580.89</v>
      </c>
      <c r="I100" s="581">
        <v>84.18</v>
      </c>
      <c r="J100" s="591">
        <v>84.18</v>
      </c>
      <c r="K100" s="581">
        <f t="shared" si="34"/>
        <v>1569.11</v>
      </c>
      <c r="L100" s="591">
        <f t="shared" si="35"/>
        <v>11569.11</v>
      </c>
      <c r="M100" s="142">
        <f t="shared" si="36"/>
        <v>50.186984126984129</v>
      </c>
      <c r="O100" s="26">
        <v>34.18</v>
      </c>
    </row>
    <row r="101" spans="1:18" ht="12" customHeight="1">
      <c r="A101" s="498" t="s">
        <v>332</v>
      </c>
      <c r="B101" s="138" t="s">
        <v>333</v>
      </c>
      <c r="C101" s="330">
        <v>3200</v>
      </c>
      <c r="D101" s="319"/>
      <c r="E101" s="570">
        <v>1650</v>
      </c>
      <c r="F101" s="585">
        <v>1650</v>
      </c>
      <c r="G101" s="602">
        <v>1.07</v>
      </c>
      <c r="H101" s="614">
        <f t="shared" si="37"/>
        <v>1.07</v>
      </c>
      <c r="I101" s="581">
        <v>1.07</v>
      </c>
      <c r="J101" s="591">
        <v>1.07</v>
      </c>
      <c r="K101" s="581">
        <f t="shared" si="34"/>
        <v>1648.93</v>
      </c>
      <c r="L101" s="591">
        <f t="shared" si="35"/>
        <v>1648.93</v>
      </c>
      <c r="M101" s="142">
        <f t="shared" si="36"/>
        <v>6.484848484848485E-2</v>
      </c>
      <c r="O101" s="26">
        <v>0</v>
      </c>
    </row>
    <row r="102" spans="1:18" ht="13.5" customHeight="1">
      <c r="A102" s="498" t="s">
        <v>334</v>
      </c>
      <c r="B102" s="138" t="s">
        <v>335</v>
      </c>
      <c r="C102" s="330">
        <v>10000</v>
      </c>
      <c r="D102" s="319"/>
      <c r="E102" s="570">
        <v>12175</v>
      </c>
      <c r="F102" s="585">
        <v>2175</v>
      </c>
      <c r="G102" s="602"/>
      <c r="H102" s="614">
        <f t="shared" si="37"/>
        <v>0</v>
      </c>
      <c r="I102" s="581"/>
      <c r="J102" s="591"/>
      <c r="K102" s="581">
        <f t="shared" si="34"/>
        <v>2175</v>
      </c>
      <c r="L102" s="591">
        <f t="shared" si="35"/>
        <v>12175</v>
      </c>
      <c r="M102" s="142">
        <f t="shared" si="36"/>
        <v>0</v>
      </c>
      <c r="O102" s="26">
        <v>0</v>
      </c>
    </row>
    <row r="103" spans="1:18" ht="13.5" customHeight="1">
      <c r="A103" s="498" t="s">
        <v>336</v>
      </c>
      <c r="B103" s="138" t="s">
        <v>337</v>
      </c>
      <c r="C103" s="327"/>
      <c r="D103" s="319"/>
      <c r="E103" s="563">
        <v>975</v>
      </c>
      <c r="F103" s="587">
        <v>975</v>
      </c>
      <c r="G103" s="602"/>
      <c r="H103" s="614">
        <f t="shared" si="37"/>
        <v>0</v>
      </c>
      <c r="I103" s="581"/>
      <c r="J103" s="591"/>
      <c r="K103" s="581">
        <f t="shared" si="34"/>
        <v>975</v>
      </c>
      <c r="L103" s="591">
        <f t="shared" si="35"/>
        <v>975</v>
      </c>
      <c r="M103" s="142">
        <f t="shared" si="36"/>
        <v>0</v>
      </c>
      <c r="O103" s="26">
        <v>0</v>
      </c>
    </row>
    <row r="104" spans="1:18" ht="20.25" customHeight="1">
      <c r="A104" s="500" t="s">
        <v>338</v>
      </c>
      <c r="B104" s="136" t="s">
        <v>339</v>
      </c>
      <c r="C104" s="329">
        <f>SUM(C105:C109)</f>
        <v>236371</v>
      </c>
      <c r="D104" s="322"/>
      <c r="E104" s="569">
        <f>SUM(E105:E109)</f>
        <v>235171</v>
      </c>
      <c r="F104" s="588">
        <f>SUM(F105:F109)</f>
        <v>235171</v>
      </c>
      <c r="G104" s="588">
        <f>G105+G106+G107+G108+G109</f>
        <v>96904.590000000011</v>
      </c>
      <c r="H104" s="617">
        <f>O104+G104</f>
        <v>162522.21000000002</v>
      </c>
      <c r="I104" s="622">
        <f>SUM(I105:I109)</f>
        <v>24278.21</v>
      </c>
      <c r="J104" s="622">
        <f>SUM(J105:J109)</f>
        <v>20798.539999999997</v>
      </c>
      <c r="K104" s="603">
        <f t="shared" si="34"/>
        <v>72648.789999999979</v>
      </c>
      <c r="L104" s="588">
        <f t="shared" si="35"/>
        <v>72648.789999999979</v>
      </c>
      <c r="M104" s="142">
        <f t="shared" si="36"/>
        <v>69.108100063358165</v>
      </c>
      <c r="N104" s="6"/>
      <c r="O104" s="108">
        <f>O105+O106+O107+O108</f>
        <v>65617.62</v>
      </c>
      <c r="P104" s="26"/>
      <c r="Q104" s="26"/>
      <c r="R104" s="26"/>
    </row>
    <row r="105" spans="1:18" ht="12" customHeight="1">
      <c r="A105" s="133" t="s">
        <v>340</v>
      </c>
      <c r="B105" s="137" t="s">
        <v>341</v>
      </c>
      <c r="C105" s="330">
        <v>155000</v>
      </c>
      <c r="D105" s="319"/>
      <c r="E105" s="570">
        <v>99700</v>
      </c>
      <c r="F105" s="589">
        <v>99700</v>
      </c>
      <c r="G105" s="602">
        <v>41472</v>
      </c>
      <c r="H105" s="614">
        <f>O105+G105</f>
        <v>81072</v>
      </c>
      <c r="I105" s="581">
        <v>16738.439999999999</v>
      </c>
      <c r="J105" s="591">
        <v>16738.439999999999</v>
      </c>
      <c r="K105" s="645">
        <f t="shared" si="34"/>
        <v>18628</v>
      </c>
      <c r="L105" s="646">
        <f t="shared" si="35"/>
        <v>18628</v>
      </c>
      <c r="M105" s="142">
        <f t="shared" si="36"/>
        <v>81.315947843530594</v>
      </c>
      <c r="O105" s="26">
        <v>39600</v>
      </c>
      <c r="P105" s="1"/>
    </row>
    <row r="106" spans="1:18" ht="12" customHeight="1">
      <c r="A106" s="498">
        <v>222</v>
      </c>
      <c r="B106" s="137" t="s">
        <v>342</v>
      </c>
      <c r="C106" s="330">
        <v>36336</v>
      </c>
      <c r="D106" s="319"/>
      <c r="E106" s="570">
        <v>102936</v>
      </c>
      <c r="F106" s="585">
        <v>102936</v>
      </c>
      <c r="G106" s="602">
        <v>45253.13</v>
      </c>
      <c r="H106" s="614">
        <f t="shared" ref="H106:H109" si="38">O106+G106</f>
        <v>57582.299999999996</v>
      </c>
      <c r="I106" s="581">
        <v>2811.86</v>
      </c>
      <c r="J106" s="591">
        <v>242.65</v>
      </c>
      <c r="K106" s="645">
        <f t="shared" si="34"/>
        <v>45353.700000000004</v>
      </c>
      <c r="L106" s="646">
        <f t="shared" si="35"/>
        <v>45353.700000000004</v>
      </c>
      <c r="M106" s="142">
        <f t="shared" si="36"/>
        <v>55.939904406621594</v>
      </c>
      <c r="O106" s="26">
        <v>12329.17</v>
      </c>
    </row>
    <row r="107" spans="1:18" ht="16.149999999999999" customHeight="1">
      <c r="A107" s="498" t="s">
        <v>343</v>
      </c>
      <c r="B107" s="138" t="s">
        <v>344</v>
      </c>
      <c r="C107" s="330">
        <v>33835</v>
      </c>
      <c r="D107" s="319"/>
      <c r="E107" s="570">
        <v>19285</v>
      </c>
      <c r="F107" s="585">
        <v>19285</v>
      </c>
      <c r="G107" s="585">
        <v>8470</v>
      </c>
      <c r="H107" s="614">
        <f t="shared" si="38"/>
        <v>16570</v>
      </c>
      <c r="I107" s="581">
        <v>3451.41</v>
      </c>
      <c r="J107" s="591">
        <v>3451.41</v>
      </c>
      <c r="K107" s="645">
        <f t="shared" si="34"/>
        <v>2715</v>
      </c>
      <c r="L107" s="646">
        <f t="shared" si="35"/>
        <v>2715</v>
      </c>
      <c r="M107" s="142">
        <f t="shared" si="36"/>
        <v>85.921700803733472</v>
      </c>
      <c r="O107" s="26">
        <v>8100</v>
      </c>
    </row>
    <row r="108" spans="1:18" ht="14.25" customHeight="1">
      <c r="A108" s="498" t="s">
        <v>345</v>
      </c>
      <c r="B108" s="138" t="s">
        <v>346</v>
      </c>
      <c r="C108" s="330">
        <v>6200</v>
      </c>
      <c r="D108" s="319"/>
      <c r="E108" s="570">
        <v>12150</v>
      </c>
      <c r="F108" s="585">
        <v>12150</v>
      </c>
      <c r="G108" s="602">
        <v>1366.8</v>
      </c>
      <c r="H108" s="614">
        <f t="shared" si="38"/>
        <v>6955.25</v>
      </c>
      <c r="I108" s="581">
        <v>1064.1500000000001</v>
      </c>
      <c r="J108" s="591">
        <v>153.69</v>
      </c>
      <c r="K108" s="645">
        <f t="shared" si="34"/>
        <v>5194.75</v>
      </c>
      <c r="L108" s="646">
        <f t="shared" si="35"/>
        <v>5194.75</v>
      </c>
      <c r="M108" s="142">
        <f t="shared" si="36"/>
        <v>57.244855967078188</v>
      </c>
      <c r="O108" s="26">
        <v>5588.45</v>
      </c>
    </row>
    <row r="109" spans="1:18" ht="14.45" customHeight="1">
      <c r="A109" s="498">
        <v>229</v>
      </c>
      <c r="B109" s="138" t="s">
        <v>347</v>
      </c>
      <c r="C109" s="330">
        <v>5000</v>
      </c>
      <c r="D109" s="319"/>
      <c r="E109" s="570">
        <v>1100</v>
      </c>
      <c r="F109" s="585">
        <v>1100</v>
      </c>
      <c r="G109" s="602">
        <v>342.66</v>
      </c>
      <c r="H109" s="614">
        <f t="shared" si="38"/>
        <v>342.66</v>
      </c>
      <c r="I109" s="581">
        <v>212.35</v>
      </c>
      <c r="J109" s="591">
        <v>212.35</v>
      </c>
      <c r="K109" s="645">
        <f t="shared" si="34"/>
        <v>757.33999999999992</v>
      </c>
      <c r="L109" s="646">
        <f t="shared" si="35"/>
        <v>757.33999999999992</v>
      </c>
      <c r="M109" s="142">
        <f t="shared" si="36"/>
        <v>31.150909090909092</v>
      </c>
      <c r="O109" s="26"/>
    </row>
    <row r="110" spans="1:18" ht="16.5" customHeight="1">
      <c r="A110" s="500" t="s">
        <v>348</v>
      </c>
      <c r="B110" s="136" t="s">
        <v>349</v>
      </c>
      <c r="C110" s="329">
        <f>SUM(C111:C113)</f>
        <v>57364</v>
      </c>
      <c r="D110" s="322"/>
      <c r="E110" s="569">
        <f>SUM(E111:E113)</f>
        <v>101130</v>
      </c>
      <c r="F110" s="584">
        <f>SUM(F111:F113)</f>
        <v>101130</v>
      </c>
      <c r="G110" s="584">
        <f>SUM(G111:G113)</f>
        <v>58295.069999999992</v>
      </c>
      <c r="H110" s="615">
        <f>+O110+G110</f>
        <v>61567.329999999994</v>
      </c>
      <c r="I110" s="622">
        <f>SUM(I111:I113)</f>
        <v>44315.44000000001</v>
      </c>
      <c r="J110" s="622">
        <f>SUM(J111:J113)</f>
        <v>470.65</v>
      </c>
      <c r="K110" s="603">
        <f t="shared" si="34"/>
        <v>39562.670000000006</v>
      </c>
      <c r="L110" s="588">
        <f t="shared" si="35"/>
        <v>39562.670000000006</v>
      </c>
      <c r="M110" s="140">
        <f t="shared" si="36"/>
        <v>60.879392860674372</v>
      </c>
      <c r="O110" s="108">
        <f>O112+O113</f>
        <v>3272.26</v>
      </c>
    </row>
    <row r="111" spans="1:18" ht="12.75" customHeight="1">
      <c r="A111" s="133" t="s">
        <v>350</v>
      </c>
      <c r="B111" s="137" t="s">
        <v>351</v>
      </c>
      <c r="C111" s="330">
        <v>25027</v>
      </c>
      <c r="D111" s="319"/>
      <c r="E111" s="570">
        <v>29677</v>
      </c>
      <c r="F111" s="585">
        <v>29677</v>
      </c>
      <c r="G111" s="602">
        <v>7131.98</v>
      </c>
      <c r="H111" s="614">
        <f>O111+G111</f>
        <v>7131.98</v>
      </c>
      <c r="I111" s="581">
        <v>7131.98</v>
      </c>
      <c r="J111" s="591"/>
      <c r="K111" s="645">
        <f t="shared" si="34"/>
        <v>22545.02</v>
      </c>
      <c r="L111" s="646">
        <f t="shared" si="35"/>
        <v>22545.02</v>
      </c>
      <c r="M111" s="142">
        <f t="shared" si="36"/>
        <v>24.032011321899112</v>
      </c>
      <c r="O111" s="26"/>
    </row>
    <row r="112" spans="1:18" ht="12.75" customHeight="1">
      <c r="A112" s="498" t="s">
        <v>352</v>
      </c>
      <c r="B112" s="138" t="s">
        <v>353</v>
      </c>
      <c r="C112" s="330">
        <v>21717</v>
      </c>
      <c r="D112" s="319"/>
      <c r="E112" s="570">
        <v>66107</v>
      </c>
      <c r="F112" s="585">
        <v>66107</v>
      </c>
      <c r="G112" s="602">
        <v>51109.59</v>
      </c>
      <c r="H112" s="614">
        <f>O112+G112</f>
        <v>51881.119999999995</v>
      </c>
      <c r="I112" s="581">
        <v>34629.230000000003</v>
      </c>
      <c r="J112" s="591">
        <v>386.02</v>
      </c>
      <c r="K112" s="645">
        <f t="shared" si="34"/>
        <v>14225.880000000005</v>
      </c>
      <c r="L112" s="646">
        <f t="shared" si="35"/>
        <v>14225.880000000005</v>
      </c>
      <c r="M112" s="142">
        <f t="shared" si="36"/>
        <v>78.480523998971364</v>
      </c>
      <c r="O112" s="26">
        <v>771.53</v>
      </c>
    </row>
    <row r="113" spans="1:20" ht="15" customHeight="1">
      <c r="A113" s="498" t="s">
        <v>354</v>
      </c>
      <c r="B113" s="138" t="s">
        <v>355</v>
      </c>
      <c r="C113" s="330">
        <v>10620</v>
      </c>
      <c r="D113" s="319"/>
      <c r="E113" s="570">
        <v>5346</v>
      </c>
      <c r="F113" s="585">
        <v>5346</v>
      </c>
      <c r="G113" s="602">
        <v>53.5</v>
      </c>
      <c r="H113" s="614">
        <f>O113+G113</f>
        <v>2554.23</v>
      </c>
      <c r="I113" s="581">
        <v>2554.23</v>
      </c>
      <c r="J113" s="591">
        <v>84.63</v>
      </c>
      <c r="K113" s="581">
        <f t="shared" si="34"/>
        <v>2791.77</v>
      </c>
      <c r="L113" s="591">
        <f t="shared" si="35"/>
        <v>2791.77</v>
      </c>
      <c r="M113" s="142">
        <f t="shared" si="36"/>
        <v>47.778338945005615</v>
      </c>
      <c r="O113" s="26">
        <v>2500.73</v>
      </c>
      <c r="Q113" t="s">
        <v>12</v>
      </c>
    </row>
    <row r="114" spans="1:20" ht="15" customHeight="1">
      <c r="A114" s="500" t="s">
        <v>356</v>
      </c>
      <c r="B114" s="136" t="s">
        <v>357</v>
      </c>
      <c r="C114" s="329">
        <f>SUM(C115:C119)</f>
        <v>123034</v>
      </c>
      <c r="D114" s="322"/>
      <c r="E114" s="569">
        <f>SUM(E115:E119)</f>
        <v>77482</v>
      </c>
      <c r="F114" s="584">
        <f>SUM(F115:F119)</f>
        <v>74029</v>
      </c>
      <c r="G114" s="584">
        <f>SUM(G115:G119)</f>
        <v>43473.47</v>
      </c>
      <c r="H114" s="616">
        <f>+O114+G114</f>
        <v>47134.12</v>
      </c>
      <c r="I114" s="588">
        <f>SUM(I115:I119)</f>
        <v>32102.789999999997</v>
      </c>
      <c r="J114" s="588">
        <f>SUM(J115:J119)</f>
        <v>2666.96</v>
      </c>
      <c r="K114" s="603">
        <f t="shared" si="34"/>
        <v>26894.879999999997</v>
      </c>
      <c r="L114" s="588">
        <f t="shared" si="35"/>
        <v>30347.879999999997</v>
      </c>
      <c r="M114" s="140">
        <f t="shared" si="36"/>
        <v>63.669805076388982</v>
      </c>
      <c r="O114" s="108">
        <f>O116+O117+O119</f>
        <v>3660.6499999999996</v>
      </c>
    </row>
    <row r="115" spans="1:20" ht="15.75" customHeight="1">
      <c r="A115" s="498" t="s">
        <v>358</v>
      </c>
      <c r="B115" s="137" t="s">
        <v>359</v>
      </c>
      <c r="C115" s="330">
        <v>1443</v>
      </c>
      <c r="D115" s="319"/>
      <c r="E115" s="570">
        <v>1593</v>
      </c>
      <c r="F115" s="585">
        <v>1593</v>
      </c>
      <c r="G115" s="602"/>
      <c r="H115" s="614"/>
      <c r="I115" s="581"/>
      <c r="J115" s="591"/>
      <c r="K115" s="645">
        <f t="shared" si="34"/>
        <v>1593</v>
      </c>
      <c r="L115" s="646">
        <f t="shared" si="35"/>
        <v>1593</v>
      </c>
      <c r="M115" s="126">
        <f t="shared" si="36"/>
        <v>0</v>
      </c>
      <c r="O115" s="26"/>
    </row>
    <row r="116" spans="1:20" ht="14.25" customHeight="1">
      <c r="A116" s="498" t="s">
        <v>360</v>
      </c>
      <c r="B116" s="138" t="s">
        <v>361</v>
      </c>
      <c r="C116" s="330">
        <v>3215</v>
      </c>
      <c r="D116" s="319"/>
      <c r="E116" s="570">
        <v>17065</v>
      </c>
      <c r="F116" s="585">
        <v>17065</v>
      </c>
      <c r="G116" s="581">
        <v>13485.06</v>
      </c>
      <c r="H116" s="614">
        <f>O116+G116</f>
        <v>13700.449999999999</v>
      </c>
      <c r="I116" s="581">
        <v>10383.32</v>
      </c>
      <c r="J116" s="591">
        <v>215.39</v>
      </c>
      <c r="K116" s="645">
        <f t="shared" si="34"/>
        <v>3364.5500000000011</v>
      </c>
      <c r="L116" s="646">
        <f t="shared" si="35"/>
        <v>3364.5500000000011</v>
      </c>
      <c r="M116" s="126">
        <f t="shared" si="36"/>
        <v>80.283914444769991</v>
      </c>
      <c r="O116" s="26">
        <v>215.39</v>
      </c>
    </row>
    <row r="117" spans="1:20" ht="17.25" customHeight="1">
      <c r="A117" s="498" t="s">
        <v>362</v>
      </c>
      <c r="B117" s="138" t="s">
        <v>363</v>
      </c>
      <c r="C117" s="330">
        <v>24415</v>
      </c>
      <c r="D117" s="319"/>
      <c r="E117" s="570">
        <v>21525</v>
      </c>
      <c r="F117" s="585">
        <v>21525</v>
      </c>
      <c r="G117" s="581">
        <v>3074.97</v>
      </c>
      <c r="H117" s="614">
        <f t="shared" ref="H117:H119" si="39">O117+G117</f>
        <v>5736.49</v>
      </c>
      <c r="I117" s="581">
        <v>2911.96</v>
      </c>
      <c r="J117" s="591">
        <v>1237.42</v>
      </c>
      <c r="K117" s="645">
        <f t="shared" si="34"/>
        <v>15788.51</v>
      </c>
      <c r="L117" s="646">
        <f t="shared" si="35"/>
        <v>15788.51</v>
      </c>
      <c r="M117" s="142">
        <f t="shared" si="36"/>
        <v>26.650360046457607</v>
      </c>
      <c r="O117" s="26">
        <v>2661.52</v>
      </c>
    </row>
    <row r="118" spans="1:20" ht="16.5" customHeight="1">
      <c r="A118" s="498" t="s">
        <v>364</v>
      </c>
      <c r="B118" s="138" t="s">
        <v>365</v>
      </c>
      <c r="C118" s="330">
        <v>3000</v>
      </c>
      <c r="D118" s="319"/>
      <c r="E118" s="570">
        <v>4150</v>
      </c>
      <c r="F118" s="585">
        <v>1150</v>
      </c>
      <c r="G118" s="602"/>
      <c r="H118" s="614">
        <f t="shared" si="39"/>
        <v>0</v>
      </c>
      <c r="I118" s="581"/>
      <c r="J118" s="591"/>
      <c r="K118" s="645">
        <f t="shared" si="34"/>
        <v>1150</v>
      </c>
      <c r="L118" s="646">
        <f t="shared" si="35"/>
        <v>4150</v>
      </c>
      <c r="M118" s="142">
        <f t="shared" si="36"/>
        <v>0</v>
      </c>
      <c r="O118" s="26">
        <v>0</v>
      </c>
    </row>
    <row r="119" spans="1:20" ht="16.5" customHeight="1">
      <c r="A119" s="498" t="s">
        <v>366</v>
      </c>
      <c r="B119" s="138" t="s">
        <v>367</v>
      </c>
      <c r="C119" s="330">
        <v>90961</v>
      </c>
      <c r="D119" s="319"/>
      <c r="E119" s="570">
        <v>33149</v>
      </c>
      <c r="F119" s="585">
        <v>32696</v>
      </c>
      <c r="G119" s="602">
        <v>26913.439999999999</v>
      </c>
      <c r="H119" s="614">
        <f t="shared" si="39"/>
        <v>27697.18</v>
      </c>
      <c r="I119" s="581">
        <v>18807.509999999998</v>
      </c>
      <c r="J119" s="591">
        <v>1214.1500000000001</v>
      </c>
      <c r="K119" s="645">
        <f t="shared" si="34"/>
        <v>4998.82</v>
      </c>
      <c r="L119" s="646">
        <f t="shared" si="35"/>
        <v>5451.82</v>
      </c>
      <c r="M119" s="142">
        <f t="shared" si="36"/>
        <v>84.71121849767556</v>
      </c>
      <c r="O119" s="26">
        <v>783.74</v>
      </c>
      <c r="Q119" s="26" t="s">
        <v>12</v>
      </c>
    </row>
    <row r="120" spans="1:20" ht="20.25" customHeight="1">
      <c r="A120" s="500" t="s">
        <v>368</v>
      </c>
      <c r="B120" s="136" t="s">
        <v>369</v>
      </c>
      <c r="C120" s="329">
        <f>SUM(C122:C128)</f>
        <v>87709</v>
      </c>
      <c r="D120" s="322"/>
      <c r="E120" s="569">
        <f>SUM(E121:E128)</f>
        <v>139522</v>
      </c>
      <c r="F120" s="569">
        <f>SUM(F121:F128)</f>
        <v>139522</v>
      </c>
      <c r="G120" s="603">
        <f>SUM(G122:G128)</f>
        <v>24812.229999999996</v>
      </c>
      <c r="H120" s="633">
        <f>+O120+G120</f>
        <v>33383.869999999995</v>
      </c>
      <c r="I120" s="622">
        <f>SUM(I122:I128)</f>
        <v>7654.72</v>
      </c>
      <c r="J120" s="622">
        <f>SUM(J122:J128)</f>
        <v>3127.25</v>
      </c>
      <c r="K120" s="603">
        <f t="shared" si="34"/>
        <v>106138.13</v>
      </c>
      <c r="L120" s="588">
        <f t="shared" si="35"/>
        <v>106138.13</v>
      </c>
      <c r="M120" s="140">
        <f t="shared" si="36"/>
        <v>23.927316122188611</v>
      </c>
      <c r="O120" s="108">
        <f>O124+O125+O126+O128</f>
        <v>8571.64</v>
      </c>
      <c r="P120" s="26" t="s">
        <v>12</v>
      </c>
    </row>
    <row r="121" spans="1:20" ht="20.25" customHeight="1">
      <c r="A121" s="559">
        <v>251</v>
      </c>
      <c r="B121" s="371" t="s">
        <v>619</v>
      </c>
      <c r="C121" s="329"/>
      <c r="D121" s="322"/>
      <c r="E121" s="572">
        <v>4000</v>
      </c>
      <c r="F121" s="590">
        <v>4000</v>
      </c>
      <c r="G121" s="612"/>
      <c r="H121" s="634"/>
      <c r="I121" s="618"/>
      <c r="J121" s="624"/>
      <c r="K121" s="603"/>
      <c r="L121" s="588"/>
      <c r="M121" s="140"/>
      <c r="O121" s="108"/>
      <c r="P121" s="26"/>
    </row>
    <row r="122" spans="1:20" ht="14.25" customHeight="1">
      <c r="A122" s="498" t="s">
        <v>370</v>
      </c>
      <c r="B122" s="138" t="s">
        <v>371</v>
      </c>
      <c r="C122" s="330">
        <v>10885</v>
      </c>
      <c r="D122" s="319"/>
      <c r="E122" s="570">
        <v>6935</v>
      </c>
      <c r="F122" s="585">
        <v>6935</v>
      </c>
      <c r="G122" s="602">
        <v>279.70999999999998</v>
      </c>
      <c r="H122" s="614">
        <f>O122+G122</f>
        <v>279.70999999999998</v>
      </c>
      <c r="I122" s="581">
        <v>191.43</v>
      </c>
      <c r="J122" s="591">
        <v>81.33</v>
      </c>
      <c r="K122" s="645">
        <f t="shared" ref="K122:K131" si="40">+F122-H122</f>
        <v>6655.29</v>
      </c>
      <c r="L122" s="646">
        <f t="shared" ref="L122:L131" si="41">+E122-H122</f>
        <v>6655.29</v>
      </c>
      <c r="M122" s="142">
        <f t="shared" si="36"/>
        <v>4.0333093006488818</v>
      </c>
      <c r="O122" s="26"/>
    </row>
    <row r="123" spans="1:20" ht="16.5" customHeight="1">
      <c r="A123" s="498" t="s">
        <v>372</v>
      </c>
      <c r="B123" s="138" t="s">
        <v>373</v>
      </c>
      <c r="C123" s="330">
        <v>11735</v>
      </c>
      <c r="D123" s="319"/>
      <c r="E123" s="570">
        <v>6935</v>
      </c>
      <c r="F123" s="585">
        <v>6935</v>
      </c>
      <c r="G123" s="581">
        <v>949.53</v>
      </c>
      <c r="H123" s="614">
        <f>O123+G123</f>
        <v>949.53</v>
      </c>
      <c r="I123" s="581">
        <v>491.03</v>
      </c>
      <c r="J123" s="591">
        <v>427.9</v>
      </c>
      <c r="K123" s="645">
        <f t="shared" si="40"/>
        <v>5985.47</v>
      </c>
      <c r="L123" s="646">
        <f t="shared" si="41"/>
        <v>5985.47</v>
      </c>
      <c r="M123" s="142">
        <f t="shared" si="36"/>
        <v>13.691852919971161</v>
      </c>
      <c r="O123" s="26"/>
    </row>
    <row r="124" spans="1:20" ht="12.75" customHeight="1">
      <c r="A124" s="498">
        <v>254</v>
      </c>
      <c r="B124" s="138" t="s">
        <v>374</v>
      </c>
      <c r="C124" s="330">
        <v>11627</v>
      </c>
      <c r="D124" s="319"/>
      <c r="E124" s="570">
        <v>13227</v>
      </c>
      <c r="F124" s="589">
        <v>13227</v>
      </c>
      <c r="G124" s="581">
        <v>1002.54</v>
      </c>
      <c r="H124" s="614">
        <f>O124+G124</f>
        <v>1874.49</v>
      </c>
      <c r="I124" s="581">
        <v>830.51</v>
      </c>
      <c r="J124" s="591">
        <v>210.67</v>
      </c>
      <c r="K124" s="645">
        <f t="shared" si="40"/>
        <v>11352.51</v>
      </c>
      <c r="L124" s="646">
        <f t="shared" si="41"/>
        <v>11352.51</v>
      </c>
      <c r="M124" s="142">
        <f t="shared" si="36"/>
        <v>14.171694261737356</v>
      </c>
      <c r="O124" s="26">
        <v>871.95</v>
      </c>
      <c r="T124" t="s">
        <v>12</v>
      </c>
    </row>
    <row r="125" spans="1:20" ht="18" customHeight="1">
      <c r="A125" s="498" t="s">
        <v>375</v>
      </c>
      <c r="B125" s="138" t="s">
        <v>376</v>
      </c>
      <c r="C125" s="330">
        <v>17705</v>
      </c>
      <c r="D125" s="319"/>
      <c r="E125" s="570">
        <v>36573</v>
      </c>
      <c r="F125" s="591">
        <v>36573</v>
      </c>
      <c r="G125" s="585">
        <v>12008.29</v>
      </c>
      <c r="H125" s="820">
        <f t="shared" ref="H125:H127" si="42">O125+G125</f>
        <v>16219.94</v>
      </c>
      <c r="I125" s="581">
        <v>2577.65</v>
      </c>
      <c r="J125" s="591">
        <v>1382.05</v>
      </c>
      <c r="K125" s="645">
        <f t="shared" si="40"/>
        <v>20353.059999999998</v>
      </c>
      <c r="L125" s="646">
        <f t="shared" si="41"/>
        <v>20353.059999999998</v>
      </c>
      <c r="M125" s="142">
        <f t="shared" si="36"/>
        <v>44.349492795231455</v>
      </c>
      <c r="O125" s="26">
        <v>4211.6499999999996</v>
      </c>
    </row>
    <row r="126" spans="1:20" ht="17.25" customHeight="1">
      <c r="A126" s="498" t="s">
        <v>377</v>
      </c>
      <c r="B126" s="138" t="s">
        <v>378</v>
      </c>
      <c r="C126" s="330">
        <v>18829</v>
      </c>
      <c r="D126" s="319"/>
      <c r="E126" s="570">
        <v>26029</v>
      </c>
      <c r="F126" s="591">
        <v>26029</v>
      </c>
      <c r="G126" s="581">
        <v>3553.74</v>
      </c>
      <c r="H126" s="820">
        <f>O126+G126</f>
        <v>6039.25</v>
      </c>
      <c r="I126" s="581">
        <v>2419.2600000000002</v>
      </c>
      <c r="J126" s="591">
        <v>704.13</v>
      </c>
      <c r="K126" s="645">
        <f t="shared" si="40"/>
        <v>19989.75</v>
      </c>
      <c r="L126" s="646">
        <f t="shared" si="41"/>
        <v>19989.75</v>
      </c>
      <c r="M126" s="142">
        <f t="shared" si="36"/>
        <v>23.202005455453534</v>
      </c>
      <c r="O126" s="629">
        <f>2514.3-28.79</f>
        <v>2485.5100000000002</v>
      </c>
    </row>
    <row r="127" spans="1:20" ht="17.25" customHeight="1">
      <c r="A127" s="498">
        <v>257</v>
      </c>
      <c r="B127" s="138" t="s">
        <v>379</v>
      </c>
      <c r="C127" s="330">
        <v>10882</v>
      </c>
      <c r="D127" s="319"/>
      <c r="E127" s="570">
        <v>17782</v>
      </c>
      <c r="F127" s="591">
        <v>17782</v>
      </c>
      <c r="G127" s="585">
        <v>1240.67</v>
      </c>
      <c r="H127" s="820">
        <f t="shared" si="42"/>
        <v>1240.67</v>
      </c>
      <c r="I127" s="581"/>
      <c r="J127" s="591"/>
      <c r="K127" s="645">
        <f t="shared" si="40"/>
        <v>16541.330000000002</v>
      </c>
      <c r="L127" s="646">
        <f t="shared" si="41"/>
        <v>16541.330000000002</v>
      </c>
      <c r="M127" s="142">
        <f t="shared" si="36"/>
        <v>6.977111685974581</v>
      </c>
      <c r="O127" s="26"/>
    </row>
    <row r="128" spans="1:20" ht="17.25" customHeight="1">
      <c r="A128" s="498" t="s">
        <v>380</v>
      </c>
      <c r="B128" s="138" t="s">
        <v>381</v>
      </c>
      <c r="C128" s="330">
        <v>6046</v>
      </c>
      <c r="D128" s="319"/>
      <c r="E128" s="570">
        <v>28041</v>
      </c>
      <c r="F128" s="591">
        <v>28041</v>
      </c>
      <c r="G128" s="581">
        <v>5777.75</v>
      </c>
      <c r="H128" s="820">
        <f>O128+G128</f>
        <v>6780.28</v>
      </c>
      <c r="I128" s="581">
        <v>1144.8399999999999</v>
      </c>
      <c r="J128" s="591">
        <v>321.17</v>
      </c>
      <c r="K128" s="645">
        <f t="shared" si="40"/>
        <v>21260.720000000001</v>
      </c>
      <c r="L128" s="646">
        <f t="shared" si="41"/>
        <v>21260.720000000001</v>
      </c>
      <c r="M128" s="142">
        <f t="shared" si="36"/>
        <v>24.179879462216039</v>
      </c>
      <c r="O128" s="627">
        <f>1020.19-17.66</f>
        <v>1002.5300000000001</v>
      </c>
      <c r="P128" t="s">
        <v>12</v>
      </c>
      <c r="Q128" t="s">
        <v>12</v>
      </c>
    </row>
    <row r="129" spans="1:16" ht="15" customHeight="1">
      <c r="A129" s="500" t="s">
        <v>382</v>
      </c>
      <c r="B129" s="136" t="s">
        <v>383</v>
      </c>
      <c r="C129" s="329">
        <f>SUM(C130:C134)</f>
        <v>125332</v>
      </c>
      <c r="D129" s="322"/>
      <c r="E129" s="569">
        <f>SUM(E130:E134)</f>
        <v>82680</v>
      </c>
      <c r="F129" s="592">
        <f>SUM(F130:F134)</f>
        <v>82680</v>
      </c>
      <c r="G129" s="580">
        <f>SUM(G130:G134)</f>
        <v>10304.65</v>
      </c>
      <c r="H129" s="615">
        <f>+O129+G129</f>
        <v>23802.739999999998</v>
      </c>
      <c r="I129" s="623">
        <f>SUM(I130:I134)</f>
        <v>9281.11</v>
      </c>
      <c r="J129" s="592">
        <f>SUM(J130:J134)</f>
        <v>2211.12</v>
      </c>
      <c r="K129" s="603">
        <f t="shared" si="40"/>
        <v>58877.26</v>
      </c>
      <c r="L129" s="588">
        <f t="shared" si="41"/>
        <v>58877.26</v>
      </c>
      <c r="M129" s="140">
        <f t="shared" si="36"/>
        <v>28.788993710691823</v>
      </c>
      <c r="O129" s="108">
        <f>O131+O132+O133+O134</f>
        <v>13498.09</v>
      </c>
    </row>
    <row r="130" spans="1:16" ht="13.5" customHeight="1">
      <c r="A130" s="498">
        <v>261</v>
      </c>
      <c r="B130" s="137" t="s">
        <v>384</v>
      </c>
      <c r="C130" s="330">
        <v>5564</v>
      </c>
      <c r="D130" s="319"/>
      <c r="E130" s="570">
        <v>739</v>
      </c>
      <c r="F130" s="593">
        <v>739</v>
      </c>
      <c r="G130" s="604"/>
      <c r="H130" s="614"/>
      <c r="I130" s="581"/>
      <c r="J130" s="591"/>
      <c r="K130" s="645">
        <f t="shared" si="40"/>
        <v>739</v>
      </c>
      <c r="L130" s="646">
        <f t="shared" si="41"/>
        <v>739</v>
      </c>
      <c r="M130" s="126">
        <f t="shared" si="36"/>
        <v>0</v>
      </c>
      <c r="O130" s="26"/>
    </row>
    <row r="131" spans="1:16" ht="13.5" customHeight="1">
      <c r="A131" s="498" t="s">
        <v>385</v>
      </c>
      <c r="B131" s="138" t="s">
        <v>386</v>
      </c>
      <c r="C131" s="330">
        <v>59615</v>
      </c>
      <c r="D131" s="319"/>
      <c r="E131" s="570">
        <v>16211</v>
      </c>
      <c r="F131" s="591">
        <v>16211</v>
      </c>
      <c r="G131" s="581">
        <v>2721.95</v>
      </c>
      <c r="H131" s="614">
        <f>O131+G131</f>
        <v>6677.78</v>
      </c>
      <c r="I131" s="581">
        <v>1311.16</v>
      </c>
      <c r="J131" s="591">
        <v>303.36</v>
      </c>
      <c r="K131" s="581">
        <f t="shared" si="40"/>
        <v>9533.2200000000012</v>
      </c>
      <c r="L131" s="591">
        <f t="shared" si="41"/>
        <v>9533.2200000000012</v>
      </c>
      <c r="M131" s="142">
        <f t="shared" si="36"/>
        <v>41.192893714144716</v>
      </c>
      <c r="O131" s="26">
        <v>3955.83</v>
      </c>
    </row>
    <row r="132" spans="1:16" ht="17.25" customHeight="1">
      <c r="A132" s="498">
        <v>263</v>
      </c>
      <c r="B132" s="138" t="s">
        <v>387</v>
      </c>
      <c r="C132" s="330">
        <v>15000</v>
      </c>
      <c r="D132" s="319"/>
      <c r="E132" s="570">
        <v>11300</v>
      </c>
      <c r="F132" s="591">
        <v>11300</v>
      </c>
      <c r="G132" s="604">
        <v>733.71</v>
      </c>
      <c r="H132" s="614">
        <f t="shared" ref="H132:H134" si="43">O132+G132</f>
        <v>1094.27</v>
      </c>
      <c r="I132" s="581">
        <v>200.28</v>
      </c>
      <c r="J132" s="591">
        <v>116.32</v>
      </c>
      <c r="K132" s="581">
        <f>+F132-H132</f>
        <v>10205.73</v>
      </c>
      <c r="L132" s="591">
        <f>+E132-H132</f>
        <v>10205.73</v>
      </c>
      <c r="M132" s="142">
        <f t="shared" si="36"/>
        <v>9.6838053097345131</v>
      </c>
      <c r="O132" s="26">
        <v>360.56</v>
      </c>
    </row>
    <row r="133" spans="1:16" ht="17.25" customHeight="1">
      <c r="A133" s="498" t="s">
        <v>388</v>
      </c>
      <c r="B133" s="143" t="s">
        <v>389</v>
      </c>
      <c r="C133" s="133">
        <v>20673</v>
      </c>
      <c r="D133" s="319"/>
      <c r="E133" s="570">
        <v>32420</v>
      </c>
      <c r="F133" s="593">
        <v>32420</v>
      </c>
      <c r="G133" s="604">
        <v>1423.76</v>
      </c>
      <c r="H133" s="614">
        <f t="shared" si="43"/>
        <v>4346.2700000000004</v>
      </c>
      <c r="I133" s="581">
        <v>1797.98</v>
      </c>
      <c r="J133" s="591">
        <v>901.45</v>
      </c>
      <c r="K133" s="581">
        <f>+F133-H133</f>
        <v>28073.73</v>
      </c>
      <c r="L133" s="591">
        <f>+E133-H133</f>
        <v>28073.73</v>
      </c>
      <c r="M133" s="142">
        <f t="shared" si="36"/>
        <v>13.406138186304752</v>
      </c>
      <c r="O133" s="26">
        <v>2922.51</v>
      </c>
      <c r="P133" t="s">
        <v>12</v>
      </c>
    </row>
    <row r="134" spans="1:16" ht="15.75" customHeight="1">
      <c r="A134" s="498" t="s">
        <v>390</v>
      </c>
      <c r="B134" s="143" t="s">
        <v>391</v>
      </c>
      <c r="C134" s="133">
        <v>24480</v>
      </c>
      <c r="D134" s="319"/>
      <c r="E134" s="570">
        <v>22010</v>
      </c>
      <c r="F134" s="593">
        <v>22010</v>
      </c>
      <c r="G134" s="581">
        <v>5425.23</v>
      </c>
      <c r="H134" s="614">
        <f t="shared" si="43"/>
        <v>11684.419999999998</v>
      </c>
      <c r="I134" s="581">
        <v>5971.69</v>
      </c>
      <c r="J134" s="591">
        <v>889.99</v>
      </c>
      <c r="K134" s="581">
        <f>+F134-H134</f>
        <v>10325.580000000002</v>
      </c>
      <c r="L134" s="591">
        <f>+E134-H134</f>
        <v>10325.580000000002</v>
      </c>
      <c r="M134" s="142">
        <f t="shared" si="36"/>
        <v>53.086869604725116</v>
      </c>
      <c r="O134" s="26">
        <v>6259.19</v>
      </c>
    </row>
    <row r="135" spans="1:16" ht="20.25" customHeight="1">
      <c r="A135" s="500" t="s">
        <v>392</v>
      </c>
      <c r="B135" s="144" t="s">
        <v>393</v>
      </c>
      <c r="C135" s="500">
        <f>SUM(C136:C143)</f>
        <v>194139</v>
      </c>
      <c r="D135" s="322"/>
      <c r="E135" s="569">
        <f>SUM(E136:E143)</f>
        <v>205181</v>
      </c>
      <c r="F135" s="592">
        <f>SUM(F136:F143)</f>
        <v>185482</v>
      </c>
      <c r="G135" s="592">
        <f>SUM(G136:G143)</f>
        <v>19196.650000000001</v>
      </c>
      <c r="H135" s="616">
        <f>+O135+G135</f>
        <v>37383.990000000005</v>
      </c>
      <c r="I135" s="592">
        <f>SUM(I136:I143)</f>
        <v>30838.600000000002</v>
      </c>
      <c r="J135" s="592">
        <f>SUM(J136:J143)</f>
        <v>8770.2800000000007</v>
      </c>
      <c r="K135" s="603">
        <f>+F135-H135</f>
        <v>148098.01</v>
      </c>
      <c r="L135" s="588">
        <f>+E135-H135</f>
        <v>167797.01</v>
      </c>
      <c r="M135" s="140">
        <f t="shared" si="36"/>
        <v>20.155050085722607</v>
      </c>
      <c r="N135" s="6"/>
      <c r="O135" s="108">
        <f>O136+O137+O138+O139+O140+O143</f>
        <v>18187.34</v>
      </c>
    </row>
    <row r="136" spans="1:16" ht="12.75" customHeight="1">
      <c r="A136" s="498" t="s">
        <v>394</v>
      </c>
      <c r="B136" s="143" t="s">
        <v>395</v>
      </c>
      <c r="C136" s="133">
        <v>9547</v>
      </c>
      <c r="D136" s="319"/>
      <c r="E136" s="570">
        <v>61422</v>
      </c>
      <c r="F136" s="589">
        <v>61422</v>
      </c>
      <c r="G136" s="604">
        <v>886.76</v>
      </c>
      <c r="H136" s="614">
        <f>O136+G136</f>
        <v>6918.13</v>
      </c>
      <c r="I136" s="581">
        <v>6293.25</v>
      </c>
      <c r="J136" s="591">
        <v>5690.06</v>
      </c>
      <c r="K136" s="645">
        <f t="shared" ref="K136:K144" si="44">+F136-H136</f>
        <v>54503.87</v>
      </c>
      <c r="L136" s="646">
        <f t="shared" ref="L136:L144" si="45">+E136-H136</f>
        <v>54503.87</v>
      </c>
      <c r="M136" s="142">
        <f t="shared" si="36"/>
        <v>11.263277001725767</v>
      </c>
      <c r="O136" s="26">
        <v>6031.37</v>
      </c>
    </row>
    <row r="137" spans="1:16" ht="16.5" customHeight="1">
      <c r="A137" s="498" t="s">
        <v>396</v>
      </c>
      <c r="B137" s="138" t="s">
        <v>397</v>
      </c>
      <c r="C137" s="330">
        <v>797</v>
      </c>
      <c r="D137" s="319"/>
      <c r="E137" s="570">
        <v>9197</v>
      </c>
      <c r="F137" s="593">
        <v>9197</v>
      </c>
      <c r="G137" s="604"/>
      <c r="H137" s="614">
        <f t="shared" ref="H137:H143" si="46">O137+G137</f>
        <v>513.6</v>
      </c>
      <c r="I137" s="581">
        <v>513.6</v>
      </c>
      <c r="J137" s="591">
        <v>513.6</v>
      </c>
      <c r="K137" s="645">
        <f t="shared" si="44"/>
        <v>8683.4</v>
      </c>
      <c r="L137" s="646">
        <f t="shared" si="45"/>
        <v>8683.4</v>
      </c>
      <c r="M137" s="142">
        <f t="shared" si="36"/>
        <v>5.5844297053386978</v>
      </c>
      <c r="O137" s="26">
        <v>513.6</v>
      </c>
    </row>
    <row r="138" spans="1:16" ht="13.5" customHeight="1">
      <c r="A138" s="498" t="s">
        <v>398</v>
      </c>
      <c r="B138" s="138" t="s">
        <v>598</v>
      </c>
      <c r="C138" s="330">
        <v>12152</v>
      </c>
      <c r="D138" s="319"/>
      <c r="E138" s="570">
        <v>35207</v>
      </c>
      <c r="F138" s="593">
        <v>35207</v>
      </c>
      <c r="G138" s="604">
        <v>4498.0200000000004</v>
      </c>
      <c r="H138" s="614">
        <f t="shared" si="46"/>
        <v>8676.3700000000008</v>
      </c>
      <c r="I138" s="581">
        <v>5935.01</v>
      </c>
      <c r="J138" s="591">
        <v>65.78</v>
      </c>
      <c r="K138" s="645">
        <f t="shared" si="44"/>
        <v>26530.629999999997</v>
      </c>
      <c r="L138" s="646">
        <f t="shared" si="45"/>
        <v>26530.629999999997</v>
      </c>
      <c r="M138" s="142">
        <f t="shared" si="36"/>
        <v>24.643877637969727</v>
      </c>
      <c r="O138" s="26">
        <v>4178.3500000000004</v>
      </c>
    </row>
    <row r="139" spans="1:16" ht="16.5" customHeight="1">
      <c r="A139" s="498" t="s">
        <v>399</v>
      </c>
      <c r="B139" s="138" t="s">
        <v>400</v>
      </c>
      <c r="C139" s="330">
        <v>50000</v>
      </c>
      <c r="D139" s="319"/>
      <c r="E139" s="570">
        <v>48972</v>
      </c>
      <c r="F139" s="593">
        <v>48972</v>
      </c>
      <c r="G139" s="604">
        <v>11361.59</v>
      </c>
      <c r="H139" s="614">
        <f t="shared" si="46"/>
        <v>13478.380000000001</v>
      </c>
      <c r="I139" s="581">
        <v>11764.19</v>
      </c>
      <c r="J139" s="591">
        <v>833.86</v>
      </c>
      <c r="K139" s="645">
        <f t="shared" si="44"/>
        <v>35493.619999999995</v>
      </c>
      <c r="L139" s="646">
        <f t="shared" si="45"/>
        <v>35493.619999999995</v>
      </c>
      <c r="M139" s="142">
        <f t="shared" si="36"/>
        <v>27.522625173568571</v>
      </c>
      <c r="O139" s="26">
        <v>2116.79</v>
      </c>
    </row>
    <row r="140" spans="1:16" ht="12.75" customHeight="1">
      <c r="A140" s="498" t="s">
        <v>401</v>
      </c>
      <c r="B140" s="138" t="s">
        <v>599</v>
      </c>
      <c r="C140" s="330">
        <v>91203</v>
      </c>
      <c r="D140" s="319"/>
      <c r="E140" s="570">
        <v>33903</v>
      </c>
      <c r="F140" s="593">
        <v>14698</v>
      </c>
      <c r="G140" s="604">
        <v>1419.82</v>
      </c>
      <c r="H140" s="614">
        <f t="shared" si="46"/>
        <v>5512.71</v>
      </c>
      <c r="I140" s="581">
        <v>5084.71</v>
      </c>
      <c r="J140" s="591">
        <v>746.29</v>
      </c>
      <c r="K140" s="645">
        <f t="shared" si="44"/>
        <v>9185.2900000000009</v>
      </c>
      <c r="L140" s="646">
        <f t="shared" si="45"/>
        <v>28390.29</v>
      </c>
      <c r="M140" s="142">
        <f t="shared" si="36"/>
        <v>37.506531500884471</v>
      </c>
      <c r="O140" s="26">
        <v>4092.89</v>
      </c>
    </row>
    <row r="141" spans="1:16" ht="15" customHeight="1">
      <c r="A141" s="498">
        <v>277</v>
      </c>
      <c r="B141" s="138" t="s">
        <v>402</v>
      </c>
      <c r="C141" s="330"/>
      <c r="D141" s="319"/>
      <c r="E141" s="570">
        <v>400</v>
      </c>
      <c r="F141" s="593">
        <v>400</v>
      </c>
      <c r="G141" s="604"/>
      <c r="H141" s="614">
        <f t="shared" si="46"/>
        <v>0</v>
      </c>
      <c r="I141" s="581"/>
      <c r="J141" s="591"/>
      <c r="K141" s="645">
        <f t="shared" si="44"/>
        <v>400</v>
      </c>
      <c r="L141" s="646">
        <f t="shared" si="45"/>
        <v>400</v>
      </c>
      <c r="M141" s="142">
        <f t="shared" si="36"/>
        <v>0</v>
      </c>
      <c r="O141" s="26">
        <v>0</v>
      </c>
    </row>
    <row r="142" spans="1:16" ht="15" customHeight="1">
      <c r="A142" s="498">
        <v>278</v>
      </c>
      <c r="B142" s="138" t="s">
        <v>403</v>
      </c>
      <c r="C142" s="330"/>
      <c r="D142" s="319"/>
      <c r="E142" s="570">
        <v>500</v>
      </c>
      <c r="F142" s="593">
        <v>500</v>
      </c>
      <c r="G142" s="604"/>
      <c r="H142" s="614"/>
      <c r="I142" s="581"/>
      <c r="J142" s="591"/>
      <c r="K142" s="645">
        <f t="shared" si="44"/>
        <v>500</v>
      </c>
      <c r="L142" s="646">
        <f t="shared" si="45"/>
        <v>500</v>
      </c>
      <c r="M142" s="142">
        <f t="shared" si="36"/>
        <v>0</v>
      </c>
      <c r="O142" s="26"/>
    </row>
    <row r="143" spans="1:16" ht="15" customHeight="1">
      <c r="A143" s="498" t="s">
        <v>404</v>
      </c>
      <c r="B143" s="138" t="s">
        <v>405</v>
      </c>
      <c r="C143" s="330">
        <v>30440</v>
      </c>
      <c r="D143" s="319"/>
      <c r="E143" s="570">
        <v>15580</v>
      </c>
      <c r="F143" s="593">
        <v>15086</v>
      </c>
      <c r="G143" s="604">
        <v>1030.46</v>
      </c>
      <c r="H143" s="614">
        <f t="shared" si="46"/>
        <v>2284.8000000000002</v>
      </c>
      <c r="I143" s="581">
        <v>1247.8399999999999</v>
      </c>
      <c r="J143" s="591">
        <v>920.69</v>
      </c>
      <c r="K143" s="645">
        <f t="shared" si="44"/>
        <v>12801.2</v>
      </c>
      <c r="L143" s="646">
        <f t="shared" si="45"/>
        <v>13295.2</v>
      </c>
      <c r="M143" s="142">
        <f t="shared" ref="M143:M182" si="47">+H143*100/F143</f>
        <v>15.145167705157101</v>
      </c>
      <c r="O143" s="26">
        <v>1254.3399999999999</v>
      </c>
    </row>
    <row r="144" spans="1:16" ht="15" customHeight="1">
      <c r="A144" s="500" t="s">
        <v>406</v>
      </c>
      <c r="B144" s="136" t="s">
        <v>407</v>
      </c>
      <c r="C144" s="329">
        <v>98355</v>
      </c>
      <c r="D144" s="322"/>
      <c r="E144" s="573">
        <v>66684</v>
      </c>
      <c r="F144" s="594">
        <v>66684</v>
      </c>
      <c r="G144" s="605">
        <v>7162.41</v>
      </c>
      <c r="H144" s="615">
        <v>44580.3</v>
      </c>
      <c r="I144" s="603">
        <v>36887.46</v>
      </c>
      <c r="J144" s="588">
        <v>7649.32</v>
      </c>
      <c r="K144" s="603">
        <f t="shared" si="44"/>
        <v>22103.699999999997</v>
      </c>
      <c r="L144" s="588">
        <f t="shared" si="45"/>
        <v>22103.699999999997</v>
      </c>
      <c r="M144" s="140">
        <f t="shared" si="47"/>
        <v>66.853068202267409</v>
      </c>
      <c r="O144" s="108">
        <v>37104.89</v>
      </c>
    </row>
    <row r="145" spans="1:17" ht="15" customHeight="1">
      <c r="A145" s="497">
        <v>290</v>
      </c>
      <c r="B145" s="145" t="s">
        <v>408</v>
      </c>
      <c r="C145" s="332">
        <f>SUM(C146:C153)</f>
        <v>0</v>
      </c>
      <c r="D145" s="318"/>
      <c r="E145" s="574">
        <f>SUM(E146:E154)</f>
        <v>223925</v>
      </c>
      <c r="F145" s="574">
        <f>SUM(F146:F154)</f>
        <v>223925</v>
      </c>
      <c r="G145" s="606">
        <f>SUM(G146:G154)</f>
        <v>35002.891000000003</v>
      </c>
      <c r="H145" s="615">
        <f>H146+H147+H148+H149+H150+H151+H152+H153+H154</f>
        <v>135119.90100000001</v>
      </c>
      <c r="I145" s="603">
        <f>SUM(I146:I154)</f>
        <v>53411.47</v>
      </c>
      <c r="J145" s="606">
        <f>SUM(J146:J154)</f>
        <v>50297.919999999998</v>
      </c>
      <c r="K145" s="580">
        <f>+F145-H145</f>
        <v>88805.098999999987</v>
      </c>
      <c r="L145" s="606">
        <f>+E145-H145</f>
        <v>88805.098999999987</v>
      </c>
      <c r="M145" s="140">
        <f t="shared" si="47"/>
        <v>60.341588031707055</v>
      </c>
      <c r="N145">
        <v>0</v>
      </c>
      <c r="O145" s="108">
        <f>SUM(O146:O154)</f>
        <v>100117.01</v>
      </c>
      <c r="P145" s="26" t="s">
        <v>12</v>
      </c>
    </row>
    <row r="146" spans="1:17" ht="15" customHeight="1">
      <c r="A146" s="498">
        <v>291</v>
      </c>
      <c r="B146" s="146" t="s">
        <v>409</v>
      </c>
      <c r="C146" s="332"/>
      <c r="D146" s="318"/>
      <c r="E146" s="575">
        <v>7240</v>
      </c>
      <c r="F146" s="595">
        <v>7240</v>
      </c>
      <c r="G146" s="595">
        <v>2148</v>
      </c>
      <c r="H146" s="635">
        <f>O146+G146</f>
        <v>3572.5</v>
      </c>
      <c r="I146" s="581">
        <v>3332.5</v>
      </c>
      <c r="J146" s="595">
        <v>3062.5</v>
      </c>
      <c r="K146" s="581">
        <f t="shared" ref="K146:K153" si="48">+F146-H146</f>
        <v>3667.5</v>
      </c>
      <c r="L146" s="595">
        <f t="shared" ref="L146:L153" si="49">+E146-H146</f>
        <v>3667.5</v>
      </c>
      <c r="M146" s="142">
        <f t="shared" si="47"/>
        <v>49.343922651933703</v>
      </c>
      <c r="O146" s="26">
        <v>1424.5</v>
      </c>
    </row>
    <row r="147" spans="1:17" ht="15" customHeight="1">
      <c r="A147" s="499">
        <v>292</v>
      </c>
      <c r="B147" s="146" t="s">
        <v>410</v>
      </c>
      <c r="C147" s="333"/>
      <c r="D147" s="321"/>
      <c r="E147" s="575">
        <v>950</v>
      </c>
      <c r="F147" s="595">
        <v>950</v>
      </c>
      <c r="G147" s="595"/>
      <c r="H147" s="635">
        <f>O147+G147</f>
        <v>249.1</v>
      </c>
      <c r="I147" s="581"/>
      <c r="J147" s="595"/>
      <c r="K147" s="581">
        <f t="shared" si="48"/>
        <v>700.9</v>
      </c>
      <c r="L147" s="595">
        <f t="shared" si="49"/>
        <v>700.9</v>
      </c>
      <c r="M147" s="142">
        <f t="shared" si="47"/>
        <v>26.221052631578946</v>
      </c>
      <c r="O147" s="26">
        <v>249.1</v>
      </c>
      <c r="P147" t="s">
        <v>12</v>
      </c>
    </row>
    <row r="148" spans="1:17" ht="14.25" customHeight="1">
      <c r="A148" s="498">
        <v>293</v>
      </c>
      <c r="B148" s="146" t="s">
        <v>411</v>
      </c>
      <c r="C148" s="334"/>
      <c r="D148" s="319"/>
      <c r="E148" s="575">
        <v>100550</v>
      </c>
      <c r="F148" s="595">
        <v>100550</v>
      </c>
      <c r="G148" s="595">
        <v>14117.821</v>
      </c>
      <c r="H148" s="635">
        <f>O148+G148</f>
        <v>22709.881000000001</v>
      </c>
      <c r="I148" s="581">
        <v>8015.08</v>
      </c>
      <c r="J148" s="595"/>
      <c r="K148" s="581">
        <f t="shared" si="48"/>
        <v>77840.119000000006</v>
      </c>
      <c r="L148" s="595">
        <f t="shared" si="49"/>
        <v>77840.119000000006</v>
      </c>
      <c r="M148" s="142">
        <f t="shared" si="47"/>
        <v>22.58565987071109</v>
      </c>
      <c r="O148" s="26">
        <v>8592.06</v>
      </c>
    </row>
    <row r="149" spans="1:17" ht="15" customHeight="1">
      <c r="A149" s="498">
        <v>294</v>
      </c>
      <c r="B149" s="146" t="s">
        <v>412</v>
      </c>
      <c r="C149" s="334"/>
      <c r="D149" s="319"/>
      <c r="E149" s="575">
        <v>110</v>
      </c>
      <c r="F149" s="595">
        <v>110</v>
      </c>
      <c r="G149" s="595"/>
      <c r="H149" s="635">
        <f t="shared" ref="H149:H154" si="50">O149+G149</f>
        <v>102.45</v>
      </c>
      <c r="I149" s="581"/>
      <c r="J149" s="595"/>
      <c r="K149" s="581">
        <f t="shared" si="48"/>
        <v>7.5499999999999972</v>
      </c>
      <c r="L149" s="595">
        <f t="shared" si="49"/>
        <v>7.5499999999999972</v>
      </c>
      <c r="M149" s="142">
        <f t="shared" si="47"/>
        <v>93.13636363636364</v>
      </c>
      <c r="O149" s="26">
        <v>102.45</v>
      </c>
    </row>
    <row r="150" spans="1:17" ht="15" customHeight="1">
      <c r="A150" s="498">
        <v>295</v>
      </c>
      <c r="B150" s="147" t="s">
        <v>413</v>
      </c>
      <c r="C150" s="332"/>
      <c r="D150" s="318"/>
      <c r="E150" s="575">
        <v>800</v>
      </c>
      <c r="F150" s="595">
        <v>800</v>
      </c>
      <c r="G150" s="595"/>
      <c r="H150" s="635">
        <f t="shared" si="50"/>
        <v>798.22</v>
      </c>
      <c r="I150" s="581">
        <v>224.7</v>
      </c>
      <c r="J150" s="595">
        <v>584.22</v>
      </c>
      <c r="K150" s="581">
        <f t="shared" si="48"/>
        <v>1.7799999999999727</v>
      </c>
      <c r="L150" s="595">
        <f t="shared" si="49"/>
        <v>1.7799999999999727</v>
      </c>
      <c r="M150" s="142">
        <f t="shared" si="47"/>
        <v>99.777500000000003</v>
      </c>
      <c r="O150" s="26">
        <v>798.22</v>
      </c>
    </row>
    <row r="151" spans="1:17" ht="15" customHeight="1">
      <c r="A151" s="498">
        <v>296</v>
      </c>
      <c r="B151" s="146" t="s">
        <v>414</v>
      </c>
      <c r="C151" s="334"/>
      <c r="D151" s="319"/>
      <c r="E151" s="575">
        <v>7770</v>
      </c>
      <c r="F151" s="595">
        <v>7770</v>
      </c>
      <c r="G151" s="595">
        <v>1759.38</v>
      </c>
      <c r="H151" s="635">
        <f t="shared" si="50"/>
        <v>7751.93</v>
      </c>
      <c r="I151" s="581">
        <v>154.38</v>
      </c>
      <c r="J151" s="595">
        <v>2135.61</v>
      </c>
      <c r="K151" s="581">
        <f t="shared" si="48"/>
        <v>18.069999999999709</v>
      </c>
      <c r="L151" s="595">
        <f t="shared" si="49"/>
        <v>18.069999999999709</v>
      </c>
      <c r="M151" s="142">
        <f t="shared" si="47"/>
        <v>99.767438867438869</v>
      </c>
      <c r="O151" s="26">
        <v>5992.55</v>
      </c>
    </row>
    <row r="152" spans="1:17" ht="15" customHeight="1">
      <c r="A152" s="498">
        <v>297</v>
      </c>
      <c r="B152" s="147" t="s">
        <v>415</v>
      </c>
      <c r="C152" s="332"/>
      <c r="D152" s="318"/>
      <c r="E152" s="575">
        <v>22000</v>
      </c>
      <c r="F152" s="595">
        <v>22000</v>
      </c>
      <c r="G152" s="595"/>
      <c r="H152" s="635">
        <f t="shared" si="50"/>
        <v>21355.06</v>
      </c>
      <c r="I152" s="581">
        <v>278.2</v>
      </c>
      <c r="J152" s="595">
        <v>19345.599999999999</v>
      </c>
      <c r="K152" s="581">
        <f t="shared" si="48"/>
        <v>644.93999999999869</v>
      </c>
      <c r="L152" s="595">
        <f t="shared" si="49"/>
        <v>644.93999999999869</v>
      </c>
      <c r="M152" s="142">
        <f t="shared" si="47"/>
        <v>97.068454545454543</v>
      </c>
      <c r="O152" s="26">
        <v>21355.06</v>
      </c>
    </row>
    <row r="153" spans="1:17" ht="14.25" customHeight="1">
      <c r="A153" s="498">
        <v>298</v>
      </c>
      <c r="B153" s="147" t="s">
        <v>416</v>
      </c>
      <c r="C153" s="332"/>
      <c r="D153" s="318"/>
      <c r="E153" s="575">
        <v>42600</v>
      </c>
      <c r="F153" s="595">
        <v>42600</v>
      </c>
      <c r="G153" s="595">
        <v>1177</v>
      </c>
      <c r="H153" s="635">
        <f t="shared" si="50"/>
        <v>39719.4</v>
      </c>
      <c r="I153" s="581">
        <v>3290.25</v>
      </c>
      <c r="J153" s="595">
        <v>9369.2999999999993</v>
      </c>
      <c r="K153" s="581">
        <f t="shared" si="48"/>
        <v>2880.5999999999985</v>
      </c>
      <c r="L153" s="595">
        <f t="shared" si="49"/>
        <v>2880.5999999999985</v>
      </c>
      <c r="M153" s="142">
        <f t="shared" si="47"/>
        <v>93.238028169014086</v>
      </c>
      <c r="O153" s="26">
        <v>38542.400000000001</v>
      </c>
    </row>
    <row r="154" spans="1:17" ht="15.75" customHeight="1">
      <c r="A154" s="498">
        <v>299</v>
      </c>
      <c r="B154" s="147" t="s">
        <v>417</v>
      </c>
      <c r="C154" s="332"/>
      <c r="D154" s="318"/>
      <c r="E154" s="575">
        <v>41905</v>
      </c>
      <c r="F154" s="595">
        <v>41905</v>
      </c>
      <c r="G154" s="595">
        <v>15800.69</v>
      </c>
      <c r="H154" s="635">
        <f t="shared" si="50"/>
        <v>38861.360000000001</v>
      </c>
      <c r="I154" s="581">
        <v>38116.36</v>
      </c>
      <c r="J154" s="595">
        <v>15800.69</v>
      </c>
      <c r="K154" s="581">
        <f t="shared" ref="K154:K163" si="51">+F154-H154</f>
        <v>3043.6399999999994</v>
      </c>
      <c r="L154" s="595">
        <f t="shared" ref="L154:L163" si="52">+E154-H154</f>
        <v>3043.6399999999994</v>
      </c>
      <c r="M154" s="142">
        <f t="shared" si="47"/>
        <v>92.736809449946307</v>
      </c>
      <c r="O154" s="26">
        <v>23060.67</v>
      </c>
    </row>
    <row r="155" spans="1:17" ht="18.75" customHeight="1">
      <c r="A155" s="507">
        <v>4</v>
      </c>
      <c r="B155" s="506" t="s">
        <v>418</v>
      </c>
      <c r="C155" s="504">
        <f>SUM(C156)</f>
        <v>2318000</v>
      </c>
      <c r="D155" s="505"/>
      <c r="E155" s="568">
        <f t="shared" ref="E155:J155" si="53">+E156+E158</f>
        <v>2298700</v>
      </c>
      <c r="F155" s="596">
        <f t="shared" si="53"/>
        <v>1469700</v>
      </c>
      <c r="G155" s="596">
        <f t="shared" si="53"/>
        <v>520591.63</v>
      </c>
      <c r="H155" s="596">
        <f t="shared" si="53"/>
        <v>874749.69</v>
      </c>
      <c r="I155" s="568">
        <f t="shared" si="53"/>
        <v>224169.8</v>
      </c>
      <c r="J155" s="583">
        <f t="shared" si="53"/>
        <v>106303.86</v>
      </c>
      <c r="K155" s="644">
        <f t="shared" si="51"/>
        <v>594950.31000000006</v>
      </c>
      <c r="L155" s="596">
        <f t="shared" si="52"/>
        <v>1423950.31</v>
      </c>
      <c r="M155" s="509">
        <f t="shared" si="47"/>
        <v>59.518928352725048</v>
      </c>
      <c r="O155" s="108">
        <f>O156+O158</f>
        <v>354158.06</v>
      </c>
      <c r="P155" t="s">
        <v>12</v>
      </c>
      <c r="Q155" s="1" t="s">
        <v>12</v>
      </c>
    </row>
    <row r="156" spans="1:17" ht="15" customHeight="1">
      <c r="A156" s="497">
        <v>430</v>
      </c>
      <c r="B156" s="139" t="s">
        <v>419</v>
      </c>
      <c r="C156" s="331">
        <f>SUM(C157)</f>
        <v>2318000</v>
      </c>
      <c r="D156" s="318"/>
      <c r="E156" s="571">
        <f>E157</f>
        <v>2211600</v>
      </c>
      <c r="F156" s="597">
        <f>+F157</f>
        <v>1382600</v>
      </c>
      <c r="G156" s="597">
        <f>+G157</f>
        <v>500540.55</v>
      </c>
      <c r="H156" s="650">
        <f>H157</f>
        <v>825796</v>
      </c>
      <c r="I156" s="580">
        <f>+I157</f>
        <v>223297.99</v>
      </c>
      <c r="J156" s="608">
        <f>SUM(J157)</f>
        <v>63724.98</v>
      </c>
      <c r="K156" s="580">
        <f t="shared" si="51"/>
        <v>556804</v>
      </c>
      <c r="L156" s="608">
        <f t="shared" si="52"/>
        <v>1385804</v>
      </c>
      <c r="M156" s="150">
        <f t="shared" si="47"/>
        <v>59.727759294083612</v>
      </c>
      <c r="O156" s="108">
        <f>O157</f>
        <v>325255.45</v>
      </c>
    </row>
    <row r="157" spans="1:17" ht="13.5" customHeight="1">
      <c r="A157" s="498">
        <v>439</v>
      </c>
      <c r="B157" s="137" t="s">
        <v>420</v>
      </c>
      <c r="C157" s="330">
        <v>2318000</v>
      </c>
      <c r="D157" s="319"/>
      <c r="E157" s="570">
        <v>2211600</v>
      </c>
      <c r="F157" s="598">
        <v>1382600</v>
      </c>
      <c r="G157" s="607">
        <v>500540.55</v>
      </c>
      <c r="H157" s="614">
        <f>O157+G157</f>
        <v>825796</v>
      </c>
      <c r="I157" s="581">
        <v>223297.99</v>
      </c>
      <c r="J157" s="591">
        <v>63724.98</v>
      </c>
      <c r="K157" s="581">
        <f t="shared" si="51"/>
        <v>556804</v>
      </c>
      <c r="L157" s="591">
        <f t="shared" si="52"/>
        <v>1385804</v>
      </c>
      <c r="M157" s="142">
        <f t="shared" si="47"/>
        <v>59.727759294083612</v>
      </c>
      <c r="O157" s="26">
        <f>325255+0.45</f>
        <v>325255.45</v>
      </c>
    </row>
    <row r="158" spans="1:17" ht="16.5" customHeight="1">
      <c r="A158" s="497">
        <v>490</v>
      </c>
      <c r="B158" s="139" t="s">
        <v>421</v>
      </c>
      <c r="C158" s="330">
        <f>SUM(C159)</f>
        <v>0</v>
      </c>
      <c r="D158" s="319"/>
      <c r="E158" s="571">
        <f>+E159</f>
        <v>87100</v>
      </c>
      <c r="F158" s="597">
        <f>+F159</f>
        <v>87100</v>
      </c>
      <c r="G158" s="597">
        <f>+G159</f>
        <v>20051.080000000002</v>
      </c>
      <c r="H158" s="630">
        <f>+H159</f>
        <v>48953.69</v>
      </c>
      <c r="I158" s="580">
        <f>I159</f>
        <v>871.81</v>
      </c>
      <c r="J158" s="608">
        <f>J159</f>
        <v>42578.879999999997</v>
      </c>
      <c r="K158" s="580">
        <f t="shared" si="51"/>
        <v>38146.31</v>
      </c>
      <c r="L158" s="608">
        <f t="shared" si="52"/>
        <v>38146.31</v>
      </c>
      <c r="M158" s="142">
        <f t="shared" si="47"/>
        <v>56.204006888633756</v>
      </c>
      <c r="O158" s="108">
        <f>O159</f>
        <v>28902.61</v>
      </c>
    </row>
    <row r="159" spans="1:17" ht="13.5" customHeight="1">
      <c r="A159" s="498">
        <v>494</v>
      </c>
      <c r="B159" s="137" t="s">
        <v>422</v>
      </c>
      <c r="C159" s="330"/>
      <c r="D159" s="319"/>
      <c r="E159" s="570">
        <v>87100</v>
      </c>
      <c r="F159" s="585">
        <v>87100</v>
      </c>
      <c r="G159" s="607">
        <v>20051.080000000002</v>
      </c>
      <c r="H159" s="632">
        <f>O159+G159</f>
        <v>48953.69</v>
      </c>
      <c r="I159" s="581">
        <v>871.81</v>
      </c>
      <c r="J159" s="591">
        <v>42578.879999999997</v>
      </c>
      <c r="K159" s="581">
        <f t="shared" si="51"/>
        <v>38146.31</v>
      </c>
      <c r="L159" s="591">
        <f t="shared" si="52"/>
        <v>38146.31</v>
      </c>
      <c r="M159" s="142">
        <f t="shared" si="47"/>
        <v>56.204006888633756</v>
      </c>
      <c r="O159" s="26">
        <v>28902.61</v>
      </c>
    </row>
    <row r="160" spans="1:17" ht="15.75" customHeight="1">
      <c r="A160" s="507" t="s">
        <v>423</v>
      </c>
      <c r="B160" s="503" t="s">
        <v>424</v>
      </c>
      <c r="C160" s="504">
        <f>C161+C163+C170+C176+C180+C174</f>
        <v>1666238</v>
      </c>
      <c r="D160" s="505"/>
      <c r="E160" s="568">
        <f>+E161+E163+E170+E174+E176+E180</f>
        <v>1342488</v>
      </c>
      <c r="F160" s="583">
        <f>F161+F163+F170+F176+F180</f>
        <v>971053</v>
      </c>
      <c r="G160" s="583">
        <f>G161+G163+G170+G176+G180+G174</f>
        <v>564160.43000000005</v>
      </c>
      <c r="H160" s="619">
        <f>H161+H163+H170+H176+H180</f>
        <v>621668.80000000005</v>
      </c>
      <c r="I160" s="583">
        <f>I161+I163+I170+I176+I180+I174</f>
        <v>568639.67000000004</v>
      </c>
      <c r="J160" s="583">
        <f>J161+J163+J170+J176+J180+J174</f>
        <v>568639.67000000004</v>
      </c>
      <c r="K160" s="647">
        <f t="shared" si="51"/>
        <v>349384.19999999995</v>
      </c>
      <c r="L160" s="583">
        <f t="shared" si="52"/>
        <v>720819.19999999995</v>
      </c>
      <c r="M160" s="508">
        <f t="shared" si="47"/>
        <v>64.020068935475209</v>
      </c>
      <c r="O160" s="626">
        <f>O161+O170+O176</f>
        <v>57508.369999999995</v>
      </c>
      <c r="P160" t="s">
        <v>12</v>
      </c>
      <c r="Q160" s="1" t="s">
        <v>12</v>
      </c>
    </row>
    <row r="161" spans="1:18">
      <c r="A161" s="497" t="s">
        <v>425</v>
      </c>
      <c r="B161" s="148" t="s">
        <v>426</v>
      </c>
      <c r="C161" s="331">
        <f>SUM(C162)</f>
        <v>118164</v>
      </c>
      <c r="D161" s="318"/>
      <c r="E161" s="571">
        <f>SUM(E162)</f>
        <v>118164</v>
      </c>
      <c r="F161" s="597">
        <f>F162</f>
        <v>29541</v>
      </c>
      <c r="G161" s="597">
        <f>G162</f>
        <v>3373.87</v>
      </c>
      <c r="H161" s="630">
        <f>SUM(H162)</f>
        <v>10121.61</v>
      </c>
      <c r="I161" s="608">
        <f>+I162</f>
        <v>10121.61</v>
      </c>
      <c r="J161" s="597">
        <f>+J162</f>
        <v>10121.61</v>
      </c>
      <c r="K161" s="34">
        <f t="shared" si="51"/>
        <v>19419.39</v>
      </c>
      <c r="L161" s="586">
        <f t="shared" si="52"/>
        <v>108042.39</v>
      </c>
      <c r="M161" s="150">
        <f t="shared" si="47"/>
        <v>34.262922717578959</v>
      </c>
      <c r="O161" s="108">
        <f>O162</f>
        <v>6747.74</v>
      </c>
    </row>
    <row r="162" spans="1:18" ht="13.5" customHeight="1">
      <c r="A162" s="498" t="s">
        <v>427</v>
      </c>
      <c r="B162" s="138" t="s">
        <v>428</v>
      </c>
      <c r="C162" s="330">
        <v>118164</v>
      </c>
      <c r="D162" s="319"/>
      <c r="E162" s="570">
        <v>118164</v>
      </c>
      <c r="F162" s="585">
        <v>29541</v>
      </c>
      <c r="G162" s="607">
        <v>3373.87</v>
      </c>
      <c r="H162" s="614">
        <f>O162+G162</f>
        <v>10121.61</v>
      </c>
      <c r="I162" s="581">
        <v>10121.61</v>
      </c>
      <c r="J162" s="591">
        <v>10121.61</v>
      </c>
      <c r="K162" s="581">
        <f t="shared" si="51"/>
        <v>19419.39</v>
      </c>
      <c r="L162" s="591">
        <f t="shared" si="52"/>
        <v>108042.39</v>
      </c>
      <c r="M162" s="142">
        <f t="shared" si="47"/>
        <v>34.262922717578959</v>
      </c>
      <c r="O162" s="26">
        <v>6747.74</v>
      </c>
      <c r="P162" t="s">
        <v>12</v>
      </c>
      <c r="Q162" t="s">
        <v>12</v>
      </c>
    </row>
    <row r="163" spans="1:18">
      <c r="A163" s="25" t="s">
        <v>429</v>
      </c>
      <c r="B163" s="139" t="s">
        <v>279</v>
      </c>
      <c r="C163" s="331">
        <f>SUM(C164:C169)</f>
        <v>846224</v>
      </c>
      <c r="D163" s="318"/>
      <c r="E163" s="571">
        <f>SUM(E164:E169)</f>
        <v>844424</v>
      </c>
      <c r="F163" s="571">
        <f>SUM(F164:F169)</f>
        <v>800878</v>
      </c>
      <c r="G163" s="571">
        <f>SUM(G164:G169)</f>
        <v>556688.56000000006</v>
      </c>
      <c r="H163" s="615">
        <f>+O163+G163</f>
        <v>556688.56000000006</v>
      </c>
      <c r="I163" s="580">
        <f>+P163+H163</f>
        <v>556688.56000000006</v>
      </c>
      <c r="J163" s="580">
        <f>+Q163+I163</f>
        <v>556688.56000000006</v>
      </c>
      <c r="K163" s="580">
        <f t="shared" si="51"/>
        <v>244189.43999999994</v>
      </c>
      <c r="L163" s="608">
        <f t="shared" si="52"/>
        <v>287735.43999999994</v>
      </c>
      <c r="M163" s="142">
        <f t="shared" si="47"/>
        <v>69.509783013143078</v>
      </c>
      <c r="O163" s="108"/>
      <c r="R163" s="1" t="s">
        <v>12</v>
      </c>
    </row>
    <row r="164" spans="1:18" ht="14.25" customHeight="1">
      <c r="A164" s="498">
        <v>611</v>
      </c>
      <c r="B164" s="137" t="s">
        <v>430</v>
      </c>
      <c r="C164" s="330">
        <v>1800</v>
      </c>
      <c r="D164" s="319"/>
      <c r="E164" s="570"/>
      <c r="F164" s="585"/>
      <c r="G164" s="607"/>
      <c r="H164" s="614"/>
      <c r="I164" s="581"/>
      <c r="J164" s="591"/>
      <c r="K164" s="580">
        <f t="shared" ref="K164:K169" si="54">+F164-H164</f>
        <v>0</v>
      </c>
      <c r="L164" s="591">
        <f t="shared" ref="L164:L169" si="55">+E164-H164</f>
        <v>0</v>
      </c>
      <c r="M164" s="142"/>
      <c r="O164" s="26"/>
    </row>
    <row r="165" spans="1:18" ht="0.75" customHeight="1">
      <c r="A165" s="498">
        <v>612</v>
      </c>
      <c r="B165" s="137" t="s">
        <v>431</v>
      </c>
      <c r="C165" s="330"/>
      <c r="D165" s="319"/>
      <c r="E165" s="570"/>
      <c r="F165" s="585"/>
      <c r="G165" s="607"/>
      <c r="H165" s="614"/>
      <c r="I165" s="581"/>
      <c r="J165" s="591"/>
      <c r="K165" s="580">
        <f t="shared" si="54"/>
        <v>0</v>
      </c>
      <c r="L165" s="608">
        <f t="shared" si="55"/>
        <v>0</v>
      </c>
      <c r="M165" s="142" t="e">
        <f t="shared" si="47"/>
        <v>#DIV/0!</v>
      </c>
      <c r="O165" s="26"/>
    </row>
    <row r="166" spans="1:18" ht="12" hidden="1" customHeight="1">
      <c r="A166" s="498">
        <v>613</v>
      </c>
      <c r="B166" s="137" t="s">
        <v>432</v>
      </c>
      <c r="C166" s="330"/>
      <c r="D166" s="319"/>
      <c r="E166" s="570"/>
      <c r="F166" s="585"/>
      <c r="G166" s="607"/>
      <c r="H166" s="614"/>
      <c r="I166" s="581"/>
      <c r="J166" s="591"/>
      <c r="K166" s="580">
        <f t="shared" si="54"/>
        <v>0</v>
      </c>
      <c r="L166" s="608">
        <f t="shared" si="55"/>
        <v>0</v>
      </c>
      <c r="M166" s="142" t="e">
        <f t="shared" si="47"/>
        <v>#DIV/0!</v>
      </c>
      <c r="O166" s="26"/>
    </row>
    <row r="167" spans="1:18" ht="12.75" customHeight="1">
      <c r="A167" s="498">
        <v>614</v>
      </c>
      <c r="B167" s="137" t="s">
        <v>433</v>
      </c>
      <c r="C167" s="330">
        <v>400439</v>
      </c>
      <c r="D167" s="319"/>
      <c r="E167" s="570">
        <v>400439</v>
      </c>
      <c r="F167" s="585">
        <v>400439</v>
      </c>
      <c r="G167" s="607">
        <v>356163.4</v>
      </c>
      <c r="H167" s="614">
        <f>O67+G167</f>
        <v>409777.51</v>
      </c>
      <c r="I167" s="581">
        <v>356163.4</v>
      </c>
      <c r="J167" s="591">
        <v>346163.4</v>
      </c>
      <c r="K167" s="581">
        <f t="shared" si="54"/>
        <v>-9338.5100000000093</v>
      </c>
      <c r="L167" s="591">
        <f t="shared" si="55"/>
        <v>-9338.5100000000093</v>
      </c>
      <c r="M167" s="142">
        <f t="shared" si="47"/>
        <v>102.33206805530929</v>
      </c>
      <c r="O167" s="26">
        <f>H167+G167</f>
        <v>765940.91</v>
      </c>
    </row>
    <row r="168" spans="1:18" ht="12.75" customHeight="1">
      <c r="A168" s="498">
        <v>615</v>
      </c>
      <c r="B168" s="137" t="s">
        <v>600</v>
      </c>
      <c r="C168" s="330">
        <v>400439</v>
      </c>
      <c r="D168" s="319"/>
      <c r="E168" s="570">
        <v>400439</v>
      </c>
      <c r="F168" s="585">
        <v>400439</v>
      </c>
      <c r="G168" s="607">
        <v>200525.16</v>
      </c>
      <c r="H168" s="614">
        <f>O168+G168</f>
        <v>200525.16</v>
      </c>
      <c r="I168" s="581">
        <v>200525.16</v>
      </c>
      <c r="J168" s="591">
        <v>200525.16</v>
      </c>
      <c r="K168" s="581">
        <f t="shared" si="54"/>
        <v>199913.84</v>
      </c>
      <c r="L168" s="591">
        <f t="shared" si="55"/>
        <v>199913.84</v>
      </c>
      <c r="M168" s="142">
        <f t="shared" si="47"/>
        <v>50.076331226478942</v>
      </c>
      <c r="O168" s="26"/>
    </row>
    <row r="169" spans="1:18" ht="13.5" customHeight="1">
      <c r="A169" s="498">
        <v>619</v>
      </c>
      <c r="B169" s="137" t="s">
        <v>434</v>
      </c>
      <c r="C169" s="330">
        <v>43546</v>
      </c>
      <c r="D169" s="319"/>
      <c r="E169" s="570">
        <v>43546</v>
      </c>
      <c r="F169" s="585"/>
      <c r="G169" s="607"/>
      <c r="H169" s="614"/>
      <c r="I169" s="581"/>
      <c r="J169" s="591"/>
      <c r="K169" s="581">
        <f t="shared" si="54"/>
        <v>0</v>
      </c>
      <c r="L169" s="591">
        <f t="shared" si="55"/>
        <v>43546</v>
      </c>
      <c r="M169" s="142"/>
      <c r="O169" s="26"/>
    </row>
    <row r="170" spans="1:18" ht="13.5" customHeight="1">
      <c r="A170" s="497">
        <v>620</v>
      </c>
      <c r="B170" s="139" t="s">
        <v>435</v>
      </c>
      <c r="C170" s="331">
        <f>C171+C173</f>
        <v>355584</v>
      </c>
      <c r="D170" s="318"/>
      <c r="E170" s="571">
        <f>+E171+E172+E173</f>
        <v>108734</v>
      </c>
      <c r="F170" s="586">
        <f>+F171+F172+F173</f>
        <v>78734</v>
      </c>
      <c r="G170" s="586">
        <f>+G171+G172+G173</f>
        <v>448</v>
      </c>
      <c r="H170" s="631">
        <f>+H171+H172+H173</f>
        <v>34420.5</v>
      </c>
      <c r="I170" s="580">
        <f>I171</f>
        <v>929.5</v>
      </c>
      <c r="J170" s="608">
        <f>+J171+J172+J173</f>
        <v>929.5</v>
      </c>
      <c r="K170" s="580">
        <f t="shared" ref="K170:K176" si="56">+F170-H170</f>
        <v>44313.5</v>
      </c>
      <c r="L170" s="608">
        <f t="shared" ref="L170:L175" si="57">+E170-H170</f>
        <v>74313.5</v>
      </c>
      <c r="M170" s="150">
        <f t="shared" si="47"/>
        <v>43.717453704879723</v>
      </c>
      <c r="O170" s="108">
        <f>O171</f>
        <v>33972.5</v>
      </c>
    </row>
    <row r="171" spans="1:18" ht="13.5" customHeight="1">
      <c r="A171" s="498">
        <v>624</v>
      </c>
      <c r="B171" s="137" t="s">
        <v>436</v>
      </c>
      <c r="C171" s="330">
        <v>350584</v>
      </c>
      <c r="D171" s="319"/>
      <c r="E171" s="570">
        <v>108734</v>
      </c>
      <c r="F171" s="589">
        <v>78734</v>
      </c>
      <c r="G171" s="607">
        <v>448</v>
      </c>
      <c r="H171" s="614">
        <f>+O171+G171</f>
        <v>34420.5</v>
      </c>
      <c r="I171" s="581">
        <v>929.5</v>
      </c>
      <c r="J171" s="591">
        <v>929.5</v>
      </c>
      <c r="K171" s="581">
        <f t="shared" si="56"/>
        <v>44313.5</v>
      </c>
      <c r="L171" s="591">
        <f t="shared" si="57"/>
        <v>74313.5</v>
      </c>
      <c r="M171" s="142">
        <f t="shared" si="47"/>
        <v>43.717453704879723</v>
      </c>
      <c r="O171" s="26">
        <v>33972.5</v>
      </c>
    </row>
    <row r="172" spans="1:18" ht="12" hidden="1" customHeight="1">
      <c r="A172" s="498">
        <v>624</v>
      </c>
      <c r="B172" s="137" t="s">
        <v>436</v>
      </c>
      <c r="C172" s="330">
        <v>350584</v>
      </c>
      <c r="D172" s="319"/>
      <c r="E172" s="570"/>
      <c r="F172" s="589"/>
      <c r="G172" s="607"/>
      <c r="H172" s="581"/>
      <c r="I172" s="581"/>
      <c r="J172" s="591"/>
      <c r="K172" s="581">
        <f t="shared" si="56"/>
        <v>0</v>
      </c>
      <c r="L172" s="591">
        <f t="shared" si="57"/>
        <v>0</v>
      </c>
      <c r="M172" s="142" t="e">
        <f t="shared" si="47"/>
        <v>#DIV/0!</v>
      </c>
      <c r="O172" s="26"/>
    </row>
    <row r="173" spans="1:18" ht="12" customHeight="1">
      <c r="A173" s="498">
        <v>629</v>
      </c>
      <c r="B173" s="137" t="s">
        <v>437</v>
      </c>
      <c r="C173" s="330">
        <v>5000</v>
      </c>
      <c r="D173" s="319"/>
      <c r="E173" s="570"/>
      <c r="F173" s="589"/>
      <c r="G173" s="607"/>
      <c r="H173" s="581"/>
      <c r="I173" s="581"/>
      <c r="J173" s="585"/>
      <c r="K173" s="581">
        <f t="shared" si="56"/>
        <v>0</v>
      </c>
      <c r="L173" s="591">
        <f t="shared" si="57"/>
        <v>0</v>
      </c>
      <c r="M173" s="142"/>
      <c r="O173" s="26">
        <v>0</v>
      </c>
    </row>
    <row r="174" spans="1:18" ht="12" customHeight="1">
      <c r="A174" s="497">
        <v>640</v>
      </c>
      <c r="B174" s="139" t="s">
        <v>438</v>
      </c>
      <c r="C174" s="331">
        <f>+C175</f>
        <v>159266</v>
      </c>
      <c r="D174" s="318"/>
      <c r="E174" s="571">
        <f t="shared" ref="E174:J174" si="58">+E175</f>
        <v>159266</v>
      </c>
      <c r="F174" s="586">
        <f t="shared" si="58"/>
        <v>0</v>
      </c>
      <c r="G174" s="608">
        <f t="shared" si="58"/>
        <v>0</v>
      </c>
      <c r="H174" s="608">
        <f t="shared" si="58"/>
        <v>0</v>
      </c>
      <c r="I174" s="608">
        <f t="shared" si="58"/>
        <v>0</v>
      </c>
      <c r="J174" s="608">
        <f t="shared" si="58"/>
        <v>0</v>
      </c>
      <c r="K174" s="581">
        <f t="shared" si="56"/>
        <v>0</v>
      </c>
      <c r="L174" s="608">
        <f t="shared" si="57"/>
        <v>159266</v>
      </c>
      <c r="M174" s="142"/>
      <c r="O174" s="26"/>
    </row>
    <row r="175" spans="1:18" ht="12" customHeight="1">
      <c r="A175" s="498">
        <v>641</v>
      </c>
      <c r="B175" s="137" t="s">
        <v>439</v>
      </c>
      <c r="C175" s="330">
        <v>159266</v>
      </c>
      <c r="D175" s="319"/>
      <c r="E175" s="570">
        <v>159266</v>
      </c>
      <c r="F175" s="589"/>
      <c r="G175" s="607"/>
      <c r="H175" s="581"/>
      <c r="I175" s="581"/>
      <c r="J175" s="585"/>
      <c r="K175" s="581">
        <f t="shared" si="56"/>
        <v>0</v>
      </c>
      <c r="L175" s="591">
        <f t="shared" si="57"/>
        <v>159266</v>
      </c>
      <c r="M175" s="142"/>
      <c r="O175" s="26"/>
    </row>
    <row r="176" spans="1:18">
      <c r="A176" s="497" t="s">
        <v>440</v>
      </c>
      <c r="B176" s="148" t="s">
        <v>441</v>
      </c>
      <c r="C176" s="331">
        <f>SUM(C177:C179)</f>
        <v>187000</v>
      </c>
      <c r="D176" s="318"/>
      <c r="E176" s="571">
        <f>SUM(E177:E179)</f>
        <v>103900</v>
      </c>
      <c r="F176" s="586">
        <f>SUM(F177:F179)</f>
        <v>53900</v>
      </c>
      <c r="G176" s="586">
        <f>SUM(G177:G179)</f>
        <v>3650</v>
      </c>
      <c r="H176" s="615">
        <f t="shared" ref="H176:H181" si="59">+O176+G176</f>
        <v>20438.13</v>
      </c>
      <c r="I176" s="580">
        <f>+I178+I179</f>
        <v>900</v>
      </c>
      <c r="J176" s="34">
        <f>SUM(J177:J179)</f>
        <v>900</v>
      </c>
      <c r="K176" s="580">
        <f t="shared" si="56"/>
        <v>33461.869999999995</v>
      </c>
      <c r="L176" s="608">
        <f t="shared" ref="L176:L182" si="60">+E176-H176</f>
        <v>83461.87</v>
      </c>
      <c r="M176" s="150">
        <f t="shared" si="47"/>
        <v>37.918608534322821</v>
      </c>
      <c r="O176" s="108">
        <f>O177+O178+O179</f>
        <v>16788.13</v>
      </c>
    </row>
    <row r="177" spans="1:16" ht="13.5" customHeight="1">
      <c r="A177" s="498">
        <v>662</v>
      </c>
      <c r="B177" s="138" t="s">
        <v>442</v>
      </c>
      <c r="C177" s="330">
        <v>116000</v>
      </c>
      <c r="D177" s="319"/>
      <c r="E177" s="570">
        <v>90600</v>
      </c>
      <c r="F177" s="589">
        <v>40600</v>
      </c>
      <c r="G177" s="607">
        <v>1000</v>
      </c>
      <c r="H177" s="614">
        <f>O177+G177</f>
        <v>13500</v>
      </c>
      <c r="I177" s="581"/>
      <c r="J177" s="591"/>
      <c r="K177" s="581">
        <f t="shared" ref="K177:K183" si="61">+F177-H177</f>
        <v>27100</v>
      </c>
      <c r="L177" s="591">
        <f>+E177-H177</f>
        <v>77100</v>
      </c>
      <c r="M177" s="142">
        <f t="shared" si="47"/>
        <v>33.251231527093594</v>
      </c>
      <c r="O177" s="26">
        <v>12500</v>
      </c>
      <c r="P177" t="s">
        <v>132</v>
      </c>
    </row>
    <row r="178" spans="1:16" ht="11.25" customHeight="1">
      <c r="A178" s="498" t="s">
        <v>443</v>
      </c>
      <c r="B178" s="138" t="s">
        <v>444</v>
      </c>
      <c r="C178" s="330"/>
      <c r="D178" s="319"/>
      <c r="E178" s="570">
        <v>6000</v>
      </c>
      <c r="F178" s="589">
        <v>6000</v>
      </c>
      <c r="G178" s="607">
        <v>2650</v>
      </c>
      <c r="H178" s="614">
        <f t="shared" ref="H178:H179" si="62">O178+G178</f>
        <v>3650</v>
      </c>
      <c r="I178" s="581"/>
      <c r="J178" s="591"/>
      <c r="K178" s="581">
        <f t="shared" si="61"/>
        <v>2350</v>
      </c>
      <c r="L178" s="591">
        <f>+E178-H178</f>
        <v>2350</v>
      </c>
      <c r="M178" s="142">
        <f t="shared" si="47"/>
        <v>60.833333333333336</v>
      </c>
      <c r="O178" s="26">
        <v>1000</v>
      </c>
    </row>
    <row r="179" spans="1:16" ht="12.75" customHeight="1">
      <c r="A179" s="498" t="s">
        <v>445</v>
      </c>
      <c r="B179" s="138" t="s">
        <v>446</v>
      </c>
      <c r="C179" s="330">
        <v>71000</v>
      </c>
      <c r="D179" s="319"/>
      <c r="E179" s="570">
        <v>7300</v>
      </c>
      <c r="F179" s="589">
        <v>7300</v>
      </c>
      <c r="G179" s="607"/>
      <c r="H179" s="614">
        <f t="shared" si="62"/>
        <v>3288.13</v>
      </c>
      <c r="I179" s="581">
        <v>900</v>
      </c>
      <c r="J179" s="591">
        <v>900</v>
      </c>
      <c r="K179" s="581">
        <f t="shared" si="61"/>
        <v>4011.87</v>
      </c>
      <c r="L179" s="591">
        <f>+E179-H179</f>
        <v>4011.87</v>
      </c>
      <c r="M179" s="142">
        <f t="shared" si="47"/>
        <v>45.04287671232877</v>
      </c>
      <c r="O179" s="26">
        <v>3288.13</v>
      </c>
    </row>
    <row r="180" spans="1:16" ht="15.75" customHeight="1">
      <c r="A180" s="497">
        <v>690</v>
      </c>
      <c r="B180" s="139" t="s">
        <v>447</v>
      </c>
      <c r="C180" s="331">
        <f>+C181</f>
        <v>0</v>
      </c>
      <c r="D180" s="318"/>
      <c r="E180" s="571">
        <f>E183</f>
        <v>8000</v>
      </c>
      <c r="F180" s="571">
        <f>F183</f>
        <v>8000</v>
      </c>
      <c r="G180" s="609"/>
      <c r="H180" s="608">
        <f t="shared" si="59"/>
        <v>0</v>
      </c>
      <c r="I180" s="581"/>
      <c r="J180" s="608">
        <f>+J181</f>
        <v>0</v>
      </c>
      <c r="K180" s="580">
        <f t="shared" si="61"/>
        <v>8000</v>
      </c>
      <c r="L180" s="608">
        <f t="shared" si="60"/>
        <v>8000</v>
      </c>
      <c r="M180" s="142">
        <f t="shared" si="47"/>
        <v>0</v>
      </c>
      <c r="O180" s="108">
        <v>0</v>
      </c>
    </row>
    <row r="181" spans="1:16" ht="15.75" hidden="1" customHeight="1">
      <c r="A181" s="498">
        <v>692</v>
      </c>
      <c r="B181" s="138" t="s">
        <v>448</v>
      </c>
      <c r="C181" s="330"/>
      <c r="D181" s="319"/>
      <c r="E181" s="570"/>
      <c r="F181" s="589">
        <v>0</v>
      </c>
      <c r="G181" s="585">
        <v>0</v>
      </c>
      <c r="H181" s="591">
        <f t="shared" si="59"/>
        <v>0</v>
      </c>
      <c r="I181" s="581"/>
      <c r="J181" s="591">
        <v>0</v>
      </c>
      <c r="K181" s="581">
        <f t="shared" si="61"/>
        <v>0</v>
      </c>
      <c r="L181" s="608">
        <f t="shared" si="60"/>
        <v>0</v>
      </c>
      <c r="M181" s="142" t="e">
        <f t="shared" si="47"/>
        <v>#DIV/0!</v>
      </c>
      <c r="O181" s="26"/>
    </row>
    <row r="182" spans="1:16" ht="18" hidden="1" customHeight="1">
      <c r="A182" s="498">
        <v>693</v>
      </c>
      <c r="B182" s="138" t="s">
        <v>449</v>
      </c>
      <c r="C182" s="330"/>
      <c r="D182" s="319"/>
      <c r="E182" s="570"/>
      <c r="F182" s="589"/>
      <c r="G182" s="610"/>
      <c r="H182" s="585"/>
      <c r="I182" s="581"/>
      <c r="J182" s="591"/>
      <c r="K182" s="581">
        <f t="shared" si="61"/>
        <v>0</v>
      </c>
      <c r="L182" s="591">
        <f t="shared" si="60"/>
        <v>0</v>
      </c>
      <c r="M182" s="142" t="e">
        <f t="shared" si="47"/>
        <v>#DIV/0!</v>
      </c>
      <c r="O182" s="26"/>
    </row>
    <row r="183" spans="1:16" ht="15.75" customHeight="1">
      <c r="A183" s="510">
        <v>697</v>
      </c>
      <c r="B183" s="515" t="s">
        <v>450</v>
      </c>
      <c r="C183" s="516"/>
      <c r="D183" s="517"/>
      <c r="E183" s="576">
        <v>8000</v>
      </c>
      <c r="F183" s="599">
        <v>8000</v>
      </c>
      <c r="G183" s="611"/>
      <c r="H183" s="620"/>
      <c r="I183" s="620"/>
      <c r="J183" s="625"/>
      <c r="K183" s="620">
        <f t="shared" si="61"/>
        <v>8000</v>
      </c>
      <c r="L183" s="625"/>
      <c r="M183" s="518"/>
      <c r="O183" s="26"/>
    </row>
    <row r="184" spans="1:16" ht="28.9" customHeight="1">
      <c r="A184" s="510" t="s">
        <v>12</v>
      </c>
      <c r="B184" s="511" t="s">
        <v>451</v>
      </c>
      <c r="C184" s="512">
        <f>C11+C37+C94+C155+C160</f>
        <v>133140570</v>
      </c>
      <c r="D184" s="513">
        <f>D37+D94</f>
        <v>0</v>
      </c>
      <c r="E184" s="577">
        <f>+E160+E155+E94+E37+E11</f>
        <v>133140570</v>
      </c>
      <c r="F184" s="651">
        <f>+F160+F155+F94+F37+F11</f>
        <v>40620174</v>
      </c>
      <c r="G184" s="652">
        <f>G11+G37+G94+G155+G160</f>
        <v>10849016.761</v>
      </c>
      <c r="H184" s="653">
        <f>H11+H37+H94+H155+H160</f>
        <v>30014125.291000001</v>
      </c>
      <c r="I184" s="653">
        <f>I11+I37+I94+I155+I160</f>
        <v>25120630.140000004</v>
      </c>
      <c r="J184" s="653">
        <f>J11+J37+J94+J155+J160</f>
        <v>26702476.330000002</v>
      </c>
      <c r="K184" s="648">
        <f>+F184-H184</f>
        <v>10606048.708999999</v>
      </c>
      <c r="L184" s="649">
        <f>+E184-H184</f>
        <v>103126444.70899999</v>
      </c>
      <c r="M184" s="514">
        <f>+H184*100/F184</f>
        <v>73.8897014350554</v>
      </c>
      <c r="O184" s="276"/>
    </row>
    <row r="185" spans="1:16">
      <c r="I185" s="149" t="s">
        <v>12</v>
      </c>
      <c r="J185" s="149" t="s">
        <v>12</v>
      </c>
    </row>
    <row r="194" spans="2:15">
      <c r="O194" s="26"/>
    </row>
    <row r="195" spans="2:15">
      <c r="J195" s="578"/>
    </row>
    <row r="196" spans="2:15">
      <c r="E196" s="578"/>
    </row>
    <row r="199" spans="2:15">
      <c r="B199" s="151"/>
    </row>
    <row r="200" spans="2:15">
      <c r="C200" s="149"/>
      <c r="D200" s="149"/>
    </row>
    <row r="201" spans="2:15">
      <c r="C201" s="149"/>
      <c r="D201" s="149"/>
    </row>
    <row r="202" spans="2:15">
      <c r="C202" s="149"/>
      <c r="D202" s="149"/>
    </row>
    <row r="203" spans="2:15">
      <c r="C203" s="149"/>
      <c r="D203" s="149"/>
    </row>
  </sheetData>
  <mergeCells count="13">
    <mergeCell ref="O8:O10"/>
    <mergeCell ref="C8:F9"/>
    <mergeCell ref="G8:H9"/>
    <mergeCell ref="A2:M2"/>
    <mergeCell ref="A3:M3"/>
    <mergeCell ref="A4:M4"/>
    <mergeCell ref="A5:M5"/>
    <mergeCell ref="A8:A10"/>
    <mergeCell ref="B8:B10"/>
    <mergeCell ref="I8:I10"/>
    <mergeCell ref="J8:J10"/>
    <mergeCell ref="M8:M10"/>
    <mergeCell ref="K8:L8"/>
  </mergeCells>
  <pageMargins left="0.51181102362204722" right="0.11811023622047245" top="0.55118110236220474" bottom="0.55118110236220474" header="0.31496062992125984" footer="0.31496062992125984"/>
  <pageSetup paperSize="5" scale="88" orientation="landscape" r:id="rId1"/>
  <ignoredErrors>
    <ignoredError sqref="A118:B118 A12:A33 A122:A144 P118:XFD118 A35:A117 A119:A120" numberStoredAsText="1"/>
    <ignoredError sqref="E16:G16 F22:G22 G29 I45:J45 I135:J135 E135:G135 E45:G45 J16 C16 C135 C45 E176:F176 F73" formulaRange="1"/>
    <ignoredError sqref="I16" formula="1" formulaRange="1"/>
    <ignoredError sqref="H98 H135 H129 H120 H114 H76 H62 H45 H12 E11:E12 H104 H58 H110 H38 H145 D94 H16 I83 G160:H160 H158 H22 I170 H156 H55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8">
    <tabColor theme="6" tint="0.39997558519241921"/>
  </sheetPr>
  <dimension ref="A1:T38"/>
  <sheetViews>
    <sheetView showGridLines="0" showZeros="0" zoomScale="106" zoomScaleNormal="106" workbookViewId="0">
      <selection activeCell="P29" sqref="P29"/>
    </sheetView>
  </sheetViews>
  <sheetFormatPr baseColWidth="10" defaultColWidth="11.42578125" defaultRowHeight="12.75"/>
  <cols>
    <col min="1" max="1" width="3.85546875" style="4" customWidth="1"/>
    <col min="2" max="2" width="29.85546875" style="4" customWidth="1"/>
    <col min="3" max="3" width="11.42578125" style="4" customWidth="1"/>
    <col min="4" max="5" width="15.5703125" style="325" customWidth="1"/>
    <col min="6" max="6" width="13.28515625" style="325" customWidth="1"/>
    <col min="7" max="7" width="16" style="325" customWidth="1"/>
    <col min="8" max="8" width="14" style="325" customWidth="1"/>
    <col min="9" max="9" width="14.85546875" style="325" customWidth="1"/>
    <col min="10" max="11" width="15.140625" style="325" customWidth="1"/>
    <col min="12" max="12" width="12.5703125" style="165" customWidth="1"/>
    <col min="13" max="13" width="15.5703125" hidden="1" customWidth="1"/>
    <col min="14" max="14" width="16" customWidth="1"/>
    <col min="16" max="16" width="22.28515625" customWidth="1"/>
    <col min="17" max="17" width="12.28515625" customWidth="1"/>
    <col min="20" max="20" width="13.28515625" customWidth="1"/>
  </cols>
  <sheetData>
    <row r="1" spans="1:18" ht="15.75">
      <c r="A1" s="679"/>
      <c r="B1" s="899" t="s">
        <v>58</v>
      </c>
      <c r="C1" s="899"/>
      <c r="D1" s="899"/>
      <c r="E1" s="899"/>
      <c r="F1" s="899"/>
      <c r="G1" s="899"/>
      <c r="H1" s="899"/>
      <c r="I1" s="899"/>
      <c r="J1" s="899"/>
      <c r="K1" s="899"/>
      <c r="L1" s="899"/>
    </row>
    <row r="2" spans="1:18" ht="15.75">
      <c r="A2" s="679"/>
      <c r="B2" s="899" t="s">
        <v>59</v>
      </c>
      <c r="C2" s="899"/>
      <c r="D2" s="899"/>
      <c r="E2" s="899"/>
      <c r="F2" s="899"/>
      <c r="G2" s="899"/>
      <c r="H2" s="899"/>
      <c r="I2" s="899"/>
      <c r="J2" s="899"/>
      <c r="K2" s="899"/>
      <c r="L2" s="899"/>
      <c r="M2" s="26"/>
    </row>
    <row r="3" spans="1:18" ht="16.5" customHeight="1">
      <c r="A3" s="831" t="s">
        <v>645</v>
      </c>
      <c r="B3" s="831"/>
      <c r="C3" s="831"/>
      <c r="D3" s="831"/>
      <c r="E3" s="831"/>
      <c r="F3" s="831"/>
      <c r="G3" s="831"/>
      <c r="H3" s="831"/>
      <c r="I3" s="831"/>
      <c r="J3" s="831"/>
      <c r="K3" s="831"/>
      <c r="L3" s="831"/>
    </row>
    <row r="4" spans="1:18" ht="16.5" customHeight="1">
      <c r="A4" s="831" t="s">
        <v>621</v>
      </c>
      <c r="B4" s="831"/>
      <c r="C4" s="831"/>
      <c r="D4" s="831"/>
      <c r="E4" s="831"/>
      <c r="F4" s="831"/>
      <c r="G4" s="831"/>
      <c r="H4" s="831"/>
      <c r="I4" s="831"/>
      <c r="J4" s="831"/>
      <c r="K4" s="831"/>
      <c r="L4" s="831"/>
    </row>
    <row r="5" spans="1:18" ht="10.5" customHeight="1">
      <c r="A5" s="680"/>
      <c r="B5" s="680"/>
      <c r="C5" s="680"/>
      <c r="D5" s="681"/>
      <c r="E5" s="681"/>
      <c r="F5" s="681"/>
      <c r="G5" s="681" t="s">
        <v>12</v>
      </c>
      <c r="H5" s="681"/>
      <c r="I5" s="681"/>
      <c r="J5" s="681"/>
      <c r="K5" s="681"/>
      <c r="L5" s="682"/>
    </row>
    <row r="6" spans="1:18" ht="24.95" customHeight="1">
      <c r="A6" s="903" t="s">
        <v>452</v>
      </c>
      <c r="B6" s="904" t="s">
        <v>0</v>
      </c>
      <c r="C6" s="900" t="s">
        <v>48</v>
      </c>
      <c r="D6" s="901"/>
      <c r="E6" s="901"/>
      <c r="F6" s="901"/>
      <c r="G6" s="901"/>
      <c r="H6" s="901"/>
      <c r="I6" s="902"/>
      <c r="J6" s="908" t="s">
        <v>602</v>
      </c>
      <c r="K6" s="909"/>
      <c r="L6" s="906" t="s">
        <v>52</v>
      </c>
    </row>
    <row r="7" spans="1:18" ht="24.95" customHeight="1">
      <c r="A7" s="872"/>
      <c r="B7" s="905"/>
      <c r="C7" s="487" t="s">
        <v>2</v>
      </c>
      <c r="D7" s="654" t="s">
        <v>3</v>
      </c>
      <c r="E7" s="654" t="s">
        <v>25</v>
      </c>
      <c r="F7" s="654" t="s">
        <v>64</v>
      </c>
      <c r="G7" s="659" t="s">
        <v>41</v>
      </c>
      <c r="H7" s="657" t="s">
        <v>46</v>
      </c>
      <c r="I7" s="657" t="s">
        <v>42</v>
      </c>
      <c r="J7" s="804" t="s">
        <v>50</v>
      </c>
      <c r="K7" s="660" t="s">
        <v>51</v>
      </c>
      <c r="L7" s="907"/>
    </row>
    <row r="8" spans="1:18" ht="15" customHeight="1">
      <c r="A8" s="79"/>
      <c r="B8" s="80"/>
      <c r="C8" s="81"/>
      <c r="D8" s="783"/>
      <c r="E8" s="784"/>
      <c r="F8" s="783"/>
      <c r="G8" s="785"/>
      <c r="H8" s="785"/>
      <c r="I8" s="786"/>
      <c r="J8" s="786"/>
      <c r="K8" s="786"/>
      <c r="L8" s="107"/>
    </row>
    <row r="9" spans="1:18" ht="24.95" customHeight="1">
      <c r="A9" s="82"/>
      <c r="B9" s="83" t="s">
        <v>453</v>
      </c>
      <c r="C9" s="84">
        <f>+C11+C21+C29</f>
        <v>133140570</v>
      </c>
      <c r="D9" s="84">
        <f>+D11+D21+D29</f>
        <v>133140570</v>
      </c>
      <c r="E9" s="787">
        <f>+E11+E21+E29</f>
        <v>40620174</v>
      </c>
      <c r="F9" s="787">
        <f>F11+F21+F29</f>
        <v>10849016.76</v>
      </c>
      <c r="G9" s="787">
        <f>G11+G21+G29</f>
        <v>30014125.289999999</v>
      </c>
      <c r="H9" s="787">
        <f>+H11+H21+H29</f>
        <v>25120630.140000001</v>
      </c>
      <c r="I9" s="787">
        <f>+I11+I21+I29</f>
        <v>26702476.329999998</v>
      </c>
      <c r="J9" s="787">
        <f>E9-G9</f>
        <v>10606048.710000001</v>
      </c>
      <c r="K9" s="787">
        <f>+D9-G9</f>
        <v>103126444.71000001</v>
      </c>
      <c r="L9" s="271">
        <f>+G9/E9*100</f>
        <v>73.889701432593569</v>
      </c>
      <c r="M9" s="77">
        <v>19164332.699999996</v>
      </c>
      <c r="N9" s="108"/>
      <c r="P9" s="109"/>
      <c r="Q9" s="1"/>
      <c r="R9" s="1"/>
    </row>
    <row r="10" spans="1:18" ht="24.95" customHeight="1">
      <c r="A10" s="82"/>
      <c r="B10" s="86"/>
      <c r="C10" s="85"/>
      <c r="D10" s="84"/>
      <c r="E10" s="787"/>
      <c r="F10" s="84"/>
      <c r="G10" s="84"/>
      <c r="H10" s="788"/>
      <c r="I10" s="788"/>
      <c r="J10" s="85"/>
      <c r="K10" s="94"/>
      <c r="L10" s="272"/>
      <c r="M10" s="26"/>
      <c r="N10" s="26"/>
    </row>
    <row r="11" spans="1:18" ht="24.95" customHeight="1">
      <c r="A11" s="87">
        <v>1</v>
      </c>
      <c r="B11" s="88" t="s">
        <v>637</v>
      </c>
      <c r="C11" s="84">
        <f>SUM(C13:C20)</f>
        <v>46252935</v>
      </c>
      <c r="D11" s="84">
        <f>SUM(D13:D19)</f>
        <v>46873355</v>
      </c>
      <c r="E11" s="787">
        <f>SUM(E13:E19)</f>
        <v>17025227</v>
      </c>
      <c r="F11" s="84">
        <f>SUM(F13:F19)</f>
        <v>4730428.24</v>
      </c>
      <c r="G11" s="84">
        <f>SUM(G13:G19)</f>
        <v>10666198.979999999</v>
      </c>
      <c r="H11" s="84">
        <f>SUM(H13:H19)</f>
        <v>8562028.8300000001</v>
      </c>
      <c r="I11" s="84">
        <f>+I13+I15+I17+I19</f>
        <v>8673428.5999999996</v>
      </c>
      <c r="J11" s="84">
        <f>+E11-G11</f>
        <v>6359028.0200000014</v>
      </c>
      <c r="K11" s="94">
        <f>+D11-G11</f>
        <v>36207156.020000003</v>
      </c>
      <c r="L11" s="271">
        <f>+G11/E11*100</f>
        <v>62.64937894807511</v>
      </c>
      <c r="M11" s="276">
        <f>M13+M15+M17+M19</f>
        <v>5935770.7399999993</v>
      </c>
      <c r="N11" s="108"/>
      <c r="O11" s="1" t="s">
        <v>12</v>
      </c>
      <c r="P11" s="74"/>
      <c r="Q11" s="1"/>
    </row>
    <row r="12" spans="1:18" ht="24.95" customHeight="1">
      <c r="A12" s="82"/>
      <c r="B12" s="89"/>
      <c r="C12" s="90"/>
      <c r="D12" s="90"/>
      <c r="E12" s="789"/>
      <c r="F12" s="90"/>
      <c r="G12" s="790"/>
      <c r="H12" s="90"/>
      <c r="I12" s="90"/>
      <c r="J12" s="791"/>
      <c r="K12" s="92"/>
      <c r="L12" s="273"/>
      <c r="M12" s="26"/>
      <c r="N12" s="26"/>
    </row>
    <row r="13" spans="1:18" ht="24.95" customHeight="1">
      <c r="A13" s="91" t="s">
        <v>12</v>
      </c>
      <c r="B13" s="89" t="s">
        <v>638</v>
      </c>
      <c r="C13" s="92">
        <v>11129624</v>
      </c>
      <c r="D13" s="792">
        <v>10965362</v>
      </c>
      <c r="E13" s="793">
        <v>2883836</v>
      </c>
      <c r="F13" s="90">
        <v>762075.18</v>
      </c>
      <c r="G13" s="790">
        <f>M13+F13</f>
        <v>2506858.69</v>
      </c>
      <c r="H13" s="90">
        <v>2151724.4500000002</v>
      </c>
      <c r="I13" s="90">
        <v>2345642.42</v>
      </c>
      <c r="J13" s="92">
        <f>+E13-G13</f>
        <v>376977.31000000006</v>
      </c>
      <c r="K13" s="92">
        <f>+D13-G13</f>
        <v>8458503.3100000005</v>
      </c>
      <c r="L13" s="273">
        <f>+G13/E13*100</f>
        <v>86.92792135197702</v>
      </c>
      <c r="M13" s="26">
        <v>1744783.5099999998</v>
      </c>
      <c r="N13" s="26"/>
      <c r="P13" s="1"/>
      <c r="Q13" s="1"/>
    </row>
    <row r="14" spans="1:18" ht="24.95" customHeight="1">
      <c r="A14" s="91"/>
      <c r="B14" s="89"/>
      <c r="C14" s="92"/>
      <c r="D14" s="792"/>
      <c r="E14" s="793"/>
      <c r="F14" s="90"/>
      <c r="G14" s="790">
        <f t="shared" ref="G14:G19" si="0">M14+F14</f>
        <v>0</v>
      </c>
      <c r="H14" s="90"/>
      <c r="I14" s="90"/>
      <c r="J14" s="92"/>
      <c r="K14" s="92"/>
      <c r="L14" s="273"/>
      <c r="M14" s="26">
        <v>0</v>
      </c>
      <c r="N14" s="26"/>
    </row>
    <row r="15" spans="1:18" ht="24.95" customHeight="1">
      <c r="A15" s="91" t="s">
        <v>12</v>
      </c>
      <c r="B15" s="93" t="s">
        <v>639</v>
      </c>
      <c r="C15" s="92">
        <v>928019</v>
      </c>
      <c r="D15" s="792">
        <v>927569</v>
      </c>
      <c r="E15" s="793">
        <v>254316</v>
      </c>
      <c r="F15" s="90">
        <v>63162.1</v>
      </c>
      <c r="G15" s="790">
        <f t="shared" si="0"/>
        <v>212018.34</v>
      </c>
      <c r="H15" s="90">
        <v>179978.39</v>
      </c>
      <c r="I15" s="90">
        <v>199994.55</v>
      </c>
      <c r="J15" s="92">
        <f>+E15-G15</f>
        <v>42297.66</v>
      </c>
      <c r="K15" s="92">
        <f>+D15-G15</f>
        <v>715550.66</v>
      </c>
      <c r="L15" s="273">
        <f>+G15/E15*100</f>
        <v>83.368069645637704</v>
      </c>
      <c r="M15" s="26">
        <v>148856.24</v>
      </c>
      <c r="N15" s="26"/>
      <c r="P15" s="1"/>
      <c r="Q15" s="1"/>
    </row>
    <row r="16" spans="1:18" ht="24.95" customHeight="1">
      <c r="A16" s="91"/>
      <c r="B16" s="93"/>
      <c r="C16" s="92"/>
      <c r="D16" s="792"/>
      <c r="E16" s="793"/>
      <c r="F16" s="90"/>
      <c r="G16" s="790">
        <f t="shared" si="0"/>
        <v>0</v>
      </c>
      <c r="H16" s="90"/>
      <c r="I16" s="90"/>
      <c r="J16" s="92">
        <f>+E16-G16</f>
        <v>0</v>
      </c>
      <c r="K16" s="92" t="s">
        <v>12</v>
      </c>
      <c r="L16" s="273"/>
      <c r="M16" s="26">
        <v>0</v>
      </c>
      <c r="N16" s="26"/>
    </row>
    <row r="17" spans="1:20" ht="24.95" customHeight="1">
      <c r="A17" s="91" t="s">
        <v>12</v>
      </c>
      <c r="B17" s="89" t="s">
        <v>640</v>
      </c>
      <c r="C17" s="92">
        <v>31922116</v>
      </c>
      <c r="D17" s="792">
        <v>32720798</v>
      </c>
      <c r="E17" s="793">
        <v>13305736</v>
      </c>
      <c r="F17" s="90">
        <v>3817427.87</v>
      </c>
      <c r="G17" s="790">
        <f>M17+F17</f>
        <v>7655056.7599999998</v>
      </c>
      <c r="H17" s="792">
        <v>5982603.6399999997</v>
      </c>
      <c r="I17" s="792">
        <v>5857608.5499999998</v>
      </c>
      <c r="J17" s="794">
        <f>+E17-G17</f>
        <v>5650679.2400000002</v>
      </c>
      <c r="K17" s="92">
        <f>+D17-G17</f>
        <v>25065741.240000002</v>
      </c>
      <c r="L17" s="273">
        <f>+G17/E17*100</f>
        <v>57.532005444869796</v>
      </c>
      <c r="M17" s="627">
        <f>3837586.89+42</f>
        <v>3837628.89</v>
      </c>
      <c r="N17" s="26"/>
      <c r="P17" s="1"/>
      <c r="Q17" s="1"/>
      <c r="R17" s="26"/>
      <c r="T17" s="26"/>
    </row>
    <row r="18" spans="1:20" ht="24.95" customHeight="1">
      <c r="A18" s="91"/>
      <c r="B18" s="89"/>
      <c r="C18" s="92"/>
      <c r="D18" s="792"/>
      <c r="E18" s="793"/>
      <c r="F18" s="90"/>
      <c r="G18" s="790"/>
      <c r="H18" s="90"/>
      <c r="I18" s="90"/>
      <c r="J18" s="92" t="s">
        <v>12</v>
      </c>
      <c r="K18" s="92" t="s">
        <v>12</v>
      </c>
      <c r="L18" s="273"/>
      <c r="M18" s="26"/>
      <c r="N18" s="26"/>
      <c r="P18" s="26"/>
    </row>
    <row r="19" spans="1:20" ht="24.95" customHeight="1">
      <c r="A19" s="91" t="s">
        <v>12</v>
      </c>
      <c r="B19" s="93" t="s">
        <v>454</v>
      </c>
      <c r="C19" s="92">
        <v>2273176</v>
      </c>
      <c r="D19" s="792">
        <v>2259626</v>
      </c>
      <c r="E19" s="793">
        <v>581339</v>
      </c>
      <c r="F19" s="90">
        <v>87763.09</v>
      </c>
      <c r="G19" s="790">
        <f t="shared" si="0"/>
        <v>292265.19</v>
      </c>
      <c r="H19" s="90">
        <v>247722.35</v>
      </c>
      <c r="I19" s="90">
        <v>270183.08</v>
      </c>
      <c r="J19" s="92">
        <f>+E19-J2319</f>
        <v>581339</v>
      </c>
      <c r="K19" s="92">
        <f>+D19-G19</f>
        <v>1967360.81</v>
      </c>
      <c r="L19" s="273">
        <f>+G19/E19*100</f>
        <v>50.274485283113634</v>
      </c>
      <c r="M19" s="26">
        <v>204502.1</v>
      </c>
      <c r="N19" s="26"/>
      <c r="P19" s="1"/>
    </row>
    <row r="20" spans="1:20" ht="24.95" customHeight="1">
      <c r="A20" s="91"/>
      <c r="B20" s="89"/>
      <c r="C20" s="92"/>
      <c r="D20" s="792" t="s">
        <v>12</v>
      </c>
      <c r="E20" s="793"/>
      <c r="F20" s="90"/>
      <c r="G20" s="90">
        <f>F20</f>
        <v>0</v>
      </c>
      <c r="H20" s="90"/>
      <c r="I20" s="90"/>
      <c r="J20" s="92">
        <f>+E20-G20</f>
        <v>0</v>
      </c>
      <c r="K20" s="92" t="s">
        <v>12</v>
      </c>
      <c r="L20" s="273"/>
      <c r="M20" s="26">
        <v>0</v>
      </c>
      <c r="N20" s="26"/>
    </row>
    <row r="21" spans="1:20" ht="24.95" customHeight="1">
      <c r="A21" s="87">
        <v>2</v>
      </c>
      <c r="B21" s="88" t="s">
        <v>641</v>
      </c>
      <c r="C21" s="94">
        <f t="shared" ref="C21:I21" si="1">SUM(C23:C27)</f>
        <v>71448026</v>
      </c>
      <c r="D21" s="795">
        <f t="shared" si="1"/>
        <v>71539714</v>
      </c>
      <c r="E21" s="796">
        <f t="shared" si="1"/>
        <v>18798296</v>
      </c>
      <c r="F21" s="84">
        <f t="shared" si="1"/>
        <v>5097601.37</v>
      </c>
      <c r="G21" s="84">
        <f t="shared" si="1"/>
        <v>16327327.66</v>
      </c>
      <c r="H21" s="84">
        <f t="shared" si="1"/>
        <v>14064783.879999999</v>
      </c>
      <c r="I21" s="84">
        <f t="shared" si="1"/>
        <v>15352133.010000002</v>
      </c>
      <c r="J21" s="94">
        <f>+E21-G21</f>
        <v>2470968.34</v>
      </c>
      <c r="K21" s="94">
        <f>+D21-G21</f>
        <v>55212386.340000004</v>
      </c>
      <c r="L21" s="271">
        <f>+G21/E21*100</f>
        <v>86.855359975180733</v>
      </c>
      <c r="M21" s="276">
        <f>M23+M25+M27</f>
        <v>11229726.289999999</v>
      </c>
      <c r="N21" s="108"/>
    </row>
    <row r="22" spans="1:20" ht="24.95" customHeight="1">
      <c r="A22" s="95"/>
      <c r="B22" s="89"/>
      <c r="C22" s="92"/>
      <c r="D22" s="792"/>
      <c r="E22" s="793"/>
      <c r="F22" s="90"/>
      <c r="G22" s="90">
        <f>F22</f>
        <v>0</v>
      </c>
      <c r="H22" s="90"/>
      <c r="I22" s="90"/>
      <c r="J22" s="92">
        <f>+E22-G22</f>
        <v>0</v>
      </c>
      <c r="K22" s="92" t="s">
        <v>12</v>
      </c>
      <c r="L22" s="273" t="s">
        <v>12</v>
      </c>
      <c r="M22" s="26">
        <v>0</v>
      </c>
      <c r="N22" s="26"/>
    </row>
    <row r="23" spans="1:20" ht="24.95" customHeight="1">
      <c r="A23" s="96" t="s">
        <v>12</v>
      </c>
      <c r="B23" s="89" t="s">
        <v>455</v>
      </c>
      <c r="C23" s="92">
        <v>2655915</v>
      </c>
      <c r="D23" s="792">
        <v>2671703</v>
      </c>
      <c r="E23" s="792">
        <v>722840</v>
      </c>
      <c r="F23" s="797">
        <v>156672.78</v>
      </c>
      <c r="G23" s="792">
        <f>M23+F23</f>
        <v>501090.21000000008</v>
      </c>
      <c r="H23" s="90">
        <v>416627.41</v>
      </c>
      <c r="I23" s="90">
        <v>449471.38</v>
      </c>
      <c r="J23" s="92">
        <f>+E23-G23</f>
        <v>221749.78999999992</v>
      </c>
      <c r="K23" s="92">
        <f>+D23-G23</f>
        <v>2170612.79</v>
      </c>
      <c r="L23" s="273">
        <f>+G23/E17*100</f>
        <v>3.7659713825676393</v>
      </c>
      <c r="M23" s="26">
        <v>344417.43000000005</v>
      </c>
      <c r="N23" s="26"/>
      <c r="P23" s="1"/>
      <c r="Q23" s="26"/>
    </row>
    <row r="24" spans="1:20" ht="24.95" customHeight="1">
      <c r="A24" s="96"/>
      <c r="B24" s="89"/>
      <c r="C24" s="92"/>
      <c r="D24" s="792" t="s">
        <v>12</v>
      </c>
      <c r="E24" s="792"/>
      <c r="F24" s="797"/>
      <c r="G24" s="792">
        <f t="shared" ref="G24:G27" si="2">M24+F24</f>
        <v>0</v>
      </c>
      <c r="H24" s="90"/>
      <c r="I24" s="90"/>
      <c r="J24" s="92" t="s">
        <v>12</v>
      </c>
      <c r="K24" s="92" t="s">
        <v>12</v>
      </c>
      <c r="L24" s="273"/>
      <c r="M24" s="26">
        <v>0</v>
      </c>
      <c r="N24" s="26"/>
      <c r="Q24" s="26"/>
    </row>
    <row r="25" spans="1:20" ht="24.95" customHeight="1">
      <c r="A25" s="96" t="s">
        <v>12</v>
      </c>
      <c r="B25" s="89" t="s">
        <v>456</v>
      </c>
      <c r="C25" s="92">
        <v>35663263</v>
      </c>
      <c r="D25" s="792">
        <v>35579123</v>
      </c>
      <c r="E25" s="792">
        <v>9257856</v>
      </c>
      <c r="F25" s="797">
        <v>2607697.4700000002</v>
      </c>
      <c r="G25" s="792">
        <f t="shared" si="2"/>
        <v>8427698.5999999996</v>
      </c>
      <c r="H25" s="90">
        <v>7298094.0899999999</v>
      </c>
      <c r="I25" s="90">
        <v>7984618.4800000004</v>
      </c>
      <c r="J25" s="92">
        <f>+E25-G25</f>
        <v>830157.40000000037</v>
      </c>
      <c r="K25" s="92">
        <f>+D25-G25</f>
        <v>27151424.399999999</v>
      </c>
      <c r="L25" s="273">
        <f>+G25/E25*100</f>
        <v>91.032941104290231</v>
      </c>
      <c r="M25" s="26">
        <v>5820001.1299999999</v>
      </c>
      <c r="N25" s="26"/>
      <c r="P25" s="26"/>
      <c r="Q25" s="26"/>
    </row>
    <row r="26" spans="1:20" ht="24.95" customHeight="1">
      <c r="A26" s="96"/>
      <c r="B26" s="89"/>
      <c r="C26" s="92"/>
      <c r="D26" s="792"/>
      <c r="E26" s="792"/>
      <c r="F26" s="797"/>
      <c r="G26" s="792">
        <f t="shared" si="2"/>
        <v>0</v>
      </c>
      <c r="H26" s="90"/>
      <c r="I26" s="90"/>
      <c r="J26" s="92" t="s">
        <v>12</v>
      </c>
      <c r="K26" s="92"/>
      <c r="L26" s="273"/>
      <c r="M26" s="26">
        <v>0</v>
      </c>
      <c r="N26" s="26"/>
      <c r="Q26" s="26"/>
    </row>
    <row r="27" spans="1:20" ht="24.95" customHeight="1">
      <c r="A27" s="96" t="s">
        <v>12</v>
      </c>
      <c r="B27" s="89" t="s">
        <v>457</v>
      </c>
      <c r="C27" s="92">
        <v>33128848</v>
      </c>
      <c r="D27" s="792">
        <v>33288888</v>
      </c>
      <c r="E27" s="792">
        <v>8817600</v>
      </c>
      <c r="F27" s="797">
        <v>2333231.12</v>
      </c>
      <c r="G27" s="792">
        <f t="shared" si="2"/>
        <v>7398538.8500000006</v>
      </c>
      <c r="H27" s="90">
        <v>6350062.3799999999</v>
      </c>
      <c r="I27" s="90">
        <v>6918043.1500000004</v>
      </c>
      <c r="J27" s="92">
        <f>+E27-G27</f>
        <v>1419061.1499999994</v>
      </c>
      <c r="K27" s="92">
        <f>+D27-G27</f>
        <v>25890349.149999999</v>
      </c>
      <c r="L27" s="273">
        <f>+G27/E27*100</f>
        <v>83.906492129377625</v>
      </c>
      <c r="M27" s="627">
        <f>5065370.04-62.31</f>
        <v>5065307.7300000004</v>
      </c>
      <c r="N27" s="26"/>
      <c r="P27" s="1"/>
    </row>
    <row r="28" spans="1:20" ht="24.95" customHeight="1">
      <c r="A28" s="97"/>
      <c r="B28" s="89"/>
      <c r="C28" s="92"/>
      <c r="D28" s="90"/>
      <c r="E28" s="789"/>
      <c r="F28" s="90"/>
      <c r="G28" s="90">
        <f>F28+M28</f>
        <v>0</v>
      </c>
      <c r="H28" s="90"/>
      <c r="I28" s="90"/>
      <c r="J28" s="92">
        <f>+E28-G28</f>
        <v>0</v>
      </c>
      <c r="K28" s="92" t="s">
        <v>12</v>
      </c>
      <c r="L28" s="273" t="s">
        <v>12</v>
      </c>
      <c r="M28" s="26">
        <v>0</v>
      </c>
      <c r="N28" s="26"/>
    </row>
    <row r="29" spans="1:20" ht="24.95" customHeight="1">
      <c r="A29" s="98" t="s">
        <v>458</v>
      </c>
      <c r="B29" s="88" t="s">
        <v>642</v>
      </c>
      <c r="C29" s="94">
        <v>15439609</v>
      </c>
      <c r="D29" s="84">
        <v>14727501</v>
      </c>
      <c r="E29" s="787">
        <v>4796651</v>
      </c>
      <c r="F29" s="84">
        <v>1020987.15</v>
      </c>
      <c r="G29" s="84">
        <v>3020598.65</v>
      </c>
      <c r="H29" s="84">
        <v>2493817.4300000002</v>
      </c>
      <c r="I29" s="84">
        <v>2676914.7200000002</v>
      </c>
      <c r="J29" s="94">
        <f>+E29-G29</f>
        <v>1776052.35</v>
      </c>
      <c r="K29" s="94">
        <f>+D29-G29</f>
        <v>11706902.35</v>
      </c>
      <c r="L29" s="271">
        <f>+G29/E29*100</f>
        <v>62.973075381135715</v>
      </c>
      <c r="M29" s="26">
        <v>1998815.36</v>
      </c>
      <c r="N29" s="108"/>
    </row>
    <row r="30" spans="1:20" ht="24.95" customHeight="1">
      <c r="A30" s="99"/>
      <c r="B30" s="100"/>
      <c r="C30" s="101"/>
      <c r="D30" s="101" t="s">
        <v>12</v>
      </c>
      <c r="E30" s="798"/>
      <c r="F30" s="101"/>
      <c r="G30" s="101" t="s">
        <v>12</v>
      </c>
      <c r="H30" s="101"/>
      <c r="I30" s="101"/>
      <c r="J30" s="101"/>
      <c r="K30" s="101" t="s">
        <v>12</v>
      </c>
      <c r="L30" s="274" t="s">
        <v>12</v>
      </c>
      <c r="M30" s="26" t="s">
        <v>12</v>
      </c>
      <c r="N30" s="26" t="s">
        <v>12</v>
      </c>
    </row>
    <row r="31" spans="1:20" ht="10.5" customHeight="1">
      <c r="A31" s="102"/>
      <c r="B31" s="103"/>
      <c r="C31" s="104"/>
      <c r="D31" s="655"/>
      <c r="E31" s="655"/>
      <c r="F31" s="655"/>
      <c r="G31" s="655" t="s">
        <v>12</v>
      </c>
      <c r="H31" s="655"/>
      <c r="I31" s="655"/>
      <c r="J31" s="655"/>
      <c r="K31" s="655" t="s">
        <v>12</v>
      </c>
      <c r="L31" s="3"/>
    </row>
    <row r="32" spans="1:20" ht="16.5" customHeight="1">
      <c r="A32" s="105"/>
      <c r="B32" s="835" t="s">
        <v>39</v>
      </c>
      <c r="C32" s="835"/>
      <c r="D32" s="656"/>
      <c r="E32" s="656"/>
      <c r="F32" s="656"/>
      <c r="G32" s="658"/>
      <c r="H32" s="658"/>
      <c r="I32" s="658"/>
      <c r="J32" s="658"/>
      <c r="K32" s="655"/>
      <c r="L32" s="3"/>
    </row>
    <row r="35" spans="1:12">
      <c r="A35"/>
      <c r="B35"/>
      <c r="C35"/>
      <c r="D35" s="325" t="s">
        <v>12</v>
      </c>
    </row>
    <row r="38" spans="1:12">
      <c r="A38"/>
      <c r="B38"/>
      <c r="C38"/>
      <c r="L38" s="165" t="s">
        <v>12</v>
      </c>
    </row>
  </sheetData>
  <mergeCells count="10">
    <mergeCell ref="B32:C32"/>
    <mergeCell ref="A6:A7"/>
    <mergeCell ref="B6:B7"/>
    <mergeCell ref="L6:L7"/>
    <mergeCell ref="J6:K6"/>
    <mergeCell ref="B1:L1"/>
    <mergeCell ref="B2:L2"/>
    <mergeCell ref="A3:L3"/>
    <mergeCell ref="A4:L4"/>
    <mergeCell ref="C6:I6"/>
  </mergeCells>
  <pageMargins left="0" right="0" top="0.78740157480314965" bottom="0.35433070866141736" header="0.51181102362204722" footer="0.98425196850393704"/>
  <pageSetup scale="70" firstPageNumber="0" fitToWidth="0" fitToHeight="0" orientation="landscape" useFirstPageNumber="1" r:id="rId1"/>
  <headerFooter alignWithMargins="0">
    <oddFooter>&amp;R&amp;"Times New Roman,Normal"&amp;12</oddFooter>
  </headerFooter>
  <ignoredErrors>
    <ignoredError sqref="A29" numberStoredAsText="1"/>
    <ignoredError sqref="G28 G20 G21:G22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23">
    <tabColor theme="6" tint="0.39997558519241921"/>
  </sheetPr>
  <dimension ref="A1:P58"/>
  <sheetViews>
    <sheetView showGridLines="0" showZeros="0" zoomScale="80" zoomScaleNormal="80" workbookViewId="0">
      <selection activeCell="Q20" sqref="Q20"/>
    </sheetView>
  </sheetViews>
  <sheetFormatPr baseColWidth="10" defaultColWidth="11" defaultRowHeight="12.75"/>
  <cols>
    <col min="1" max="1" width="78.85546875" customWidth="1"/>
    <col min="2" max="2" width="13" customWidth="1"/>
    <col min="3" max="3" width="0.28515625" hidden="1" customWidth="1"/>
    <col min="4" max="4" width="18.7109375" style="26" customWidth="1"/>
    <col min="5" max="5" width="14.28515625" customWidth="1"/>
    <col min="6" max="6" width="16.85546875" style="26" hidden="1" customWidth="1"/>
    <col min="7" max="7" width="17.85546875" style="26" customWidth="1"/>
    <col min="8" max="8" width="14" style="26" customWidth="1"/>
    <col min="9" max="9" width="12" style="26" customWidth="1"/>
    <col min="10" max="10" width="15.85546875" style="26" customWidth="1"/>
    <col min="11" max="11" width="15" style="26" customWidth="1"/>
    <col min="12" max="12" width="14" style="312" customWidth="1"/>
    <col min="13" max="14" width="0.140625" style="26" hidden="1" customWidth="1"/>
    <col min="15" max="15" width="8" customWidth="1"/>
    <col min="16" max="16" width="11.7109375" customWidth="1"/>
  </cols>
  <sheetData>
    <row r="1" spans="1:14" ht="20.100000000000001" customHeight="1">
      <c r="A1" s="830" t="s">
        <v>58</v>
      </c>
      <c r="B1" s="830"/>
      <c r="C1" s="830"/>
      <c r="D1" s="830"/>
      <c r="E1" s="830"/>
      <c r="F1" s="830"/>
      <c r="G1" s="830"/>
      <c r="H1" s="830"/>
      <c r="I1" s="830"/>
      <c r="J1" s="830"/>
      <c r="K1" s="830"/>
      <c r="L1" s="830"/>
    </row>
    <row r="2" spans="1:14" ht="20.100000000000001" customHeight="1">
      <c r="A2" s="830" t="s">
        <v>59</v>
      </c>
      <c r="B2" s="830"/>
      <c r="C2" s="830"/>
      <c r="D2" s="830"/>
      <c r="E2" s="830"/>
      <c r="F2" s="830"/>
      <c r="G2" s="830"/>
      <c r="H2" s="830"/>
      <c r="I2" s="830"/>
      <c r="J2" s="830"/>
      <c r="K2" s="830"/>
      <c r="L2" s="830"/>
    </row>
    <row r="3" spans="1:14" ht="20.100000000000001" customHeight="1">
      <c r="A3" s="831" t="s">
        <v>459</v>
      </c>
      <c r="B3" s="831"/>
      <c r="C3" s="831"/>
      <c r="D3" s="831"/>
      <c r="E3" s="831"/>
      <c r="F3" s="831"/>
      <c r="G3" s="831"/>
      <c r="H3" s="831"/>
      <c r="I3" s="831"/>
      <c r="J3" s="831"/>
      <c r="K3" s="831"/>
      <c r="L3" s="831"/>
    </row>
    <row r="4" spans="1:14" ht="20.100000000000001" customHeight="1">
      <c r="A4" s="831" t="s">
        <v>624</v>
      </c>
      <c r="B4" s="831"/>
      <c r="C4" s="831"/>
      <c r="D4" s="831"/>
      <c r="E4" s="831"/>
      <c r="F4" s="831"/>
      <c r="G4" s="831"/>
      <c r="H4" s="831"/>
      <c r="I4" s="831"/>
      <c r="J4" s="831"/>
      <c r="K4" s="831"/>
      <c r="L4" s="831"/>
    </row>
    <row r="5" spans="1:14" ht="10.5" customHeight="1">
      <c r="A5" s="8"/>
      <c r="B5" s="8"/>
      <c r="C5" s="8"/>
      <c r="D5" s="668"/>
      <c r="E5" s="8"/>
      <c r="F5" s="668"/>
      <c r="G5" s="671"/>
      <c r="H5" s="671"/>
      <c r="I5" s="671"/>
      <c r="J5" s="671"/>
      <c r="K5" s="671"/>
    </row>
    <row r="6" spans="1:14" ht="20.25" customHeight="1">
      <c r="A6" s="913" t="s">
        <v>460</v>
      </c>
      <c r="B6" s="910" t="s">
        <v>48</v>
      </c>
      <c r="C6" s="911"/>
      <c r="D6" s="911"/>
      <c r="E6" s="911"/>
      <c r="F6" s="911"/>
      <c r="G6" s="911"/>
      <c r="H6" s="911"/>
      <c r="I6" s="912"/>
      <c r="J6" s="917" t="s">
        <v>49</v>
      </c>
      <c r="K6" s="918"/>
      <c r="L6" s="915" t="s">
        <v>40</v>
      </c>
    </row>
    <row r="7" spans="1:14" ht="29.25" customHeight="1">
      <c r="A7" s="914"/>
      <c r="B7" s="390" t="s">
        <v>2</v>
      </c>
      <c r="C7" s="391" t="s">
        <v>594</v>
      </c>
      <c r="D7" s="390" t="s">
        <v>3</v>
      </c>
      <c r="E7" s="392" t="s">
        <v>25</v>
      </c>
      <c r="F7" s="670" t="s">
        <v>64</v>
      </c>
      <c r="G7" s="670" t="s">
        <v>41</v>
      </c>
      <c r="H7" s="670" t="s">
        <v>46</v>
      </c>
      <c r="I7" s="670" t="s">
        <v>42</v>
      </c>
      <c r="J7" s="670" t="s">
        <v>50</v>
      </c>
      <c r="K7" s="677" t="s">
        <v>51</v>
      </c>
      <c r="L7" s="916"/>
    </row>
    <row r="8" spans="1:14" ht="20.100000000000001" customHeight="1">
      <c r="A8" s="48" t="s">
        <v>461</v>
      </c>
      <c r="B8" s="49">
        <f>B9+B10+B11</f>
        <v>39203856</v>
      </c>
      <c r="C8" s="75" t="e">
        <f>C9+C12+C13+C14+C15+C16+#REF!</f>
        <v>#REF!</v>
      </c>
      <c r="D8" s="665">
        <f>D9+D10+D11+D17</f>
        <v>38062122</v>
      </c>
      <c r="E8" s="665">
        <f>E9+E10+E11+E17</f>
        <v>9207577</v>
      </c>
      <c r="F8" s="665">
        <f>F9+F10+F11+F17</f>
        <v>1985376.8099999998</v>
      </c>
      <c r="G8" s="665">
        <f>G9+G10+G11+G17</f>
        <v>2232662.09</v>
      </c>
      <c r="H8" s="665">
        <f>H9</f>
        <v>316815.21999999997</v>
      </c>
      <c r="I8" s="665">
        <f>I9</f>
        <v>81781.399999999994</v>
      </c>
      <c r="J8" s="665">
        <f>+E8-G8</f>
        <v>6974914.9100000001</v>
      </c>
      <c r="K8" s="75">
        <f>K9+K10+K11</f>
        <v>35829459.909999996</v>
      </c>
      <c r="L8" s="313">
        <f>+G8*100/E8</f>
        <v>24.248095780247073</v>
      </c>
      <c r="M8" s="26" t="e">
        <f>M9+M12+M16+#REF!</f>
        <v>#REF!</v>
      </c>
      <c r="N8" s="542">
        <v>247285.28000000003</v>
      </c>
    </row>
    <row r="9" spans="1:14" ht="20.100000000000001" customHeight="1">
      <c r="A9" s="818" t="s">
        <v>643</v>
      </c>
      <c r="B9" s="50">
        <v>3322649</v>
      </c>
      <c r="C9" s="50">
        <v>5079707</v>
      </c>
      <c r="D9" s="50">
        <v>2995561</v>
      </c>
      <c r="E9" s="51">
        <v>2595981</v>
      </c>
      <c r="F9" s="51">
        <v>1379844.43</v>
      </c>
      <c r="G9" s="51">
        <f>N9+F9</f>
        <v>1627129.71</v>
      </c>
      <c r="H9" s="51">
        <v>316815.21999999997</v>
      </c>
      <c r="I9" s="51">
        <v>81781.399999999994</v>
      </c>
      <c r="J9" s="51">
        <f>+E9-G9</f>
        <v>968851.29</v>
      </c>
      <c r="K9" s="76">
        <f>D9-G9</f>
        <v>1368431.29</v>
      </c>
      <c r="L9" s="314">
        <f>+G9*100/E9</f>
        <v>62.678798881809996</v>
      </c>
      <c r="M9" s="26">
        <v>2916063.22</v>
      </c>
      <c r="N9" s="52">
        <v>247285.28000000003</v>
      </c>
    </row>
    <row r="10" spans="1:14" ht="20.100000000000001" customHeight="1">
      <c r="A10" s="162" t="s">
        <v>593</v>
      </c>
      <c r="B10" s="50">
        <v>600000</v>
      </c>
      <c r="C10" s="50"/>
      <c r="D10" s="50">
        <v>357334</v>
      </c>
      <c r="E10" s="51">
        <v>127334</v>
      </c>
      <c r="F10" s="51"/>
      <c r="G10" s="51"/>
      <c r="H10" s="51"/>
      <c r="I10" s="51"/>
      <c r="J10" s="51">
        <f t="shared" ref="J10:J16" si="0">+E10-G10</f>
        <v>127334</v>
      </c>
      <c r="K10" s="76">
        <f>D10-G10</f>
        <v>357334</v>
      </c>
      <c r="L10" s="314">
        <f>+G10*100/E10</f>
        <v>0</v>
      </c>
      <c r="N10" s="52"/>
    </row>
    <row r="11" spans="1:14" ht="18" customHeight="1">
      <c r="A11" s="162" t="s">
        <v>605</v>
      </c>
      <c r="B11" s="50">
        <v>35281207</v>
      </c>
      <c r="C11" s="50"/>
      <c r="D11" s="50">
        <v>34133172</v>
      </c>
      <c r="E11" s="51">
        <v>5908207</v>
      </c>
      <c r="F11" s="51">
        <v>29477.38</v>
      </c>
      <c r="G11" s="51">
        <f>N11+F11</f>
        <v>29477.38</v>
      </c>
      <c r="H11" s="51"/>
      <c r="I11" s="51"/>
      <c r="J11" s="51">
        <f>+E11-G11</f>
        <v>5878729.6200000001</v>
      </c>
      <c r="K11" s="76">
        <f>D11-G11</f>
        <v>34103694.619999997</v>
      </c>
      <c r="L11" s="314">
        <f t="shared" ref="L11:L17" si="1">+G11*100/E11</f>
        <v>0.49892260037605318</v>
      </c>
      <c r="N11" s="52"/>
    </row>
    <row r="12" spans="1:14" ht="36.75" hidden="1" customHeight="1">
      <c r="A12" s="53" t="s">
        <v>462</v>
      </c>
      <c r="B12" s="54">
        <v>5000000</v>
      </c>
      <c r="C12" s="54">
        <v>2998588</v>
      </c>
      <c r="D12" s="54">
        <v>1089854</v>
      </c>
      <c r="E12" s="55">
        <v>1089854</v>
      </c>
      <c r="F12" s="55"/>
      <c r="G12" s="55">
        <v>1081862.27</v>
      </c>
      <c r="H12" s="55">
        <v>934338.16</v>
      </c>
      <c r="I12" s="55">
        <v>341076.31</v>
      </c>
      <c r="J12" s="55">
        <f>E12-G12</f>
        <v>7991.7299999999814</v>
      </c>
      <c r="K12" s="749">
        <f>D12-G12</f>
        <v>7991.7299999999814</v>
      </c>
      <c r="L12" s="314">
        <f t="shared" si="1"/>
        <v>99.26671554171476</v>
      </c>
      <c r="M12" s="26">
        <v>1340260.42</v>
      </c>
      <c r="N12" s="543">
        <v>1081862.27</v>
      </c>
    </row>
    <row r="13" spans="1:14" ht="26.25" hidden="1" customHeight="1">
      <c r="A13" s="56" t="s">
        <v>463</v>
      </c>
      <c r="B13" s="50">
        <v>382798</v>
      </c>
      <c r="C13" s="50">
        <v>231399</v>
      </c>
      <c r="D13" s="50"/>
      <c r="E13" s="51" t="s">
        <v>132</v>
      </c>
      <c r="F13" s="51"/>
      <c r="G13" s="51"/>
      <c r="H13" s="51"/>
      <c r="I13" s="51"/>
      <c r="J13" s="51"/>
      <c r="K13" s="749">
        <f t="shared" ref="K13:K20" si="2">+D13-G13</f>
        <v>0</v>
      </c>
      <c r="L13" s="314" t="e">
        <f t="shared" si="1"/>
        <v>#VALUE!</v>
      </c>
      <c r="N13" s="52"/>
    </row>
    <row r="14" spans="1:14" ht="21" hidden="1" customHeight="1">
      <c r="A14" s="56" t="s">
        <v>464</v>
      </c>
      <c r="B14" s="50">
        <v>2000000</v>
      </c>
      <c r="C14" s="50">
        <v>987809</v>
      </c>
      <c r="D14" s="50">
        <v>14204</v>
      </c>
      <c r="E14" s="51">
        <v>14204</v>
      </c>
      <c r="F14" s="51"/>
      <c r="G14" s="51"/>
      <c r="H14" s="51"/>
      <c r="I14" s="51"/>
      <c r="J14" s="51">
        <f t="shared" si="0"/>
        <v>14204</v>
      </c>
      <c r="K14" s="749">
        <f t="shared" si="2"/>
        <v>14204</v>
      </c>
      <c r="L14" s="314">
        <f t="shared" si="1"/>
        <v>0</v>
      </c>
      <c r="N14" s="52"/>
    </row>
    <row r="15" spans="1:14" ht="27" hidden="1" customHeight="1">
      <c r="A15" s="56" t="s">
        <v>465</v>
      </c>
      <c r="B15" s="54">
        <v>1135854</v>
      </c>
      <c r="C15" s="54">
        <v>760673</v>
      </c>
      <c r="D15" s="54">
        <v>56816</v>
      </c>
      <c r="E15" s="55">
        <v>56816</v>
      </c>
      <c r="F15" s="55"/>
      <c r="G15" s="55"/>
      <c r="H15" s="55"/>
      <c r="I15" s="55"/>
      <c r="J15" s="51">
        <f t="shared" si="0"/>
        <v>56816</v>
      </c>
      <c r="K15" s="749">
        <f t="shared" si="2"/>
        <v>56816</v>
      </c>
      <c r="L15" s="314">
        <f t="shared" si="1"/>
        <v>0</v>
      </c>
      <c r="N15" s="543"/>
    </row>
    <row r="16" spans="1:14" ht="21" hidden="1" customHeight="1">
      <c r="A16" s="56" t="s">
        <v>466</v>
      </c>
      <c r="B16" s="54">
        <v>283423</v>
      </c>
      <c r="C16" s="54">
        <v>141711</v>
      </c>
      <c r="D16" s="54">
        <v>431536</v>
      </c>
      <c r="E16" s="55">
        <v>431536</v>
      </c>
      <c r="F16" s="55"/>
      <c r="G16" s="55">
        <f>+F16+N16</f>
        <v>481536</v>
      </c>
      <c r="H16" s="55">
        <v>46371.35</v>
      </c>
      <c r="I16" s="55">
        <v>133760</v>
      </c>
      <c r="J16" s="51">
        <f t="shared" si="0"/>
        <v>-50000</v>
      </c>
      <c r="K16" s="749">
        <f t="shared" si="2"/>
        <v>-50000</v>
      </c>
      <c r="L16" s="314">
        <f t="shared" si="1"/>
        <v>111.58651885358348</v>
      </c>
      <c r="M16" s="26">
        <v>481536</v>
      </c>
      <c r="N16" s="543">
        <v>481536</v>
      </c>
    </row>
    <row r="17" spans="1:16" ht="21" customHeight="1">
      <c r="A17" s="162" t="s">
        <v>627</v>
      </c>
      <c r="B17" s="50"/>
      <c r="C17" s="50"/>
      <c r="D17" s="50">
        <v>576055</v>
      </c>
      <c r="E17" s="51">
        <v>576055</v>
      </c>
      <c r="F17" s="51">
        <v>576055</v>
      </c>
      <c r="G17" s="51">
        <v>576055</v>
      </c>
      <c r="H17" s="51"/>
      <c r="I17" s="51"/>
      <c r="J17" s="51">
        <f>+E17-G17</f>
        <v>0</v>
      </c>
      <c r="K17" s="76">
        <f>+D17-G17</f>
        <v>0</v>
      </c>
      <c r="L17" s="314">
        <f t="shared" si="1"/>
        <v>100</v>
      </c>
      <c r="N17" s="543">
        <v>5825459.3500000006</v>
      </c>
    </row>
    <row r="18" spans="1:16" ht="0.75" customHeight="1">
      <c r="D18" s="1"/>
      <c r="E18" s="1"/>
      <c r="F18" s="1"/>
      <c r="G18" s="1"/>
      <c r="H18" s="1"/>
      <c r="I18" s="1"/>
      <c r="J18" s="1"/>
      <c r="K18" s="1"/>
      <c r="N18" s="52">
        <v>4604255.7799999993</v>
      </c>
    </row>
    <row r="19" spans="1:16" ht="15" hidden="1" customHeight="1">
      <c r="B19" s="50"/>
      <c r="C19" s="50"/>
      <c r="D19" s="50"/>
      <c r="E19" s="51"/>
      <c r="F19" s="51"/>
      <c r="G19" s="51"/>
      <c r="H19" s="51"/>
      <c r="I19" s="51"/>
      <c r="J19" s="51"/>
      <c r="K19" s="76"/>
      <c r="L19" s="314"/>
      <c r="N19" s="52">
        <v>12815.39</v>
      </c>
    </row>
    <row r="20" spans="1:16" ht="20.100000000000001" customHeight="1">
      <c r="A20" s="57" t="s">
        <v>467</v>
      </c>
      <c r="B20" s="58">
        <f>B22+B29</f>
        <v>1955170</v>
      </c>
      <c r="C20" s="58">
        <f>C22+C29</f>
        <v>1461464.25</v>
      </c>
      <c r="D20" s="750">
        <f>D22+D29+D21</f>
        <v>2151916</v>
      </c>
      <c r="E20" s="750">
        <f>E22+E29+E21</f>
        <v>1243380</v>
      </c>
      <c r="F20" s="750">
        <f>F22+F29+F21</f>
        <v>634464.62</v>
      </c>
      <c r="G20" s="750">
        <f>G22+G29+G21</f>
        <v>649902.22</v>
      </c>
      <c r="H20" s="665">
        <f>H22+H29</f>
        <v>12695.16</v>
      </c>
      <c r="I20" s="665"/>
      <c r="J20" s="665">
        <f>E20-G20</f>
        <v>593477.78</v>
      </c>
      <c r="K20" s="75">
        <f t="shared" si="2"/>
        <v>1502013.78</v>
      </c>
      <c r="L20" s="313">
        <f>+G20*100/E20</f>
        <v>52.268994193247437</v>
      </c>
      <c r="M20" s="26">
        <f>M21+M22+M23+M24+M25+M26+M28+M29+M30+M31+M32+M33+M34</f>
        <v>7929759.870000001</v>
      </c>
      <c r="N20" s="542">
        <v>95444.94</v>
      </c>
    </row>
    <row r="21" spans="1:16" ht="17.25" customHeight="1">
      <c r="A21" s="59" t="s">
        <v>468</v>
      </c>
      <c r="B21" s="299"/>
      <c r="C21" s="301">
        <v>2084500</v>
      </c>
      <c r="D21" s="51">
        <v>291224</v>
      </c>
      <c r="E21" s="61">
        <v>291224</v>
      </c>
      <c r="F21" s="51">
        <v>291223.78999999998</v>
      </c>
      <c r="G21" s="751">
        <f>N21+F21</f>
        <v>291223.78999999998</v>
      </c>
      <c r="H21" s="51"/>
      <c r="I21" s="51">
        <v>2606310.0299999998</v>
      </c>
      <c r="J21" s="51">
        <f>+D21-G21</f>
        <v>0.21000000002095476</v>
      </c>
      <c r="K21" s="76">
        <f>D21-G21</f>
        <v>0.21000000002095476</v>
      </c>
      <c r="L21" s="314">
        <f>+G21*100/E21</f>
        <v>99.999927890558453</v>
      </c>
      <c r="M21" s="26">
        <f>4379964.34-19174.4</f>
        <v>4360789.9399999995</v>
      </c>
      <c r="N21" s="672"/>
      <c r="P21" s="26"/>
    </row>
    <row r="22" spans="1:16" ht="18.75" customHeight="1">
      <c r="A22" s="666" t="s">
        <v>469</v>
      </c>
      <c r="B22" s="299">
        <v>1249570</v>
      </c>
      <c r="C22" s="300">
        <v>706109.25</v>
      </c>
      <c r="D22" s="51">
        <v>1258563</v>
      </c>
      <c r="E22" s="61">
        <v>914507</v>
      </c>
      <c r="F22" s="51">
        <v>317625.15000000002</v>
      </c>
      <c r="G22" s="51">
        <f>N22+F22</f>
        <v>330440.54000000004</v>
      </c>
      <c r="H22" s="51">
        <v>12695.16</v>
      </c>
      <c r="I22" s="51"/>
      <c r="J22" s="752">
        <f>+E22-G22</f>
        <v>584066.46</v>
      </c>
      <c r="K22" s="752">
        <f>D22-G22</f>
        <v>928122.46</v>
      </c>
      <c r="L22" s="314">
        <f t="shared" ref="L22:L29" si="3">+G22*100/E22</f>
        <v>36.133188701672054</v>
      </c>
      <c r="M22" s="26">
        <v>430390.75</v>
      </c>
      <c r="N22" s="52">
        <v>12815.39</v>
      </c>
    </row>
    <row r="23" spans="1:16" ht="3.75" hidden="1" customHeight="1">
      <c r="A23" s="666" t="s">
        <v>470</v>
      </c>
      <c r="B23" s="299">
        <v>4628400</v>
      </c>
      <c r="C23" s="300">
        <v>2385818</v>
      </c>
      <c r="D23" s="51">
        <v>95571</v>
      </c>
      <c r="E23" s="61">
        <v>95571</v>
      </c>
      <c r="F23" s="51"/>
      <c r="G23" s="51">
        <f t="shared" ref="G23:G29" si="4">N23+F23</f>
        <v>196884.57</v>
      </c>
      <c r="H23" s="51">
        <v>95444.94</v>
      </c>
      <c r="I23" s="51">
        <v>40970.1</v>
      </c>
      <c r="J23" s="752">
        <f t="shared" ref="J23:J29" si="5">+E23-G23</f>
        <v>-101313.57</v>
      </c>
      <c r="K23" s="752">
        <f t="shared" ref="K23:K29" si="6">D23-G23</f>
        <v>-101313.57</v>
      </c>
      <c r="L23" s="314">
        <f t="shared" si="3"/>
        <v>206.00869510625608</v>
      </c>
      <c r="M23" s="26">
        <v>95444.94</v>
      </c>
      <c r="N23" s="52">
        <v>196884.57</v>
      </c>
    </row>
    <row r="24" spans="1:16" ht="16.5" hidden="1" customHeight="1">
      <c r="A24" s="666" t="s">
        <v>471</v>
      </c>
      <c r="B24" s="299">
        <v>2000000</v>
      </c>
      <c r="C24" s="300">
        <v>1583358</v>
      </c>
      <c r="D24" s="51">
        <v>2153825</v>
      </c>
      <c r="E24" s="61">
        <v>2153825</v>
      </c>
      <c r="F24" s="51">
        <v>44909.79</v>
      </c>
      <c r="G24" s="51">
        <f t="shared" si="4"/>
        <v>44909.79</v>
      </c>
      <c r="H24" s="51">
        <v>1127803.47</v>
      </c>
      <c r="I24" s="51">
        <v>1048788.1399999999</v>
      </c>
      <c r="J24" s="752">
        <f t="shared" si="5"/>
        <v>2108915.21</v>
      </c>
      <c r="K24" s="752">
        <f t="shared" si="6"/>
        <v>2108915.21</v>
      </c>
      <c r="L24" s="314">
        <f t="shared" si="3"/>
        <v>2.0851178716933827</v>
      </c>
      <c r="M24" s="26">
        <v>1731452.96</v>
      </c>
      <c r="N24" s="52">
        <v>0</v>
      </c>
    </row>
    <row r="25" spans="1:16" ht="15.75" hidden="1" customHeight="1">
      <c r="A25" s="666" t="s">
        <v>472</v>
      </c>
      <c r="B25" s="299">
        <v>1000000</v>
      </c>
      <c r="C25" s="300">
        <v>454424</v>
      </c>
      <c r="D25" s="51">
        <v>529723</v>
      </c>
      <c r="E25" s="61">
        <v>529723</v>
      </c>
      <c r="F25" s="51">
        <v>-611.79</v>
      </c>
      <c r="G25" s="51">
        <f t="shared" si="4"/>
        <v>63884.03</v>
      </c>
      <c r="H25" s="51">
        <v>234013.25</v>
      </c>
      <c r="I25" s="51">
        <v>92974.23</v>
      </c>
      <c r="J25" s="752">
        <f t="shared" si="5"/>
        <v>465838.97</v>
      </c>
      <c r="K25" s="752">
        <f t="shared" si="6"/>
        <v>465838.97</v>
      </c>
      <c r="L25" s="314">
        <f t="shared" si="3"/>
        <v>12.059893567015214</v>
      </c>
      <c r="M25" s="26">
        <v>511856.07</v>
      </c>
      <c r="N25" s="52">
        <v>64495.82</v>
      </c>
    </row>
    <row r="26" spans="1:16" ht="15" hidden="1" customHeight="1">
      <c r="A26" s="667" t="s">
        <v>473</v>
      </c>
      <c r="B26" s="299">
        <v>1270000</v>
      </c>
      <c r="C26" s="300">
        <v>1015903</v>
      </c>
      <c r="D26" s="51">
        <v>199885</v>
      </c>
      <c r="E26" s="61">
        <v>199885</v>
      </c>
      <c r="F26" s="51"/>
      <c r="G26" s="51">
        <f t="shared" si="4"/>
        <v>2622.21</v>
      </c>
      <c r="H26" s="51">
        <v>38781.19</v>
      </c>
      <c r="I26" s="51">
        <v>30055.17</v>
      </c>
      <c r="J26" s="752">
        <f t="shared" si="5"/>
        <v>197262.79</v>
      </c>
      <c r="K26" s="752">
        <f t="shared" si="6"/>
        <v>197262.79</v>
      </c>
      <c r="L26" s="314">
        <f t="shared" si="3"/>
        <v>1.3118593191084873</v>
      </c>
      <c r="M26" s="26">
        <v>196884.57</v>
      </c>
      <c r="N26" s="52">
        <v>2622.21</v>
      </c>
    </row>
    <row r="27" spans="1:16" ht="0.75" hidden="1" customHeight="1">
      <c r="A27" s="666" t="s">
        <v>474</v>
      </c>
      <c r="B27" s="299">
        <v>106000</v>
      </c>
      <c r="C27" s="300">
        <v>53000</v>
      </c>
      <c r="D27" s="51">
        <v>0</v>
      </c>
      <c r="E27" s="61">
        <v>0</v>
      </c>
      <c r="F27" s="51"/>
      <c r="G27" s="51">
        <f t="shared" si="4"/>
        <v>90624.41</v>
      </c>
      <c r="H27" s="51"/>
      <c r="I27" s="51"/>
      <c r="J27" s="752">
        <f t="shared" si="5"/>
        <v>-90624.41</v>
      </c>
      <c r="K27" s="752">
        <f t="shared" si="6"/>
        <v>-90624.41</v>
      </c>
      <c r="L27" s="314" t="e">
        <f t="shared" si="3"/>
        <v>#DIV/0!</v>
      </c>
      <c r="N27" s="52">
        <v>90624.41</v>
      </c>
    </row>
    <row r="28" spans="1:16" ht="21" hidden="1" customHeight="1">
      <c r="A28" s="666" t="s">
        <v>475</v>
      </c>
      <c r="B28" s="299">
        <v>149583</v>
      </c>
      <c r="C28" s="300">
        <v>79059.41</v>
      </c>
      <c r="D28" s="51">
        <v>65815.59</v>
      </c>
      <c r="E28" s="61">
        <v>65815.59</v>
      </c>
      <c r="F28" s="51">
        <v>-1319.77</v>
      </c>
      <c r="G28" s="51">
        <f t="shared" si="4"/>
        <v>58102.23</v>
      </c>
      <c r="H28" s="51">
        <v>64495.82</v>
      </c>
      <c r="I28" s="51">
        <v>64495.82</v>
      </c>
      <c r="J28" s="752">
        <f t="shared" si="5"/>
        <v>7713.3599999999933</v>
      </c>
      <c r="K28" s="752">
        <f t="shared" si="6"/>
        <v>7713.3599999999933</v>
      </c>
      <c r="L28" s="314">
        <f t="shared" si="3"/>
        <v>88.280345127955258</v>
      </c>
      <c r="M28" s="26">
        <v>65815.59</v>
      </c>
      <c r="N28" s="672">
        <v>59422</v>
      </c>
    </row>
    <row r="29" spans="1:16" ht="23.25" customHeight="1">
      <c r="A29" s="666" t="s">
        <v>476</v>
      </c>
      <c r="B29" s="299">
        <v>705600</v>
      </c>
      <c r="C29" s="300">
        <v>755355</v>
      </c>
      <c r="D29" s="51">
        <v>602129</v>
      </c>
      <c r="E29" s="61">
        <v>37649</v>
      </c>
      <c r="F29" s="51">
        <v>25615.68</v>
      </c>
      <c r="G29" s="51">
        <f t="shared" si="4"/>
        <v>28237.89</v>
      </c>
      <c r="H29" s="51"/>
      <c r="I29" s="51"/>
      <c r="J29" s="752">
        <f t="shared" si="5"/>
        <v>9411.11</v>
      </c>
      <c r="K29" s="752">
        <f t="shared" si="6"/>
        <v>573891.11</v>
      </c>
      <c r="L29" s="314">
        <f t="shared" si="3"/>
        <v>75.003027968870356</v>
      </c>
      <c r="M29" s="77">
        <v>50468.69</v>
      </c>
      <c r="N29" s="52">
        <v>2622.21</v>
      </c>
    </row>
    <row r="30" spans="1:16" ht="23.25" hidden="1" customHeight="1">
      <c r="A30" s="53" t="s">
        <v>477</v>
      </c>
      <c r="B30" s="299">
        <v>519956</v>
      </c>
      <c r="C30" s="300">
        <v>291331</v>
      </c>
      <c r="D30" s="51">
        <v>123714</v>
      </c>
      <c r="E30" s="61">
        <v>123714</v>
      </c>
      <c r="F30" s="51">
        <v>1973.99</v>
      </c>
      <c r="G30" s="51">
        <f>N30+F30</f>
        <v>128385.65000000001</v>
      </c>
      <c r="H30" s="51">
        <v>89908.94</v>
      </c>
      <c r="I30" s="51">
        <v>74651.929999999993</v>
      </c>
      <c r="J30" s="51">
        <f t="shared" ref="J30:J34" si="7">+E30-G30</f>
        <v>-4671.6500000000087</v>
      </c>
      <c r="K30" s="76">
        <f t="shared" ref="K30:K34" si="8">+D30-G30</f>
        <v>-4671.6500000000087</v>
      </c>
      <c r="L30" s="314">
        <f t="shared" ref="L30:L34" si="9">+G30*100/E30</f>
        <v>103.77616922902824</v>
      </c>
      <c r="M30" s="26">
        <v>88650.42</v>
      </c>
      <c r="N30" s="52">
        <v>126411.66</v>
      </c>
    </row>
    <row r="31" spans="1:16" ht="23.25" hidden="1" customHeight="1">
      <c r="A31" s="53" t="s">
        <v>478</v>
      </c>
      <c r="B31" s="62">
        <v>271625</v>
      </c>
      <c r="C31" s="300">
        <v>135812</v>
      </c>
      <c r="D31" s="51">
        <v>59422</v>
      </c>
      <c r="E31" s="61">
        <v>59422</v>
      </c>
      <c r="F31" s="51">
        <v>0</v>
      </c>
      <c r="G31" s="51">
        <f t="shared" ref="G31:G34" si="10">M31+F31</f>
        <v>59422</v>
      </c>
      <c r="H31" s="51">
        <v>59422</v>
      </c>
      <c r="I31" s="51">
        <v>6496</v>
      </c>
      <c r="J31" s="51">
        <f t="shared" si="7"/>
        <v>0</v>
      </c>
      <c r="K31" s="76">
        <f t="shared" si="8"/>
        <v>0</v>
      </c>
      <c r="L31" s="314">
        <f t="shared" si="9"/>
        <v>100</v>
      </c>
      <c r="M31" s="26">
        <v>59422</v>
      </c>
      <c r="N31" s="52">
        <v>61231.12</v>
      </c>
    </row>
    <row r="32" spans="1:16" ht="23.25" hidden="1" customHeight="1">
      <c r="A32" s="53" t="s">
        <v>479</v>
      </c>
      <c r="B32" s="62">
        <v>394105</v>
      </c>
      <c r="C32" s="300">
        <v>247814</v>
      </c>
      <c r="D32" s="51">
        <v>150942</v>
      </c>
      <c r="E32" s="61">
        <v>150942</v>
      </c>
      <c r="F32" s="51">
        <v>-321</v>
      </c>
      <c r="G32" s="51">
        <f t="shared" si="10"/>
        <v>150620.16</v>
      </c>
      <c r="H32" s="51">
        <v>65102.28</v>
      </c>
      <c r="I32" s="51">
        <v>37543.82</v>
      </c>
      <c r="J32" s="51">
        <f t="shared" si="7"/>
        <v>321.83999999999651</v>
      </c>
      <c r="K32" s="76">
        <f t="shared" si="8"/>
        <v>321.83999999999651</v>
      </c>
      <c r="L32" s="314">
        <f t="shared" si="9"/>
        <v>99.786779027706004</v>
      </c>
      <c r="M32" s="26">
        <v>150941.16</v>
      </c>
      <c r="N32" s="52"/>
    </row>
    <row r="33" spans="1:15" ht="23.25" hidden="1" customHeight="1">
      <c r="A33" s="53" t="s">
        <v>480</v>
      </c>
      <c r="B33" s="62">
        <v>437560</v>
      </c>
      <c r="C33" s="300">
        <v>291464</v>
      </c>
      <c r="D33" s="51">
        <v>126412</v>
      </c>
      <c r="E33" s="61">
        <v>126412</v>
      </c>
      <c r="F33" s="51"/>
      <c r="G33" s="51">
        <f t="shared" si="10"/>
        <v>126411.66</v>
      </c>
      <c r="H33" s="51">
        <v>126411.66</v>
      </c>
      <c r="I33" s="51">
        <v>123426.36</v>
      </c>
      <c r="J33" s="51">
        <f t="shared" si="7"/>
        <v>0.33999999999650754</v>
      </c>
      <c r="K33" s="76">
        <f t="shared" si="8"/>
        <v>0.33999999999650754</v>
      </c>
      <c r="L33" s="314">
        <f t="shared" si="9"/>
        <v>99.999731038192579</v>
      </c>
      <c r="M33" s="26">
        <v>126411.66</v>
      </c>
      <c r="N33" s="52"/>
    </row>
    <row r="34" spans="1:15" ht="23.25" hidden="1" customHeight="1">
      <c r="A34" s="53" t="s">
        <v>481</v>
      </c>
      <c r="B34" s="62">
        <v>137348</v>
      </c>
      <c r="C34" s="300">
        <v>177787</v>
      </c>
      <c r="D34" s="51">
        <v>102784</v>
      </c>
      <c r="E34" s="61">
        <v>102784</v>
      </c>
      <c r="F34" s="51"/>
      <c r="G34" s="51">
        <f t="shared" si="10"/>
        <v>61231.12</v>
      </c>
      <c r="H34" s="51">
        <v>50548.54</v>
      </c>
      <c r="I34" s="51">
        <v>11275.68</v>
      </c>
      <c r="J34" s="51">
        <f t="shared" si="7"/>
        <v>41552.879999999997</v>
      </c>
      <c r="K34" s="76">
        <f t="shared" si="8"/>
        <v>41552.879999999997</v>
      </c>
      <c r="L34" s="314">
        <f t="shared" si="9"/>
        <v>59.572618306351181</v>
      </c>
      <c r="M34" s="26">
        <v>61231.12</v>
      </c>
      <c r="N34" s="52">
        <v>658440.03</v>
      </c>
    </row>
    <row r="35" spans="1:15" ht="23.25" hidden="1" customHeight="1">
      <c r="A35" s="63"/>
      <c r="B35" s="64"/>
      <c r="C35" s="64"/>
      <c r="D35" s="753"/>
      <c r="E35" s="754"/>
      <c r="F35" s="755"/>
      <c r="G35" s="754"/>
      <c r="H35" s="754"/>
      <c r="I35" s="754"/>
      <c r="J35" s="754"/>
      <c r="K35" s="756"/>
      <c r="L35" s="315"/>
      <c r="N35" s="317">
        <v>106460.41</v>
      </c>
    </row>
    <row r="36" spans="1:15" ht="4.5" customHeight="1">
      <c r="A36" s="65"/>
      <c r="B36" s="66"/>
      <c r="C36" s="65"/>
      <c r="D36" s="757"/>
      <c r="E36" s="758"/>
      <c r="F36" s="757"/>
      <c r="G36" s="757"/>
      <c r="H36" s="758"/>
      <c r="I36" s="757"/>
      <c r="J36" s="758"/>
      <c r="K36" s="757"/>
      <c r="L36" s="316"/>
      <c r="N36" s="544">
        <v>99999.29</v>
      </c>
    </row>
    <row r="37" spans="1:15" ht="18" customHeight="1">
      <c r="A37" s="357" t="s">
        <v>644</v>
      </c>
      <c r="B37" s="359">
        <f>B42</f>
        <v>3949520</v>
      </c>
      <c r="C37" s="358">
        <f>C38+C39+C40+C41+C42+C43+C44+C45</f>
        <v>5850358.8499999996</v>
      </c>
      <c r="D37" s="359">
        <f t="shared" ref="D37:I37" si="11">D42</f>
        <v>4295558</v>
      </c>
      <c r="E37" s="360">
        <f>E42</f>
        <v>2660742</v>
      </c>
      <c r="F37" s="360">
        <f t="shared" si="11"/>
        <v>1286555.21</v>
      </c>
      <c r="G37" s="360">
        <f t="shared" si="11"/>
        <v>1944995.24</v>
      </c>
      <c r="H37" s="360">
        <f t="shared" si="11"/>
        <v>568430.76</v>
      </c>
      <c r="I37" s="360">
        <f t="shared" si="11"/>
        <v>259998.36</v>
      </c>
      <c r="J37" s="359">
        <f>E37-G37</f>
        <v>715746.76</v>
      </c>
      <c r="K37" s="359">
        <f>D37-G37</f>
        <v>2350562.7599999998</v>
      </c>
      <c r="L37" s="393">
        <f>+G37*100/E37</f>
        <v>73.099730826964816</v>
      </c>
      <c r="M37" s="26">
        <f>M38+M39+M40+M41+M42+M43+M44+M45</f>
        <v>7142966.3700000001</v>
      </c>
      <c r="N37" s="545">
        <v>1000000</v>
      </c>
      <c r="O37" s="1" t="s">
        <v>12</v>
      </c>
    </row>
    <row r="38" spans="1:15" ht="0.75" hidden="1" customHeight="1">
      <c r="A38" s="278" t="s">
        <v>531</v>
      </c>
      <c r="B38" s="50">
        <v>350999</v>
      </c>
      <c r="C38" s="76">
        <v>138696.59</v>
      </c>
      <c r="D38" s="67">
        <v>115513</v>
      </c>
      <c r="E38" s="71">
        <v>115513</v>
      </c>
      <c r="F38" s="759">
        <v>-59385</v>
      </c>
      <c r="G38" s="760">
        <f>F38+M38</f>
        <v>106460.41</v>
      </c>
      <c r="H38" s="51">
        <v>106460.41</v>
      </c>
      <c r="I38" s="751">
        <v>16417.009999999998</v>
      </c>
      <c r="J38" s="752">
        <f>E38-G38</f>
        <v>9052.5899999999965</v>
      </c>
      <c r="K38" s="752">
        <f>D38-G38</f>
        <v>9052.5899999999965</v>
      </c>
      <c r="L38" s="314">
        <f t="shared" ref="L38:L49" si="12">+G38*100/E38</f>
        <v>92.163141810878429</v>
      </c>
      <c r="M38" s="26">
        <v>165845.41</v>
      </c>
      <c r="N38" s="673">
        <v>576306.87</v>
      </c>
    </row>
    <row r="39" spans="1:15" ht="19.5" hidden="1" customHeight="1">
      <c r="A39" s="68" t="s">
        <v>482</v>
      </c>
      <c r="B39" s="60">
        <v>779586</v>
      </c>
      <c r="C39" s="299">
        <v>389793</v>
      </c>
      <c r="D39" s="761">
        <v>100000</v>
      </c>
      <c r="E39" s="298">
        <v>100000</v>
      </c>
      <c r="F39" s="762"/>
      <c r="G39" s="51">
        <f t="shared" ref="G39:G45" si="13">F39+M39</f>
        <v>99999.29</v>
      </c>
      <c r="H39" s="51">
        <v>99999.29</v>
      </c>
      <c r="I39" s="751">
        <v>99999.29</v>
      </c>
      <c r="J39" s="51">
        <f>E39-G39</f>
        <v>0.71000000000640284</v>
      </c>
      <c r="K39" s="76">
        <f t="shared" ref="K39:K42" si="14">D39-G39</f>
        <v>0.71000000000640284</v>
      </c>
      <c r="L39" s="314">
        <f t="shared" si="12"/>
        <v>99.999290000000002</v>
      </c>
      <c r="M39" s="26">
        <v>99999.29</v>
      </c>
      <c r="N39" s="52">
        <v>658440.03</v>
      </c>
    </row>
    <row r="40" spans="1:15" ht="31.5" hidden="1" customHeight="1">
      <c r="A40" s="70" t="s">
        <v>483</v>
      </c>
      <c r="B40" s="69">
        <v>1000000</v>
      </c>
      <c r="C40" s="300">
        <v>500000</v>
      </c>
      <c r="D40" s="763">
        <v>1000000</v>
      </c>
      <c r="E40" s="298">
        <v>1000000</v>
      </c>
      <c r="F40" s="762"/>
      <c r="G40" s="51">
        <f t="shared" si="13"/>
        <v>1000000</v>
      </c>
      <c r="H40" s="51">
        <v>1000000</v>
      </c>
      <c r="I40" s="751"/>
      <c r="J40" s="51">
        <f>E40-G40</f>
        <v>0</v>
      </c>
      <c r="K40" s="76">
        <f t="shared" si="14"/>
        <v>0</v>
      </c>
      <c r="L40" s="314" t="s">
        <v>12</v>
      </c>
      <c r="M40" s="26">
        <v>1000000</v>
      </c>
      <c r="N40" s="52">
        <v>787922.29</v>
      </c>
    </row>
    <row r="41" spans="1:15" ht="3.75" hidden="1" customHeight="1">
      <c r="A41" s="70" t="s">
        <v>484</v>
      </c>
      <c r="B41" s="69">
        <v>1845166</v>
      </c>
      <c r="C41" s="69">
        <v>909683</v>
      </c>
      <c r="D41" s="71">
        <v>576307</v>
      </c>
      <c r="E41" s="298">
        <v>576307</v>
      </c>
      <c r="F41" s="61"/>
      <c r="G41" s="51">
        <f t="shared" si="13"/>
        <v>576306.87</v>
      </c>
      <c r="H41" s="51">
        <v>512859.68</v>
      </c>
      <c r="I41" s="751">
        <v>431911</v>
      </c>
      <c r="J41" s="51">
        <f t="shared" ref="J41:J49" si="15">E41-G41</f>
        <v>0.13000000000465661</v>
      </c>
      <c r="K41" s="76">
        <f t="shared" si="14"/>
        <v>0.13000000000465661</v>
      </c>
      <c r="L41" s="314">
        <f t="shared" si="12"/>
        <v>99.999977442578341</v>
      </c>
      <c r="M41" s="26">
        <v>576306.87</v>
      </c>
      <c r="N41" s="52">
        <v>1747024.0599999998</v>
      </c>
    </row>
    <row r="42" spans="1:15" ht="32.25" customHeight="1">
      <c r="A42" s="669" t="s">
        <v>485</v>
      </c>
      <c r="B42" s="351">
        <v>3949520</v>
      </c>
      <c r="C42" s="351">
        <v>2937611.26</v>
      </c>
      <c r="D42" s="764">
        <v>4295558</v>
      </c>
      <c r="E42" s="353">
        <v>2660742</v>
      </c>
      <c r="F42" s="765">
        <v>1286555.21</v>
      </c>
      <c r="G42" s="766">
        <f>N42+F42</f>
        <v>1944995.24</v>
      </c>
      <c r="H42" s="766">
        <v>568430.76</v>
      </c>
      <c r="I42" s="767">
        <v>259998.36</v>
      </c>
      <c r="J42" s="768">
        <f t="shared" si="15"/>
        <v>715746.76</v>
      </c>
      <c r="K42" s="768">
        <f t="shared" si="14"/>
        <v>2350562.7599999998</v>
      </c>
      <c r="L42" s="678">
        <f t="shared" si="12"/>
        <v>73.099730826964816</v>
      </c>
      <c r="M42" s="26">
        <v>2471740.61</v>
      </c>
      <c r="N42" s="674">
        <v>658440.03</v>
      </c>
    </row>
    <row r="43" spans="1:15" ht="1.5" hidden="1" customHeight="1">
      <c r="A43" s="70" t="s">
        <v>486</v>
      </c>
      <c r="B43" s="69">
        <v>500000</v>
      </c>
      <c r="C43" s="69"/>
      <c r="D43" s="71">
        <v>799000</v>
      </c>
      <c r="E43" s="298">
        <v>799000</v>
      </c>
      <c r="F43" s="61"/>
      <c r="G43" s="51">
        <f t="shared" si="13"/>
        <v>787922.29</v>
      </c>
      <c r="H43" s="51">
        <v>2247</v>
      </c>
      <c r="I43" s="751">
        <v>2247</v>
      </c>
      <c r="J43" s="768">
        <f t="shared" ref="J43:J47" si="16">E43-G43</f>
        <v>11077.709999999963</v>
      </c>
      <c r="K43" s="768">
        <f t="shared" ref="K43:K47" si="17">D43-G43</f>
        <v>11077.709999999963</v>
      </c>
      <c r="L43" s="352">
        <f t="shared" si="12"/>
        <v>98.613553191489359</v>
      </c>
      <c r="M43" s="26">
        <v>787922.29</v>
      </c>
      <c r="N43" s="52">
        <v>109680.91</v>
      </c>
    </row>
    <row r="44" spans="1:15" ht="36" hidden="1" customHeight="1">
      <c r="A44" s="70" t="s">
        <v>487</v>
      </c>
      <c r="B44" s="69">
        <v>2067604</v>
      </c>
      <c r="C44" s="69">
        <v>974575</v>
      </c>
      <c r="D44" s="71">
        <v>1806881</v>
      </c>
      <c r="E44" s="298">
        <v>1806881</v>
      </c>
      <c r="F44" s="61">
        <v>4872.1499999999996</v>
      </c>
      <c r="G44" s="51">
        <f>N44+F44</f>
        <v>114553.06</v>
      </c>
      <c r="H44" s="51">
        <v>1748594.29</v>
      </c>
      <c r="I44" s="751">
        <v>51481.84</v>
      </c>
      <c r="J44" s="768">
        <f t="shared" si="16"/>
        <v>1692327.94</v>
      </c>
      <c r="K44" s="768">
        <f t="shared" si="17"/>
        <v>1692327.94</v>
      </c>
      <c r="L44" s="352">
        <f t="shared" si="12"/>
        <v>6.3398231538214196</v>
      </c>
      <c r="M44" s="26">
        <v>1742151.91</v>
      </c>
      <c r="N44" s="52">
        <v>109680.91</v>
      </c>
    </row>
    <row r="45" spans="1:15" ht="12.75" hidden="1" customHeight="1">
      <c r="A45" s="70" t="s">
        <v>488</v>
      </c>
      <c r="B45" s="69">
        <v>2100000</v>
      </c>
      <c r="C45" s="69"/>
      <c r="D45" s="71">
        <v>751000</v>
      </c>
      <c r="E45" s="298">
        <v>751000</v>
      </c>
      <c r="F45" s="62">
        <v>159000</v>
      </c>
      <c r="G45" s="51">
        <f t="shared" si="13"/>
        <v>457999.99</v>
      </c>
      <c r="H45" s="769">
        <v>457999.99</v>
      </c>
      <c r="I45" s="751">
        <v>457999.99</v>
      </c>
      <c r="J45" s="768">
        <f t="shared" si="16"/>
        <v>293000.01</v>
      </c>
      <c r="K45" s="768">
        <f t="shared" si="17"/>
        <v>293000.01</v>
      </c>
      <c r="L45" s="352">
        <f t="shared" si="12"/>
        <v>60.985351531291613</v>
      </c>
      <c r="M45" s="26">
        <v>298999.99</v>
      </c>
      <c r="N45" s="52"/>
    </row>
    <row r="46" spans="1:15" ht="25.5" customHeight="1">
      <c r="A46" s="354" t="s">
        <v>606</v>
      </c>
      <c r="B46" s="355">
        <f>B47</f>
        <v>1100000</v>
      </c>
      <c r="C46" s="356"/>
      <c r="D46" s="770">
        <f t="shared" ref="D46:I46" si="18">D47</f>
        <v>1698950</v>
      </c>
      <c r="E46" s="362">
        <f t="shared" si="18"/>
        <v>1359440</v>
      </c>
      <c r="F46" s="771">
        <f t="shared" si="18"/>
        <v>783427.61</v>
      </c>
      <c r="G46" s="771">
        <f t="shared" si="18"/>
        <v>893108.52</v>
      </c>
      <c r="H46" s="771">
        <f t="shared" si="18"/>
        <v>20349.02</v>
      </c>
      <c r="I46" s="771">
        <f t="shared" si="18"/>
        <v>7345.55</v>
      </c>
      <c r="J46" s="772">
        <f t="shared" si="16"/>
        <v>466331.48</v>
      </c>
      <c r="K46" s="772">
        <f t="shared" si="17"/>
        <v>805841.48</v>
      </c>
      <c r="L46" s="678">
        <f t="shared" si="12"/>
        <v>65.696795739422114</v>
      </c>
      <c r="N46" s="546">
        <v>1030843.8200000001</v>
      </c>
    </row>
    <row r="47" spans="1:15" ht="25.5" customHeight="1">
      <c r="A47" s="350" t="s">
        <v>607</v>
      </c>
      <c r="B47" s="69">
        <v>1100000</v>
      </c>
      <c r="C47" s="62"/>
      <c r="D47" s="67">
        <v>1698950</v>
      </c>
      <c r="E47" s="361">
        <v>1359440</v>
      </c>
      <c r="F47" s="301">
        <v>783427.61</v>
      </c>
      <c r="G47" s="773">
        <f>N47+F47</f>
        <v>893108.52</v>
      </c>
      <c r="H47" s="76">
        <v>20349.02</v>
      </c>
      <c r="I47" s="774">
        <v>7345.55</v>
      </c>
      <c r="J47" s="768">
        <f t="shared" si="16"/>
        <v>466331.48</v>
      </c>
      <c r="K47" s="768">
        <f t="shared" si="17"/>
        <v>805841.48</v>
      </c>
      <c r="L47" s="678">
        <f t="shared" si="12"/>
        <v>65.696795739422114</v>
      </c>
      <c r="N47" s="675">
        <v>109680.91</v>
      </c>
    </row>
    <row r="48" spans="1:15" ht="27.75" hidden="1" customHeight="1">
      <c r="A48" s="70"/>
      <c r="B48" s="69"/>
      <c r="C48" s="62"/>
      <c r="D48" s="67"/>
      <c r="E48" s="349"/>
      <c r="F48" s="62"/>
      <c r="G48" s="769"/>
      <c r="H48" s="76"/>
      <c r="I48" s="67"/>
      <c r="J48" s="51"/>
      <c r="K48" s="76"/>
      <c r="L48" s="314"/>
      <c r="N48" s="676"/>
    </row>
    <row r="49" spans="1:14" ht="20.100000000000001" customHeight="1">
      <c r="A49" s="48" t="s">
        <v>21</v>
      </c>
      <c r="B49" s="49">
        <f t="shared" ref="B49:I49" si="19">B8+B20+B37+B46</f>
        <v>46208546</v>
      </c>
      <c r="C49" s="49" t="e">
        <f t="shared" si="19"/>
        <v>#REF!</v>
      </c>
      <c r="D49" s="49">
        <f t="shared" si="19"/>
        <v>46208546</v>
      </c>
      <c r="E49" s="49">
        <f t="shared" si="19"/>
        <v>14471139</v>
      </c>
      <c r="F49" s="49">
        <f t="shared" si="19"/>
        <v>4689824.25</v>
      </c>
      <c r="G49" s="49">
        <f t="shared" si="19"/>
        <v>5720668.0700000003</v>
      </c>
      <c r="H49" s="49">
        <f t="shared" si="19"/>
        <v>918290.15999999992</v>
      </c>
      <c r="I49" s="49">
        <f t="shared" si="19"/>
        <v>349125.31</v>
      </c>
      <c r="J49" s="665">
        <f t="shared" si="15"/>
        <v>8750470.9299999997</v>
      </c>
      <c r="K49" s="75">
        <f>D49-G49</f>
        <v>40487877.93</v>
      </c>
      <c r="L49" s="313">
        <f t="shared" si="12"/>
        <v>39.531567418431955</v>
      </c>
      <c r="M49" s="26">
        <v>25647260.289999999</v>
      </c>
      <c r="N49" s="547">
        <f>N8+N20+N37+N46</f>
        <v>2373574.04</v>
      </c>
    </row>
    <row r="50" spans="1:14" ht="9" customHeight="1">
      <c r="A50" s="72"/>
      <c r="M50" s="26" t="s">
        <v>12</v>
      </c>
    </row>
    <row r="51" spans="1:14">
      <c r="A51" s="73" t="s">
        <v>39</v>
      </c>
      <c r="D51" s="26" t="s">
        <v>12</v>
      </c>
    </row>
    <row r="58" spans="1:14">
      <c r="E58" s="1" t="s">
        <v>12</v>
      </c>
    </row>
  </sheetData>
  <mergeCells count="8">
    <mergeCell ref="A1:L1"/>
    <mergeCell ref="A2:L2"/>
    <mergeCell ref="A3:L3"/>
    <mergeCell ref="A4:L4"/>
    <mergeCell ref="B6:I6"/>
    <mergeCell ref="A6:A7"/>
    <mergeCell ref="L6:L7"/>
    <mergeCell ref="J6:K6"/>
  </mergeCells>
  <pageMargins left="0.9" right="0" top="0.39370078740157483" bottom="0.39370078740157483" header="0.31496062992125984" footer="0.31496062992125984"/>
  <pageSetup scale="55" orientation="landscape" r:id="rId1"/>
  <ignoredErrors>
    <ignoredError sqref="J20 G30 G42:G43 G44 D20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17</vt:i4>
      </vt:variant>
    </vt:vector>
  </HeadingPairs>
  <TitlesOfParts>
    <vt:vector size="27" baseType="lpstr">
      <vt:lpstr>RESUMEN</vt:lpstr>
      <vt:lpstr>RECAUDACION ING</vt:lpstr>
      <vt:lpstr>INGRESOS</vt:lpstr>
      <vt:lpstr>FINANCIAMIENTO</vt:lpstr>
      <vt:lpstr>FLUJO</vt:lpstr>
      <vt:lpstr>BALANCE GASTOS</vt:lpstr>
      <vt:lpstr>FUNCIONAMIENTO</vt:lpstr>
      <vt:lpstr>ESTRUCTURA PROG</vt:lpstr>
      <vt:lpstr>PROYECTROS INV</vt:lpstr>
      <vt:lpstr>GASTOS INV</vt:lpstr>
      <vt:lpstr>'BALANCE GASTOS'!Área_de_impresión</vt:lpstr>
      <vt:lpstr>'ESTRUCTURA PROG'!Área_de_impresión</vt:lpstr>
      <vt:lpstr>FINANCIAMIENTO!Área_de_impresión</vt:lpstr>
      <vt:lpstr>FLUJO!Área_de_impresión</vt:lpstr>
      <vt:lpstr>'GASTOS INV'!Área_de_impresión</vt:lpstr>
      <vt:lpstr>INGRESOS!Área_de_impresión</vt:lpstr>
      <vt:lpstr>'PROYECTROS INV'!Área_de_impresión</vt:lpstr>
      <vt:lpstr>Excel_BuiltIn_Print_Area_7</vt:lpstr>
      <vt:lpstr>Excel_BuiltIn_Print_Area_7_1</vt:lpstr>
      <vt:lpstr>Excel_BuiltIn_Print_Area_7_1_1</vt:lpstr>
      <vt:lpstr>Excel_BuiltIn_Print_Area_9_1</vt:lpstr>
      <vt:lpstr>Excel_BuiltIn_Print_Titles_11</vt:lpstr>
      <vt:lpstr>Excel_BuiltIn_Print_Titles_7</vt:lpstr>
      <vt:lpstr>'BALANCE GASTOS'!Títulos_a_imprimir</vt:lpstr>
      <vt:lpstr>FUNCIONAMIENTO!Títulos_a_imprimir</vt:lpstr>
      <vt:lpstr>'PROYECTROS INV'!Títulos_a_imprimir</vt:lpstr>
      <vt:lpstr>'RECAUDACION ING'!Títulos_a_imprimir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MAYRA CASTILLO</dc:creator>
  <cp:lastModifiedBy>Jaime Young</cp:lastModifiedBy>
  <cp:lastPrinted>2026-04-10T19:05:41Z</cp:lastPrinted>
  <dcterms:created xsi:type="dcterms:W3CDTF">2010-01-07T20:52:00Z</dcterms:created>
  <dcterms:modified xsi:type="dcterms:W3CDTF">2026-04-10T19:32:24Z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8E3A71A146F34AD491BABD7658574AC4_12</vt:lpwstr>
  </property>
  <property fmtid="{D5CDD505-2E9C-101B-9397-08002B2CF9AE}" pid="3" name="KSOProductBuildVer">
    <vt:lpwstr>2058-12.2.0.22549</vt:lpwstr>
  </property>
</Properties>
</file>